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fileSharing readOnlyRecommended="1"/>
  <workbookPr codeName="ThisWorkbook"/>
  <mc:AlternateContent xmlns:mc="http://schemas.openxmlformats.org/markup-compatibility/2006">
    <mc:Choice Requires="x15">
      <x15ac:absPath xmlns:x15ac="http://schemas.microsoft.com/office/spreadsheetml/2010/11/ac" url="J:\Transmission Rates\Attachment H\2019\As Corrected\"/>
    </mc:Choice>
  </mc:AlternateContent>
  <xr:revisionPtr revIDLastSave="0" documentId="13_ncr:1_{CDD32BEF-97FF-4AA9-954E-770B83E3D091}" xr6:coauthVersionLast="41" xr6:coauthVersionMax="41" xr10:uidLastSave="{00000000-0000-0000-0000-000000000000}"/>
  <bookViews>
    <workbookView xWindow="20052" yWindow="-180" windowWidth="20376" windowHeight="12816" tabRatio="908" activeTab="2" xr2:uid="{00000000-000D-0000-FFFF-FFFF00000000}"/>
  </bookViews>
  <sheets>
    <sheet name="Print" sheetId="49" r:id="rId1"/>
    <sheet name="INPUT" sheetId="67" r:id="rId2"/>
    <sheet name="Changes to May 2019 Filing" sheetId="82" r:id="rId3"/>
    <sheet name="DEOK" sheetId="79" r:id="rId4"/>
    <sheet name="DEO" sheetId="2" r:id="rId5"/>
    <sheet name="DEK" sheetId="1" r:id="rId6"/>
    <sheet name="Sch 1A - Appx A" sheetId="50" r:id="rId7"/>
    <sheet name="Appx B - DEOK(RTEP)" sheetId="42" r:id="rId8"/>
    <sheet name="Appx B - DEO(RTEP)" sheetId="40" r:id="rId9"/>
    <sheet name="Appx B - DEK(RTEP)" sheetId="41" r:id="rId10"/>
    <sheet name="Appx C - DEOK(MTEP)" sheetId="52" r:id="rId11"/>
    <sheet name="Appx C - DEO(MTEP)" sheetId="53" r:id="rId12"/>
    <sheet name="Appx C - DEK(MTEP)" sheetId="54" r:id="rId13"/>
    <sheet name="Appx D DEO" sheetId="63" r:id="rId14"/>
    <sheet name="Appx D DEK" sheetId="64" r:id="rId15"/>
    <sheet name="P1 ADIT" sheetId="22" r:id="rId16"/>
    <sheet name="P2 Allocate M&amp;S" sheetId="12" r:id="rId17"/>
    <sheet name="P3 Land Held for Future Use" sheetId="32" r:id="rId18"/>
    <sheet name="P4 Advertising - EPRI Adj." sheetId="19" r:id="rId19"/>
    <sheet name="P5 A&amp;G Adjusments" sheetId="9" r:id="rId20"/>
    <sheet name="P6 Statetax" sheetId="5" r:id="rId21"/>
    <sheet name="P7 Trans Plant In OATT" sheetId="37" r:id="rId22"/>
    <sheet name="P8 Rev Cred Support" sheetId="20" r:id="rId23"/>
    <sheet name="P9 Capital Structure" sheetId="26" r:id="rId24"/>
    <sheet name="P10 Partner KW" sheetId="13" r:id="rId25"/>
    <sheet name="P11 PBOP - DEO" sheetId="73" r:id="rId26"/>
    <sheet name="P12 PBOP - DEK" sheetId="74" r:id="rId27"/>
    <sheet name="P13 Sch 1A Denominator" sheetId="75" r:id="rId28"/>
    <sheet name="P14 Sch 1A Rev Cr" sheetId="77" r:id="rId29"/>
    <sheet name="P15 Pole Counts" sheetId="76" r:id="rId30"/>
    <sheet name="P16 Prior Yr Corr" sheetId="71" r:id="rId31"/>
    <sheet name="P17 LSE Expenses" sheetId="81" r:id="rId32"/>
  </sheets>
  <externalReferences>
    <externalReference r:id="rId33"/>
    <externalReference r:id="rId34"/>
    <externalReference r:id="rId35"/>
  </externalReferences>
  <definedNames>
    <definedName name="______kim1" hidden="1">{#N/A,#N/A,FALSE,"Aging Summary";#N/A,#N/A,FALSE,"Ratio Analysis";#N/A,#N/A,FALSE,"Test 120 Day Accts";#N/A,#N/A,FALSE,"Tickmarks"}</definedName>
    <definedName name="______kim6" hidden="1">{#N/A,#N/A,FALSE,"Aging Summary";#N/A,#N/A,FALSE,"Ratio Analysis";#N/A,#N/A,FALSE,"Test 120 Day Accts";#N/A,#N/A,FALSE,"Tickmarks"}</definedName>
    <definedName name="_____kim1" hidden="1">{#N/A,#N/A,FALSE,"Aging Summary";#N/A,#N/A,FALSE,"Ratio Analysis";#N/A,#N/A,FALSE,"Test 120 Day Accts";#N/A,#N/A,FALSE,"Tickmarks"}</definedName>
    <definedName name="_____kim6" hidden="1">{#N/A,#N/A,FALSE,"Aging Summary";#N/A,#N/A,FALSE,"Ratio Analysis";#N/A,#N/A,FALSE,"Test 120 Day Accts";#N/A,#N/A,FALSE,"Tickmarks"}</definedName>
    <definedName name="____kim1" hidden="1">{#N/A,#N/A,FALSE,"Aging Summary";#N/A,#N/A,FALSE,"Ratio Analysis";#N/A,#N/A,FALSE,"Test 120 Day Accts";#N/A,#N/A,FALSE,"Tickmarks"}</definedName>
    <definedName name="____kim6" hidden="1">{#N/A,#N/A,FALSE,"Aging Summary";#N/A,#N/A,FALSE,"Ratio Analysis";#N/A,#N/A,FALSE,"Test 120 Day Accts";#N/A,#N/A,FALSE,"Tickmarks"}</definedName>
    <definedName name="___kim1" hidden="1">{#N/A,#N/A,FALSE,"Aging Summary";#N/A,#N/A,FALSE,"Ratio Analysis";#N/A,#N/A,FALSE,"Test 120 Day Accts";#N/A,#N/A,FALSE,"Tickmarks"}</definedName>
    <definedName name="___kim6" hidden="1">{#N/A,#N/A,FALSE,"Aging Summary";#N/A,#N/A,FALSE,"Ratio Analysis";#N/A,#N/A,FALSE,"Test 120 Day Accts";#N/A,#N/A,FALSE,"Tickmarks"}</definedName>
    <definedName name="__kim1" hidden="1">{#N/A,#N/A,FALSE,"Aging Summary";#N/A,#N/A,FALSE,"Ratio Analysis";#N/A,#N/A,FALSE,"Test 120 Day Accts";#N/A,#N/A,FALSE,"Tickmarks"}</definedName>
    <definedName name="__kim6" hidden="1">{#N/A,#N/A,FALSE,"Aging Summary";#N/A,#N/A,FALSE,"Ratio Analysis";#N/A,#N/A,FALSE,"Test 120 Day Accts";#N/A,#N/A,FALSE,"Tickmarks"}</definedName>
    <definedName name="_Key1" hidden="1">'[1]TAX_EQUITY_Field Serv'!$A$10</definedName>
    <definedName name="_kim1" hidden="1">{#N/A,#N/A,FALSE,"Aging Summary";#N/A,#N/A,FALSE,"Ratio Analysis";#N/A,#N/A,FALSE,"Test 120 Day Accts";#N/A,#N/A,FALSE,"Tickmarks"}</definedName>
    <definedName name="_kim6" hidden="1">{#N/A,#N/A,FALSE,"Aging Summary";#N/A,#N/A,FALSE,"Ratio Analysis";#N/A,#N/A,FALSE,"Test 120 Day Accts";#N/A,#N/A,FALSE,"Tickmarks"}</definedName>
    <definedName name="_Order1" hidden="1">255</definedName>
    <definedName name="_Sort" hidden="1">'[1]TAX_EQUITY_Field Serv'!$A$10:$E$76</definedName>
    <definedName name="anscount" hidden="1">1</definedName>
    <definedName name="Appendix_A">'Sch 1A - Appx A'!$A$1:$H$38</definedName>
    <definedName name="AppxB_DEK_Pg1_RTEP">'Appx B - DEK(RTEP)'!$A$1:$I$45</definedName>
    <definedName name="AppxB_DEK_Pg2_RTEP">'Appx B - DEK(RTEP)'!$K$49:$X$100</definedName>
    <definedName name="AppxB_DEO_Pg1_RTEP">'Appx B - DEO(RTEP)'!$A$1:$I$45</definedName>
    <definedName name="AppxB_DEO_Pg2_RTEP">'Appx B - DEO(RTEP)'!$K$49:$X$100</definedName>
    <definedName name="AppxB_DEOK_Pg1_RTEP">'Appx B - DEOK(RTEP)'!$B$1:$O$52</definedName>
    <definedName name="AppxC_DEK_Pg1_MTEP">'Appx C - DEK(MTEP)'!$A$1:$I$45</definedName>
    <definedName name="AppxC_DEK_Pg2_MTEP">'Appx C - DEK(MTEP)'!$K$49:$X$100</definedName>
    <definedName name="AppxC_DEO_Pg1_MTEP">'Appx C - DEO(MTEP)'!$A$1:$I$45</definedName>
    <definedName name="AppxC_DEO_Pg2_MTEP">'Appx C - DEO(MTEP)'!$K$49:$X$86</definedName>
    <definedName name="AppxC_DEOK_Pg1_MTEP">'Appx C - DEOK(MTEP)'!$B$1:$O$52</definedName>
    <definedName name="AppxD_DEK">'Appx D DEK'!$A$1:$G$50</definedName>
    <definedName name="AppxD_DEO_P1">'Appx D DEO'!$A$1:$G$57</definedName>
    <definedName name="AppxD_DEO_P2">'Appx D DEO'!$A$60:$G$100</definedName>
    <definedName name="AS2DocOpenMode" hidden="1">"AS2DocumentEdit"</definedName>
    <definedName name="AS2NamedRange" hidden="1">7</definedName>
    <definedName name="BNE_MESSAGES_HIDDEN" localSheetId="3" hidden="1">#REF!</definedName>
    <definedName name="BNE_MESSAGES_HIDDEN" localSheetId="25" hidden="1">#REF!</definedName>
    <definedName name="BNE_MESSAGES_HIDDEN" localSheetId="26" hidden="1">#REF!</definedName>
    <definedName name="BNE_MESSAGES_HIDDEN" hidden="1">#REF!</definedName>
    <definedName name="d" hidden="1">{"edcredit",#N/A,FALSE,"edcredit"}</definedName>
    <definedName name="DEK_1of6">DEK!$A$1:$J$34</definedName>
    <definedName name="DEK_2of6">DEK!$A$35:$J$94</definedName>
    <definedName name="DEK_3of6">DEK!$A$95:$J$164</definedName>
    <definedName name="DEK_4of6">DEK!$A$165:$L$240</definedName>
    <definedName name="DEK_5of6">DEK!$A$242:$L$301</definedName>
    <definedName name="DEK_6of6">DEK!$A$302:$L$331</definedName>
    <definedName name="DEK_CE_Alloc">DEK!$L$208</definedName>
    <definedName name="DEK_GP_Alloc">DEK!$H$58</definedName>
    <definedName name="DEK_NP_Alloc">DEK!$H$74</definedName>
    <definedName name="DEK_TE_Alloc">DEK!$J$195</definedName>
    <definedName name="DEK_TP_Alloc">DEK!$J$185</definedName>
    <definedName name="DEK_WS_Alloc">DEK!$J$203</definedName>
    <definedName name="DEO_1of6">DEO!$A$1:$J$34</definedName>
    <definedName name="DEO_2of6">DEO!$A$35:$J$94</definedName>
    <definedName name="DEO_3of6">DEO!$A$95:$J$164</definedName>
    <definedName name="DEO_4of6">DEO!$A$165:$L$240</definedName>
    <definedName name="DEO_5of6">DEO!$A$242:$L$301</definedName>
    <definedName name="DEO_6of6">DEO!$A$302:$L$331</definedName>
    <definedName name="DEO_CE_Alloc">DEO!$L$208</definedName>
    <definedName name="DEO_GP_Alloc">DEO!$H$58</definedName>
    <definedName name="DEO_NP_Alloc">DEO!$H$74</definedName>
    <definedName name="DEO_TE_Alloc">DEO!$J$195</definedName>
    <definedName name="DEO_TP_Alloc">DEO!$J$185</definedName>
    <definedName name="DEO_WS_Alloc">DEO!$J$203</definedName>
    <definedName name="DEOK_1of1">DEOK!$A$1:$G$56</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uh" hidden="1">{"edcredit",#N/A,FALSE,"edcredit"}</definedName>
    <definedName name="ej" hidden="1">{"Page 1",#N/A,FALSE,"Sheet1";"Page 2",#N/A,FALSE,"Sheet1"}</definedName>
    <definedName name="f" hidden="1">{"edcredit",#N/A,FALSE,"edcredit"}</definedName>
    <definedName name="FERCrefund">INPUT!$C$165</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T">INPUT!$C$86</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hidden="1">{"Page 1",#N/A,FALSE,"Sheet1";"Page 2",#N/A,FALSE,"Sheet1"}</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hidden="1">{"Page 1",#N/A,FALSE,"Sheet1";"Page 2",#N/A,FALSE,"Sheet1"}</definedName>
    <definedName name="MayForecast" hidden="1">{"Page 1",#N/A,FALSE,"Sheet1";"Page 2",#N/A,FALSE,"Sheet1"}</definedName>
    <definedName name="mypassword" hidden="1">"chuck"</definedName>
    <definedName name="PeakKW_DEOK">'P10 Partner KW'!$D$13:$D$24</definedName>
    <definedName name="PG1_Support_Corrections" localSheetId="30">'P16 Prior Yr Corr'!$A$1:$E$12</definedName>
    <definedName name="_xlnm.Print_Area" localSheetId="2">'Changes to May 2019 Filing'!$A$1:$G$58</definedName>
    <definedName name="_xlnm.Print_Area" localSheetId="15">'P1 ADIT'!$A$1:$G$64</definedName>
    <definedName name="_xlnm.Print_Area" localSheetId="24">'P10 Partner KW'!$A$1:$H$32</definedName>
    <definedName name="_xlnm.Print_Area" localSheetId="25">'P11 PBOP - DEO'!$B$1:$L$44</definedName>
    <definedName name="_xlnm.Print_Area" localSheetId="26">'P12 PBOP - DEK'!$B$1:$L$44</definedName>
    <definedName name="_xlnm.Print_Area" localSheetId="27">'P13 Sch 1A Denominator'!$A$1:$G$47</definedName>
    <definedName name="_xlnm.Print_Area" localSheetId="28">'P14 Sch 1A Rev Cr'!$A$1:$J$36</definedName>
    <definedName name="_xlnm.Print_Area" localSheetId="29">'P15 Pole Counts'!$A$1:$K$25</definedName>
    <definedName name="_xlnm.Print_Area" localSheetId="30">'P16 Prior Yr Corr'!$A$1:$F$45</definedName>
    <definedName name="_xlnm.Print_Area" localSheetId="31">'P17 LSE Expenses'!$A$1:$H$21</definedName>
    <definedName name="_xlnm.Print_Area" localSheetId="16">'P2 Allocate M&amp;S'!$A$1:$L$36</definedName>
    <definedName name="_xlnm.Print_Area" localSheetId="17">'P3 Land Held for Future Use'!$A$1:$F$27</definedName>
    <definedName name="_xlnm.Print_Area" localSheetId="18">'P4 Advertising - EPRI Adj.'!$A$1:$G$40</definedName>
    <definedName name="_xlnm.Print_Area" localSheetId="19">'P5 A&amp;G Adjusments'!$A$1:$F$40</definedName>
    <definedName name="_xlnm.Print_Area" localSheetId="20">'P6 Statetax'!$A$1:$F$18</definedName>
    <definedName name="_xlnm.Print_Area" localSheetId="21">'P7 Trans Plant In OATT'!$A$1:$E$15</definedName>
    <definedName name="_xlnm.Print_Area" localSheetId="22">'P8 Rev Cred Support'!$A$1:$G$43</definedName>
    <definedName name="_xlnm.Print_Area" localSheetId="23">'P9 Capital Structure'!$A$1:$E$21</definedName>
    <definedName name="_xlnm.Print_Titles" localSheetId="1">INPUT!$A:$B,INPUT!$1:$6</definedName>
    <definedName name="PriorYrCorr">'P16 Prior Yr Corr'!$F$45</definedName>
    <definedName name="R_DEK">DEK!$J$227</definedName>
    <definedName name="R_DEO">DEO!$J$227</definedName>
    <definedName name="rngCopyFormulasSource" localSheetId="3" hidden="1">'[2]CIN-14'!#REF!</definedName>
    <definedName name="rngCopyFormulasSource" localSheetId="25" hidden="1">'[2]CIN-14'!#REF!</definedName>
    <definedName name="rngCopyFormulasSource" localSheetId="26" hidden="1">'[2]CIN-14'!#REF!</definedName>
    <definedName name="rngCopyFormulasSource" hidden="1">'[2]CIN-14'!#REF!</definedName>
    <definedName name="ROE">INPUT!$C$159</definedName>
    <definedName name="SCH_1A">'Sch 1A - Appx A'!$A$1:$H$40</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IT_DEK">INPUT!$D$87</definedName>
    <definedName name="SIT_DEO">INPUT!$C$87</definedName>
    <definedName name="spoc" hidden="1">{"Page 1",#N/A,FALSE,"Sheet1";"Page 2",#N/A,FALSE,"Sheet1"}</definedName>
    <definedName name="test1" hidden="1">{"Page 1",#N/A,FALSE,"Sheet1";"Page 2",#N/A,FALSE,"Sheet1"}</definedName>
    <definedName name="test2" hidden="1">{"Page 1",#N/A,FALSE,"Sheet1";"Page 2",#N/A,FALSE,"Sheet1"}</definedName>
    <definedName name="TP_Footer_User" hidden="1">"combsk"</definedName>
    <definedName name="TP_Footer_Version" hidden="1">"v4.00"</definedName>
    <definedName name="WCLTD_DEK">DEK!$J$224</definedName>
    <definedName name="WCLTD_DEO">DEO!$J$224</definedName>
    <definedName name="Workpaper">INPUT!$D$2</definedName>
    <definedName name="Workpaper_P1">'P1 ADIT'!$A$1:$G$64</definedName>
    <definedName name="Workpaper_P10">'P10 Partner KW'!$A$1:$H$33</definedName>
    <definedName name="Workpaper_P11">'P11 PBOP - DEO'!$B$1:$L$44</definedName>
    <definedName name="Workpaper_P12">'P12 PBOP - DEK'!$B$1:$L$44</definedName>
    <definedName name="Workpaper_P13">'P13 Sch 1A Denominator'!$A$1:$G$47</definedName>
    <definedName name="Workpaper_P14">'P14 Sch 1A Rev Cr'!$A$1:$J$36</definedName>
    <definedName name="Workpaper_P15">'P15 Pole Counts'!$A$1:$K$25</definedName>
    <definedName name="Workpaper_P16">'P16 Prior Yr Corr'!$A$1:$F$45</definedName>
    <definedName name="Workpaper_P17">'P17 LSE Expenses'!$A$1:$H$21</definedName>
    <definedName name="Workpaper_P2">'P2 Allocate M&amp;S'!$A$1:$L$36</definedName>
    <definedName name="Workpaper_P3">'P3 Land Held for Future Use'!$A$1:$F$27</definedName>
    <definedName name="Workpaper_P4">'P4 Advertising - EPRI Adj.'!$A$1:$G$40</definedName>
    <definedName name="Workpaper_P5">'P5 A&amp;G Adjusments'!$A$1:$F$40</definedName>
    <definedName name="Workpaper_P6">'P6 Statetax'!$A$1:$F$18</definedName>
    <definedName name="Workpaper_P7">'P7 Trans Plant In OATT'!$A$1:$E$15</definedName>
    <definedName name="Workpaper_P8">'P8 Rev Cred Support'!$A$1:$G$43</definedName>
    <definedName name="Workpaper_P9">'P9 Capital Structure'!$A$1:$E$21</definedName>
    <definedName name="wrn.Aging._.and._.Trend._.Analysis." hidden="1">{#N/A,#N/A,FALSE,"Aging Summary";#N/A,#N/A,FALSE,"Ratio Analysis";#N/A,#N/A,FALSE,"Test 120 Day Accts";#N/A,#N/A,FALSE,"Tickmarks"}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edcredit." hidden="1">{"edcredit",#N/A,FALSE,"edcredit"}</definedName>
    <definedName name="wrn.Page._.1." hidden="1">{"Page 1",#N/A,FALSE,"Sheet1";"Page 2",#N/A,FALSE,"Sheet1"}</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3" hidden="1">'[3]Adj. Income Statement'!#REF!</definedName>
    <definedName name="Xbrl_Tag_02ead093_8098_4561_b1a6_35aad0b3b539" localSheetId="25" hidden="1">'[3]Adj. Income Statement'!#REF!</definedName>
    <definedName name="Xbrl_Tag_02ead093_8098_4561_b1a6_35aad0b3b539" localSheetId="26" hidden="1">'[3]Adj. Income Statement'!#REF!</definedName>
    <definedName name="Xbrl_Tag_02ead093_8098_4561_b1a6_35aad0b3b539" hidden="1">'[3]Adj. Income Statement'!#REF!</definedName>
    <definedName name="Xbrl_Tag_075d33f9_8d44_4b5e_8fc8_85eada4f464a" localSheetId="3" hidden="1">'[3]Adj. Income Statement'!#REF!</definedName>
    <definedName name="Xbrl_Tag_075d33f9_8d44_4b5e_8fc8_85eada4f464a" localSheetId="25" hidden="1">'[3]Adj. Income Statement'!#REF!</definedName>
    <definedName name="Xbrl_Tag_075d33f9_8d44_4b5e_8fc8_85eada4f464a" localSheetId="26" hidden="1">'[3]Adj. Income Statement'!#REF!</definedName>
    <definedName name="Xbrl_Tag_075d33f9_8d44_4b5e_8fc8_85eada4f464a" hidden="1">'[3]Adj. Income Statement'!#REF!</definedName>
    <definedName name="Xbrl_Tag_0a527475_1b41_4c03_bf3e_82e631232d6b" localSheetId="3" hidden="1">'[3]Adj. Income Statement'!#REF!</definedName>
    <definedName name="Xbrl_Tag_0a527475_1b41_4c03_bf3e_82e631232d6b" localSheetId="25" hidden="1">'[3]Adj. Income Statement'!#REF!</definedName>
    <definedName name="Xbrl_Tag_0a527475_1b41_4c03_bf3e_82e631232d6b" localSheetId="26" hidden="1">'[3]Adj. Income Statement'!#REF!</definedName>
    <definedName name="Xbrl_Tag_0a527475_1b41_4c03_bf3e_82e631232d6b" hidden="1">'[3]Adj. Income Statement'!#REF!</definedName>
    <definedName name="Xbrl_Tag_0bc4560b_9d42_4e7c_bfcf_072f8e0e087b" localSheetId="3" hidden="1">'[3]Adj. Income Statement'!#REF!</definedName>
    <definedName name="Xbrl_Tag_0bc4560b_9d42_4e7c_bfcf_072f8e0e087b" localSheetId="25" hidden="1">'[3]Adj. Income Statement'!#REF!</definedName>
    <definedName name="Xbrl_Tag_0bc4560b_9d42_4e7c_bfcf_072f8e0e087b" localSheetId="26" hidden="1">'[3]Adj. Income Statement'!#REF!</definedName>
    <definedName name="Xbrl_Tag_0bc4560b_9d42_4e7c_bfcf_072f8e0e087b" hidden="1">'[3]Adj. Income Statement'!#REF!</definedName>
    <definedName name="Xbrl_Tag_0c54907b_74c4_4d3a_b16d_9d5b6191a8f0" localSheetId="3" hidden="1">'[3]Adj. Income Statement'!#REF!</definedName>
    <definedName name="Xbrl_Tag_0c54907b_74c4_4d3a_b16d_9d5b6191a8f0" localSheetId="25" hidden="1">'[3]Adj. Income Statement'!#REF!</definedName>
    <definedName name="Xbrl_Tag_0c54907b_74c4_4d3a_b16d_9d5b6191a8f0" localSheetId="26" hidden="1">'[3]Adj. Income Statement'!#REF!</definedName>
    <definedName name="Xbrl_Tag_0c54907b_74c4_4d3a_b16d_9d5b6191a8f0" hidden="1">'[3]Adj. Income Statement'!#REF!</definedName>
    <definedName name="Xbrl_Tag_0f074d5a_3373_452d_affc_9e3adc16f0cc" localSheetId="3" hidden="1">'[3]Adj. Income Statement'!#REF!</definedName>
    <definedName name="Xbrl_Tag_0f074d5a_3373_452d_affc_9e3adc16f0cc" localSheetId="25" hidden="1">'[3]Adj. Income Statement'!#REF!</definedName>
    <definedName name="Xbrl_Tag_0f074d5a_3373_452d_affc_9e3adc16f0cc" localSheetId="26" hidden="1">'[3]Adj. Income Statement'!#REF!</definedName>
    <definedName name="Xbrl_Tag_0f074d5a_3373_452d_affc_9e3adc16f0cc" hidden="1">'[3]Adj. Income Statement'!#REF!</definedName>
    <definedName name="Xbrl_Tag_10857a19_f8a4_4178_b6d5_1f56875498d8" localSheetId="3" hidden="1">'[3]Adj. Income Statement'!#REF!</definedName>
    <definedName name="Xbrl_Tag_10857a19_f8a4_4178_b6d5_1f56875498d8" localSheetId="25" hidden="1">'[3]Adj. Income Statement'!#REF!</definedName>
    <definedName name="Xbrl_Tag_10857a19_f8a4_4178_b6d5_1f56875498d8" localSheetId="26" hidden="1">'[3]Adj. Income Statement'!#REF!</definedName>
    <definedName name="Xbrl_Tag_10857a19_f8a4_4178_b6d5_1f56875498d8" hidden="1">'[3]Adj. Income Statement'!#REF!</definedName>
    <definedName name="Xbrl_Tag_157035cb_bd67_4700_bac9_8654f3e0e9d9" localSheetId="3" hidden="1">'[3]Adj. Income Statement'!#REF!</definedName>
    <definedName name="Xbrl_Tag_157035cb_bd67_4700_bac9_8654f3e0e9d9" localSheetId="25" hidden="1">'[3]Adj. Income Statement'!#REF!</definedName>
    <definedName name="Xbrl_Tag_157035cb_bd67_4700_bac9_8654f3e0e9d9" localSheetId="26" hidden="1">'[3]Adj. Income Statement'!#REF!</definedName>
    <definedName name="Xbrl_Tag_157035cb_bd67_4700_bac9_8654f3e0e9d9" hidden="1">'[3]Adj. Income Statement'!#REF!</definedName>
    <definedName name="Xbrl_Tag_1a17ee58_77be_41d6_a839_b459b55e8e50" localSheetId="3" hidden="1">'[3]Adj. Income Statement'!#REF!</definedName>
    <definedName name="Xbrl_Tag_1a17ee58_77be_41d6_a839_b459b55e8e50" localSheetId="25" hidden="1">'[3]Adj. Income Statement'!#REF!</definedName>
    <definedName name="Xbrl_Tag_1a17ee58_77be_41d6_a839_b459b55e8e50" localSheetId="26" hidden="1">'[3]Adj. Income Statement'!#REF!</definedName>
    <definedName name="Xbrl_Tag_1a17ee58_77be_41d6_a839_b459b55e8e50" hidden="1">'[3]Adj. Income Statement'!#REF!</definedName>
    <definedName name="Xbrl_Tag_1d7e0664_9af3_4cfd_93bd_b4acb420ada8" localSheetId="3" hidden="1">'[3]Adj. Income Statement'!#REF!</definedName>
    <definedName name="Xbrl_Tag_1d7e0664_9af3_4cfd_93bd_b4acb420ada8" localSheetId="25" hidden="1">'[3]Adj. Income Statement'!#REF!</definedName>
    <definedName name="Xbrl_Tag_1d7e0664_9af3_4cfd_93bd_b4acb420ada8" localSheetId="26" hidden="1">'[3]Adj. Income Statement'!#REF!</definedName>
    <definedName name="Xbrl_Tag_1d7e0664_9af3_4cfd_93bd_b4acb420ada8" hidden="1">'[3]Adj. Income Statement'!#REF!</definedName>
    <definedName name="Xbrl_Tag_1f22c9c6_d780_4c43_95fb_8b6123261b05" localSheetId="3" hidden="1">'[3]Adj. Income Statement'!#REF!</definedName>
    <definedName name="Xbrl_Tag_1f22c9c6_d780_4c43_95fb_8b6123261b05" localSheetId="25" hidden="1">'[3]Adj. Income Statement'!#REF!</definedName>
    <definedName name="Xbrl_Tag_1f22c9c6_d780_4c43_95fb_8b6123261b05" localSheetId="26" hidden="1">'[3]Adj. Income Statement'!#REF!</definedName>
    <definedName name="Xbrl_Tag_1f22c9c6_d780_4c43_95fb_8b6123261b05" hidden="1">'[3]Adj. Income Statement'!#REF!</definedName>
    <definedName name="Xbrl_Tag_25b41a93_9486_45f9_8873_cc646f7592ac" localSheetId="3" hidden="1">'[3]Adj. Income Statement'!#REF!</definedName>
    <definedName name="Xbrl_Tag_25b41a93_9486_45f9_8873_cc646f7592ac" localSheetId="25" hidden="1">'[3]Adj. Income Statement'!#REF!</definedName>
    <definedName name="Xbrl_Tag_25b41a93_9486_45f9_8873_cc646f7592ac" localSheetId="26" hidden="1">'[3]Adj. Income Statement'!#REF!</definedName>
    <definedName name="Xbrl_Tag_25b41a93_9486_45f9_8873_cc646f7592ac" hidden="1">'[3]Adj. Income Statement'!#REF!</definedName>
    <definedName name="Xbrl_Tag_3389f7d8_f533_46e1_b4e3_fbec1f4d27f5" localSheetId="3" hidden="1">'[3]Adj. Income Statement'!#REF!</definedName>
    <definedName name="Xbrl_Tag_3389f7d8_f533_46e1_b4e3_fbec1f4d27f5" localSheetId="25" hidden="1">'[3]Adj. Income Statement'!#REF!</definedName>
    <definedName name="Xbrl_Tag_3389f7d8_f533_46e1_b4e3_fbec1f4d27f5" localSheetId="26" hidden="1">'[3]Adj. Income Statement'!#REF!</definedName>
    <definedName name="Xbrl_Tag_3389f7d8_f533_46e1_b4e3_fbec1f4d27f5" hidden="1">'[3]Adj. Income Statement'!#REF!</definedName>
    <definedName name="Xbrl_Tag_359d872e_df59_485a_a441_e3067597753f" localSheetId="3" hidden="1">'[3]Adj. Income Statement'!#REF!</definedName>
    <definedName name="Xbrl_Tag_359d872e_df59_485a_a441_e3067597753f" localSheetId="25" hidden="1">'[3]Adj. Income Statement'!#REF!</definedName>
    <definedName name="Xbrl_Tag_359d872e_df59_485a_a441_e3067597753f" localSheetId="26" hidden="1">'[3]Adj. Income Statement'!#REF!</definedName>
    <definedName name="Xbrl_Tag_359d872e_df59_485a_a441_e3067597753f" hidden="1">'[3]Adj. Income Statement'!#REF!</definedName>
    <definedName name="Xbrl_Tag_359eab43_6bae_4f5a_8af7_8f81553cd43d" localSheetId="3" hidden="1">'[3]Adj. Income Statement'!#REF!</definedName>
    <definedName name="Xbrl_Tag_359eab43_6bae_4f5a_8af7_8f81553cd43d" localSheetId="25" hidden="1">'[3]Adj. Income Statement'!#REF!</definedName>
    <definedName name="Xbrl_Tag_359eab43_6bae_4f5a_8af7_8f81553cd43d" localSheetId="26" hidden="1">'[3]Adj. Income Statement'!#REF!</definedName>
    <definedName name="Xbrl_Tag_359eab43_6bae_4f5a_8af7_8f81553cd43d" hidden="1">'[3]Adj. Income Statement'!#REF!</definedName>
    <definedName name="Xbrl_Tag_3a2d5606_5470_4db9_9313_3dc1f43a8b30" localSheetId="3" hidden="1">'[3]Adj. Income Statement'!#REF!</definedName>
    <definedName name="Xbrl_Tag_3a2d5606_5470_4db9_9313_3dc1f43a8b30" localSheetId="25" hidden="1">'[3]Adj. Income Statement'!#REF!</definedName>
    <definedName name="Xbrl_Tag_3a2d5606_5470_4db9_9313_3dc1f43a8b30" localSheetId="26" hidden="1">'[3]Adj. Income Statement'!#REF!</definedName>
    <definedName name="Xbrl_Tag_3a2d5606_5470_4db9_9313_3dc1f43a8b30" hidden="1">'[3]Adj. Income Statement'!#REF!</definedName>
    <definedName name="Xbrl_Tag_3b572db0_b5be_49cb_9497_3be0c26ec438" localSheetId="3" hidden="1">'[3]Adj. Income Statement'!#REF!</definedName>
    <definedName name="Xbrl_Tag_3b572db0_b5be_49cb_9497_3be0c26ec438" localSheetId="25" hidden="1">'[3]Adj. Income Statement'!#REF!</definedName>
    <definedName name="Xbrl_Tag_3b572db0_b5be_49cb_9497_3be0c26ec438" localSheetId="26" hidden="1">'[3]Adj. Income Statement'!#REF!</definedName>
    <definedName name="Xbrl_Tag_3b572db0_b5be_49cb_9497_3be0c26ec438" hidden="1">'[3]Adj. Income Statement'!#REF!</definedName>
    <definedName name="Xbrl_Tag_3e2a4b0f_a9ba_404c_8c83_bbd3862592e4" localSheetId="3" hidden="1">'[3]Adj. Income Statement'!#REF!</definedName>
    <definedName name="Xbrl_Tag_3e2a4b0f_a9ba_404c_8c83_bbd3862592e4" localSheetId="25" hidden="1">'[3]Adj. Income Statement'!#REF!</definedName>
    <definedName name="Xbrl_Tag_3e2a4b0f_a9ba_404c_8c83_bbd3862592e4" localSheetId="26" hidden="1">'[3]Adj. Income Statement'!#REF!</definedName>
    <definedName name="Xbrl_Tag_3e2a4b0f_a9ba_404c_8c83_bbd3862592e4" hidden="1">'[3]Adj. Income Statement'!#REF!</definedName>
    <definedName name="Xbrl_Tag_3f1c33f0_bff2_4296_9181_d7cc1cb508ad" localSheetId="3" hidden="1">'[3]Adj. Income Statement'!#REF!</definedName>
    <definedName name="Xbrl_Tag_3f1c33f0_bff2_4296_9181_d7cc1cb508ad" localSheetId="25" hidden="1">'[3]Adj. Income Statement'!#REF!</definedName>
    <definedName name="Xbrl_Tag_3f1c33f0_bff2_4296_9181_d7cc1cb508ad" localSheetId="26" hidden="1">'[3]Adj. Income Statement'!#REF!</definedName>
    <definedName name="Xbrl_Tag_3f1c33f0_bff2_4296_9181_d7cc1cb508ad" hidden="1">'[3]Adj. Income Statement'!#REF!</definedName>
    <definedName name="Xbrl_Tag_43160aa8_61a0_4559_8ee5_d6da660cfd7b" localSheetId="3" hidden="1">'[3]Adj. Income Statement'!#REF!</definedName>
    <definedName name="Xbrl_Tag_43160aa8_61a0_4559_8ee5_d6da660cfd7b" localSheetId="25" hidden="1">'[3]Adj. Income Statement'!#REF!</definedName>
    <definedName name="Xbrl_Tag_43160aa8_61a0_4559_8ee5_d6da660cfd7b" localSheetId="26" hidden="1">'[3]Adj. Income Statement'!#REF!</definedName>
    <definedName name="Xbrl_Tag_43160aa8_61a0_4559_8ee5_d6da660cfd7b" hidden="1">'[3]Adj. Income Statement'!#REF!</definedName>
    <definedName name="Xbrl_Tag_47e22a59_7971_444b_8e73_01e5291185bb" localSheetId="3" hidden="1">'[3]Adj. Income Statement'!#REF!</definedName>
    <definedName name="Xbrl_Tag_47e22a59_7971_444b_8e73_01e5291185bb" localSheetId="25" hidden="1">'[3]Adj. Income Statement'!#REF!</definedName>
    <definedName name="Xbrl_Tag_47e22a59_7971_444b_8e73_01e5291185bb" localSheetId="26" hidden="1">'[3]Adj. Income Statement'!#REF!</definedName>
    <definedName name="Xbrl_Tag_47e22a59_7971_444b_8e73_01e5291185bb" hidden="1">'[3]Adj. Income Statement'!#REF!</definedName>
    <definedName name="Xbrl_Tag_5225a8bc_9d76_4e4d_8197_37f70d298267" localSheetId="3" hidden="1">'[3]Adj. Income Statement'!#REF!</definedName>
    <definedName name="Xbrl_Tag_5225a8bc_9d76_4e4d_8197_37f70d298267" localSheetId="25" hidden="1">'[3]Adj. Income Statement'!#REF!</definedName>
    <definedName name="Xbrl_Tag_5225a8bc_9d76_4e4d_8197_37f70d298267" localSheetId="26" hidden="1">'[3]Adj. Income Statement'!#REF!</definedName>
    <definedName name="Xbrl_Tag_5225a8bc_9d76_4e4d_8197_37f70d298267" hidden="1">'[3]Adj. Income Statement'!#REF!</definedName>
    <definedName name="Xbrl_Tag_56e27846_9e07_4473_ad08_7bb4a5bf7faa" localSheetId="3" hidden="1">'[3]Adj. Income Statement'!#REF!</definedName>
    <definedName name="Xbrl_Tag_56e27846_9e07_4473_ad08_7bb4a5bf7faa" localSheetId="25" hidden="1">'[3]Adj. Income Statement'!#REF!</definedName>
    <definedName name="Xbrl_Tag_56e27846_9e07_4473_ad08_7bb4a5bf7faa" localSheetId="26" hidden="1">'[3]Adj. Income Statement'!#REF!</definedName>
    <definedName name="Xbrl_Tag_56e27846_9e07_4473_ad08_7bb4a5bf7faa" hidden="1">'[3]Adj. Income Statement'!#REF!</definedName>
    <definedName name="Xbrl_Tag_5b7286ee_d427_4e54_9399_1a836cd32976" localSheetId="3" hidden="1">'[3]Adj. Income Statement'!#REF!</definedName>
    <definedName name="Xbrl_Tag_5b7286ee_d427_4e54_9399_1a836cd32976" localSheetId="25" hidden="1">'[3]Adj. Income Statement'!#REF!</definedName>
    <definedName name="Xbrl_Tag_5b7286ee_d427_4e54_9399_1a836cd32976" localSheetId="26" hidden="1">'[3]Adj. Income Statement'!#REF!</definedName>
    <definedName name="Xbrl_Tag_5b7286ee_d427_4e54_9399_1a836cd32976" hidden="1">'[3]Adj. Income Statement'!#REF!</definedName>
    <definedName name="Xbrl_Tag_5e2f6e4c_effc_4374_9096_f6a66490bc43" localSheetId="3" hidden="1">'[3]Adj. Income Statement'!#REF!</definedName>
    <definedName name="Xbrl_Tag_5e2f6e4c_effc_4374_9096_f6a66490bc43" localSheetId="25" hidden="1">'[3]Adj. Income Statement'!#REF!</definedName>
    <definedName name="Xbrl_Tag_5e2f6e4c_effc_4374_9096_f6a66490bc43" localSheetId="26" hidden="1">'[3]Adj. Income Statement'!#REF!</definedName>
    <definedName name="Xbrl_Tag_5e2f6e4c_effc_4374_9096_f6a66490bc43" hidden="1">'[3]Adj. Income Statement'!#REF!</definedName>
    <definedName name="Xbrl_Tag_5e4ed468_08c0_4e10_b780_063e9fad75bb" localSheetId="3" hidden="1">'[3]Adj. Income Statement'!#REF!</definedName>
    <definedName name="Xbrl_Tag_5e4ed468_08c0_4e10_b780_063e9fad75bb" localSheetId="25" hidden="1">'[3]Adj. Income Statement'!#REF!</definedName>
    <definedName name="Xbrl_Tag_5e4ed468_08c0_4e10_b780_063e9fad75bb" localSheetId="26" hidden="1">'[3]Adj. Income Statement'!#REF!</definedName>
    <definedName name="Xbrl_Tag_5e4ed468_08c0_4e10_b780_063e9fad75bb" hidden="1">'[3]Adj. Income Statement'!#REF!</definedName>
    <definedName name="Xbrl_Tag_5efedf90_6eb4_4d47_8343_cb1307f08d80" localSheetId="3" hidden="1">'[3]Adj. Income Statement'!#REF!</definedName>
    <definedName name="Xbrl_Tag_5efedf90_6eb4_4d47_8343_cb1307f08d80" localSheetId="25" hidden="1">'[3]Adj. Income Statement'!#REF!</definedName>
    <definedName name="Xbrl_Tag_5efedf90_6eb4_4d47_8343_cb1307f08d80" localSheetId="26" hidden="1">'[3]Adj. Income Statement'!#REF!</definedName>
    <definedName name="Xbrl_Tag_5efedf90_6eb4_4d47_8343_cb1307f08d80" hidden="1">'[3]Adj. Income Statement'!#REF!</definedName>
    <definedName name="Xbrl_Tag_60671786_7f0e_4efe_b101_fc89065bbbc4" localSheetId="3" hidden="1">'[3]Adj. Income Statement'!#REF!</definedName>
    <definedName name="Xbrl_Tag_60671786_7f0e_4efe_b101_fc89065bbbc4" localSheetId="25" hidden="1">'[3]Adj. Income Statement'!#REF!</definedName>
    <definedName name="Xbrl_Tag_60671786_7f0e_4efe_b101_fc89065bbbc4" localSheetId="26" hidden="1">'[3]Adj. Income Statement'!#REF!</definedName>
    <definedName name="Xbrl_Tag_60671786_7f0e_4efe_b101_fc89065bbbc4" hidden="1">'[3]Adj. Income Statement'!#REF!</definedName>
    <definedName name="Xbrl_Tag_60802841_ecf0_4e57_a96e_084d65541dcb" localSheetId="3" hidden="1">'[3]Adj. Income Statement'!#REF!</definedName>
    <definedName name="Xbrl_Tag_60802841_ecf0_4e57_a96e_084d65541dcb" localSheetId="25" hidden="1">'[3]Adj. Income Statement'!#REF!</definedName>
    <definedName name="Xbrl_Tag_60802841_ecf0_4e57_a96e_084d65541dcb" localSheetId="26" hidden="1">'[3]Adj. Income Statement'!#REF!</definedName>
    <definedName name="Xbrl_Tag_60802841_ecf0_4e57_a96e_084d65541dcb" hidden="1">'[3]Adj. Income Statement'!#REF!</definedName>
    <definedName name="Xbrl_Tag_6b90dd42_fcd8_4968_8afd_6736492259b1" localSheetId="3" hidden="1">'[3]Adj. Income Statement'!#REF!</definedName>
    <definedName name="Xbrl_Tag_6b90dd42_fcd8_4968_8afd_6736492259b1" localSheetId="25" hidden="1">'[3]Adj. Income Statement'!#REF!</definedName>
    <definedName name="Xbrl_Tag_6b90dd42_fcd8_4968_8afd_6736492259b1" localSheetId="26" hidden="1">'[3]Adj. Income Statement'!#REF!</definedName>
    <definedName name="Xbrl_Tag_6b90dd42_fcd8_4968_8afd_6736492259b1" hidden="1">'[3]Adj. Income Statement'!#REF!</definedName>
    <definedName name="Xbrl_Tag_6e1527a0_8e9b_41c7_b670_b6099df9c72f" localSheetId="3" hidden="1">'[3]Adj. Income Statement'!#REF!</definedName>
    <definedName name="Xbrl_Tag_6e1527a0_8e9b_41c7_b670_b6099df9c72f" localSheetId="25" hidden="1">'[3]Adj. Income Statement'!#REF!</definedName>
    <definedName name="Xbrl_Tag_6e1527a0_8e9b_41c7_b670_b6099df9c72f" localSheetId="26" hidden="1">'[3]Adj. Income Statement'!#REF!</definedName>
    <definedName name="Xbrl_Tag_6e1527a0_8e9b_41c7_b670_b6099df9c72f" hidden="1">'[3]Adj. Income Statement'!#REF!</definedName>
    <definedName name="Xbrl_Tag_7003e101_ef6f_40fd_959a_81c14d2cf88a" localSheetId="3" hidden="1">'[3]Adj. Income Statement'!#REF!</definedName>
    <definedName name="Xbrl_Tag_7003e101_ef6f_40fd_959a_81c14d2cf88a" localSheetId="25" hidden="1">'[3]Adj. Income Statement'!#REF!</definedName>
    <definedName name="Xbrl_Tag_7003e101_ef6f_40fd_959a_81c14d2cf88a" localSheetId="26" hidden="1">'[3]Adj. Income Statement'!#REF!</definedName>
    <definedName name="Xbrl_Tag_7003e101_ef6f_40fd_959a_81c14d2cf88a" hidden="1">'[3]Adj. Income Statement'!#REF!</definedName>
    <definedName name="Xbrl_Tag_7120f3c6_2d5d_417b_9dd0_ecab9471dbc9" localSheetId="3" hidden="1">'[3]Adj. Income Statement'!#REF!</definedName>
    <definedName name="Xbrl_Tag_7120f3c6_2d5d_417b_9dd0_ecab9471dbc9" localSheetId="25" hidden="1">'[3]Adj. Income Statement'!#REF!</definedName>
    <definedName name="Xbrl_Tag_7120f3c6_2d5d_417b_9dd0_ecab9471dbc9" localSheetId="26" hidden="1">'[3]Adj. Income Statement'!#REF!</definedName>
    <definedName name="Xbrl_Tag_7120f3c6_2d5d_417b_9dd0_ecab9471dbc9" hidden="1">'[3]Adj. Income Statement'!#REF!</definedName>
    <definedName name="Xbrl_Tag_717e1b49_4a4d_41a2_8691_a3ef7d067cf1" localSheetId="3" hidden="1">'[3]Adj. Income Statement'!#REF!</definedName>
    <definedName name="Xbrl_Tag_717e1b49_4a4d_41a2_8691_a3ef7d067cf1" localSheetId="25" hidden="1">'[3]Adj. Income Statement'!#REF!</definedName>
    <definedName name="Xbrl_Tag_717e1b49_4a4d_41a2_8691_a3ef7d067cf1" localSheetId="26" hidden="1">'[3]Adj. Income Statement'!#REF!</definedName>
    <definedName name="Xbrl_Tag_717e1b49_4a4d_41a2_8691_a3ef7d067cf1" hidden="1">'[3]Adj. Income Statement'!#REF!</definedName>
    <definedName name="Xbrl_Tag_729b319e_8812_4e23_9b44_cd813ffaf1fe" localSheetId="3" hidden="1">'[3]Adj. Income Statement'!#REF!</definedName>
    <definedName name="Xbrl_Tag_729b319e_8812_4e23_9b44_cd813ffaf1fe" localSheetId="25" hidden="1">'[3]Adj. Income Statement'!#REF!</definedName>
    <definedName name="Xbrl_Tag_729b319e_8812_4e23_9b44_cd813ffaf1fe" localSheetId="26" hidden="1">'[3]Adj. Income Statement'!#REF!</definedName>
    <definedName name="Xbrl_Tag_729b319e_8812_4e23_9b44_cd813ffaf1fe" hidden="1">'[3]Adj. Income Statement'!#REF!</definedName>
    <definedName name="Xbrl_Tag_74e27f18_3a0d_499e_a65b_355cefde250d" localSheetId="3" hidden="1">'[3]Adj. Income Statement'!#REF!</definedName>
    <definedName name="Xbrl_Tag_74e27f18_3a0d_499e_a65b_355cefde250d" localSheetId="25" hidden="1">'[3]Adj. Income Statement'!#REF!</definedName>
    <definedName name="Xbrl_Tag_74e27f18_3a0d_499e_a65b_355cefde250d" localSheetId="26" hidden="1">'[3]Adj. Income Statement'!#REF!</definedName>
    <definedName name="Xbrl_Tag_74e27f18_3a0d_499e_a65b_355cefde250d" hidden="1">'[3]Adj. Income Statement'!#REF!</definedName>
    <definedName name="Xbrl_Tag_76377ee8_44ec_4706_b36c_e475d4a6cffc" localSheetId="3" hidden="1">'[3]Adj. Income Statement'!#REF!</definedName>
    <definedName name="Xbrl_Tag_76377ee8_44ec_4706_b36c_e475d4a6cffc" localSheetId="25" hidden="1">'[3]Adj. Income Statement'!#REF!</definedName>
    <definedName name="Xbrl_Tag_76377ee8_44ec_4706_b36c_e475d4a6cffc" localSheetId="26" hidden="1">'[3]Adj. Income Statement'!#REF!</definedName>
    <definedName name="Xbrl_Tag_76377ee8_44ec_4706_b36c_e475d4a6cffc" hidden="1">'[3]Adj. Income Statement'!#REF!</definedName>
    <definedName name="Xbrl_Tag_7bfd249d_4459_4a20_97f6_779ca44ada3b" localSheetId="3" hidden="1">'[3]Adj. Income Statement'!#REF!</definedName>
    <definedName name="Xbrl_Tag_7bfd249d_4459_4a20_97f6_779ca44ada3b" localSheetId="25" hidden="1">'[3]Adj. Income Statement'!#REF!</definedName>
    <definedName name="Xbrl_Tag_7bfd249d_4459_4a20_97f6_779ca44ada3b" localSheetId="26" hidden="1">'[3]Adj. Income Statement'!#REF!</definedName>
    <definedName name="Xbrl_Tag_7bfd249d_4459_4a20_97f6_779ca44ada3b" hidden="1">'[3]Adj. Income Statement'!#REF!</definedName>
    <definedName name="Xbrl_Tag_848a3bbd_ffb9_4097_93bf_014229938d6a" localSheetId="3" hidden="1">'[3]Adj. Income Statement'!#REF!</definedName>
    <definedName name="Xbrl_Tag_848a3bbd_ffb9_4097_93bf_014229938d6a" localSheetId="25" hidden="1">'[3]Adj. Income Statement'!#REF!</definedName>
    <definedName name="Xbrl_Tag_848a3bbd_ffb9_4097_93bf_014229938d6a" localSheetId="26" hidden="1">'[3]Adj. Income Statement'!#REF!</definedName>
    <definedName name="Xbrl_Tag_848a3bbd_ffb9_4097_93bf_014229938d6a" hidden="1">'[3]Adj. Income Statement'!#REF!</definedName>
    <definedName name="Xbrl_Tag_8d5cd3d4_55e4_4713_bce9_54948c631266" localSheetId="3" hidden="1">'[3]Adj. Income Statement'!#REF!</definedName>
    <definedName name="Xbrl_Tag_8d5cd3d4_55e4_4713_bce9_54948c631266" localSheetId="25" hidden="1">'[3]Adj. Income Statement'!#REF!</definedName>
    <definedName name="Xbrl_Tag_8d5cd3d4_55e4_4713_bce9_54948c631266" localSheetId="26" hidden="1">'[3]Adj. Income Statement'!#REF!</definedName>
    <definedName name="Xbrl_Tag_8d5cd3d4_55e4_4713_bce9_54948c631266" hidden="1">'[3]Adj. Income Statement'!#REF!</definedName>
    <definedName name="Xbrl_Tag_9265a09f_3d1f_4e90_8181_a55f534abcf7" localSheetId="3" hidden="1">'[3]Adj. Income Statement'!#REF!</definedName>
    <definedName name="Xbrl_Tag_9265a09f_3d1f_4e90_8181_a55f534abcf7" localSheetId="25" hidden="1">'[3]Adj. Income Statement'!#REF!</definedName>
    <definedName name="Xbrl_Tag_9265a09f_3d1f_4e90_8181_a55f534abcf7" localSheetId="26" hidden="1">'[3]Adj. Income Statement'!#REF!</definedName>
    <definedName name="Xbrl_Tag_9265a09f_3d1f_4e90_8181_a55f534abcf7" hidden="1">'[3]Adj. Income Statement'!#REF!</definedName>
    <definedName name="Xbrl_Tag_94cf5a67_ea28_42d1_b071_8f24a2864445" localSheetId="3" hidden="1">'[3]Adj. Income Statement'!#REF!</definedName>
    <definedName name="Xbrl_Tag_94cf5a67_ea28_42d1_b071_8f24a2864445" localSheetId="25" hidden="1">'[3]Adj. Income Statement'!#REF!</definedName>
    <definedName name="Xbrl_Tag_94cf5a67_ea28_42d1_b071_8f24a2864445" localSheetId="26" hidden="1">'[3]Adj. Income Statement'!#REF!</definedName>
    <definedName name="Xbrl_Tag_94cf5a67_ea28_42d1_b071_8f24a2864445" hidden="1">'[3]Adj. Income Statement'!#REF!</definedName>
    <definedName name="Xbrl_Tag_95086fc4_6c0f_4a0f_bf5f_c393cf959e9a" localSheetId="3" hidden="1">'[3]Adj. Income Statement'!#REF!</definedName>
    <definedName name="Xbrl_Tag_95086fc4_6c0f_4a0f_bf5f_c393cf959e9a" localSheetId="25" hidden="1">'[3]Adj. Income Statement'!#REF!</definedName>
    <definedName name="Xbrl_Tag_95086fc4_6c0f_4a0f_bf5f_c393cf959e9a" localSheetId="26" hidden="1">'[3]Adj. Income Statement'!#REF!</definedName>
    <definedName name="Xbrl_Tag_95086fc4_6c0f_4a0f_bf5f_c393cf959e9a" hidden="1">'[3]Adj. Income Statement'!#REF!</definedName>
    <definedName name="Xbrl_Tag_99933dd6_f0fc_421a_9b9b_634b2b60dec3" localSheetId="3" hidden="1">'[3]Adj. Income Statement'!#REF!</definedName>
    <definedName name="Xbrl_Tag_99933dd6_f0fc_421a_9b9b_634b2b60dec3" localSheetId="25" hidden="1">'[3]Adj. Income Statement'!#REF!</definedName>
    <definedName name="Xbrl_Tag_99933dd6_f0fc_421a_9b9b_634b2b60dec3" localSheetId="26" hidden="1">'[3]Adj. Income Statement'!#REF!</definedName>
    <definedName name="Xbrl_Tag_99933dd6_f0fc_421a_9b9b_634b2b60dec3" hidden="1">'[3]Adj. Income Statement'!#REF!</definedName>
    <definedName name="Xbrl_Tag_a862d720_9241_4a30_a271_b70e9c381f31" localSheetId="3" hidden="1">'[3]Adj. Income Statement'!#REF!</definedName>
    <definedName name="Xbrl_Tag_a862d720_9241_4a30_a271_b70e9c381f31" localSheetId="25" hidden="1">'[3]Adj. Income Statement'!#REF!</definedName>
    <definedName name="Xbrl_Tag_a862d720_9241_4a30_a271_b70e9c381f31" localSheetId="26" hidden="1">'[3]Adj. Income Statement'!#REF!</definedName>
    <definedName name="Xbrl_Tag_a862d720_9241_4a30_a271_b70e9c381f31" hidden="1">'[3]Adj. Income Statement'!#REF!</definedName>
    <definedName name="Xbrl_Tag_adfbba3c_68ad_4b08_a539_0ed55d3f9d5a" localSheetId="3" hidden="1">'[3]Adj. Income Statement'!#REF!</definedName>
    <definedName name="Xbrl_Tag_adfbba3c_68ad_4b08_a539_0ed55d3f9d5a" localSheetId="25" hidden="1">'[3]Adj. Income Statement'!#REF!</definedName>
    <definedName name="Xbrl_Tag_adfbba3c_68ad_4b08_a539_0ed55d3f9d5a" localSheetId="26" hidden="1">'[3]Adj. Income Statement'!#REF!</definedName>
    <definedName name="Xbrl_Tag_adfbba3c_68ad_4b08_a539_0ed55d3f9d5a" hidden="1">'[3]Adj. Income Statement'!#REF!</definedName>
    <definedName name="Xbrl_Tag_ae50734f_518c_403d_9d12_e2a921b026bb" localSheetId="3" hidden="1">'[3]Adj. Income Statement'!#REF!</definedName>
    <definedName name="Xbrl_Tag_ae50734f_518c_403d_9d12_e2a921b026bb" localSheetId="25" hidden="1">'[3]Adj. Income Statement'!#REF!</definedName>
    <definedName name="Xbrl_Tag_ae50734f_518c_403d_9d12_e2a921b026bb" localSheetId="26" hidden="1">'[3]Adj. Income Statement'!#REF!</definedName>
    <definedName name="Xbrl_Tag_ae50734f_518c_403d_9d12_e2a921b026bb" hidden="1">'[3]Adj. Income Statement'!#REF!</definedName>
    <definedName name="Xbrl_Tag_b0241925_c1ae_46bf_a767_386c3caff01d" localSheetId="3" hidden="1">'[3]Adj. Income Statement'!#REF!</definedName>
    <definedName name="Xbrl_Tag_b0241925_c1ae_46bf_a767_386c3caff01d" localSheetId="25" hidden="1">'[3]Adj. Income Statement'!#REF!</definedName>
    <definedName name="Xbrl_Tag_b0241925_c1ae_46bf_a767_386c3caff01d" localSheetId="26" hidden="1">'[3]Adj. Income Statement'!#REF!</definedName>
    <definedName name="Xbrl_Tag_b0241925_c1ae_46bf_a767_386c3caff01d" hidden="1">'[3]Adj. Income Statement'!#REF!</definedName>
    <definedName name="Xbrl_Tag_b5d40829_0fdd_433d_a950_71e472d9ef83" localSheetId="3" hidden="1">'[3]Adj. Income Statement'!#REF!</definedName>
    <definedName name="Xbrl_Tag_b5d40829_0fdd_433d_a950_71e472d9ef83" localSheetId="25" hidden="1">'[3]Adj. Income Statement'!#REF!</definedName>
    <definedName name="Xbrl_Tag_b5d40829_0fdd_433d_a950_71e472d9ef83" localSheetId="26" hidden="1">'[3]Adj. Income Statement'!#REF!</definedName>
    <definedName name="Xbrl_Tag_b5d40829_0fdd_433d_a950_71e472d9ef83" hidden="1">'[3]Adj. Income Statement'!#REF!</definedName>
    <definedName name="Xbrl_Tag_b649d62e_a6bc_4241_a6b7_068087ca85f4" localSheetId="3" hidden="1">'[3]Adj. Income Statement'!#REF!</definedName>
    <definedName name="Xbrl_Tag_b649d62e_a6bc_4241_a6b7_068087ca85f4" localSheetId="25" hidden="1">'[3]Adj. Income Statement'!#REF!</definedName>
    <definedName name="Xbrl_Tag_b649d62e_a6bc_4241_a6b7_068087ca85f4" localSheetId="26" hidden="1">'[3]Adj. Income Statement'!#REF!</definedName>
    <definedName name="Xbrl_Tag_b649d62e_a6bc_4241_a6b7_068087ca85f4" hidden="1">'[3]Adj. Income Statement'!#REF!</definedName>
    <definedName name="Xbrl_Tag_b8bf6112_e4b6_49dc_ba78_da6302bc43e7" localSheetId="3" hidden="1">'[3]Adj. Income Statement'!#REF!</definedName>
    <definedName name="Xbrl_Tag_b8bf6112_e4b6_49dc_ba78_da6302bc43e7" localSheetId="25" hidden="1">'[3]Adj. Income Statement'!#REF!</definedName>
    <definedName name="Xbrl_Tag_b8bf6112_e4b6_49dc_ba78_da6302bc43e7" localSheetId="26" hidden="1">'[3]Adj. Income Statement'!#REF!</definedName>
    <definedName name="Xbrl_Tag_b8bf6112_e4b6_49dc_ba78_da6302bc43e7" hidden="1">'[3]Adj. Income Statement'!#REF!</definedName>
    <definedName name="Xbrl_Tag_bae390fc_4591_4996_aba5_07899907ff02" localSheetId="3" hidden="1">'[3]Adj. Income Statement'!#REF!</definedName>
    <definedName name="Xbrl_Tag_bae390fc_4591_4996_aba5_07899907ff02" localSheetId="25" hidden="1">'[3]Adj. Income Statement'!#REF!</definedName>
    <definedName name="Xbrl_Tag_bae390fc_4591_4996_aba5_07899907ff02" localSheetId="26" hidden="1">'[3]Adj. Income Statement'!#REF!</definedName>
    <definedName name="Xbrl_Tag_bae390fc_4591_4996_aba5_07899907ff02" hidden="1">'[3]Adj. Income Statement'!#REF!</definedName>
    <definedName name="Xbrl_Tag_c251f426_b699_40b7_ba72_06cdc2336bb3" localSheetId="3" hidden="1">'[3]Adj. Income Statement'!#REF!</definedName>
    <definedName name="Xbrl_Tag_c251f426_b699_40b7_ba72_06cdc2336bb3" localSheetId="25" hidden="1">'[3]Adj. Income Statement'!#REF!</definedName>
    <definedName name="Xbrl_Tag_c251f426_b699_40b7_ba72_06cdc2336bb3" localSheetId="26" hidden="1">'[3]Adj. Income Statement'!#REF!</definedName>
    <definedName name="Xbrl_Tag_c251f426_b699_40b7_ba72_06cdc2336bb3" hidden="1">'[3]Adj. Income Statement'!#REF!</definedName>
    <definedName name="Xbrl_Tag_c9749016_30d3_4a1c_a478_72760a5958e3" localSheetId="3" hidden="1">'[3]Adj. Income Statement'!#REF!</definedName>
    <definedName name="Xbrl_Tag_c9749016_30d3_4a1c_a478_72760a5958e3" localSheetId="25" hidden="1">'[3]Adj. Income Statement'!#REF!</definedName>
    <definedName name="Xbrl_Tag_c9749016_30d3_4a1c_a478_72760a5958e3" localSheetId="26" hidden="1">'[3]Adj. Income Statement'!#REF!</definedName>
    <definedName name="Xbrl_Tag_c9749016_30d3_4a1c_a478_72760a5958e3" hidden="1">'[3]Adj. Income Statement'!#REF!</definedName>
    <definedName name="Xbrl_Tag_c9f670e1_f64d_4c34_a82b_5400bfb21c56" localSheetId="3" hidden="1">'[3]Adj. Income Statement'!#REF!</definedName>
    <definedName name="Xbrl_Tag_c9f670e1_f64d_4c34_a82b_5400bfb21c56" localSheetId="25" hidden="1">'[3]Adj. Income Statement'!#REF!</definedName>
    <definedName name="Xbrl_Tag_c9f670e1_f64d_4c34_a82b_5400bfb21c56" localSheetId="26" hidden="1">'[3]Adj. Income Statement'!#REF!</definedName>
    <definedName name="Xbrl_Tag_c9f670e1_f64d_4c34_a82b_5400bfb21c56" hidden="1">'[3]Adj. Income Statement'!#REF!</definedName>
    <definedName name="Xbrl_Tag_cd60a268_2a82_4c24_ac15_f0f7ad874107" localSheetId="3" hidden="1">'[3]Adj. Income Statement'!#REF!</definedName>
    <definedName name="Xbrl_Tag_cd60a268_2a82_4c24_ac15_f0f7ad874107" localSheetId="25" hidden="1">'[3]Adj. Income Statement'!#REF!</definedName>
    <definedName name="Xbrl_Tag_cd60a268_2a82_4c24_ac15_f0f7ad874107" localSheetId="26" hidden="1">'[3]Adj. Income Statement'!#REF!</definedName>
    <definedName name="Xbrl_Tag_cd60a268_2a82_4c24_ac15_f0f7ad874107" hidden="1">'[3]Adj. Income Statement'!#REF!</definedName>
    <definedName name="Xbrl_Tag_cedeaf5a_67a1_461e_8505_b0f9b2659e01" localSheetId="3" hidden="1">'[3]Adj. Income Statement'!#REF!</definedName>
    <definedName name="Xbrl_Tag_cedeaf5a_67a1_461e_8505_b0f9b2659e01" localSheetId="25" hidden="1">'[3]Adj. Income Statement'!#REF!</definedName>
    <definedName name="Xbrl_Tag_cedeaf5a_67a1_461e_8505_b0f9b2659e01" localSheetId="26" hidden="1">'[3]Adj. Income Statement'!#REF!</definedName>
    <definedName name="Xbrl_Tag_cedeaf5a_67a1_461e_8505_b0f9b2659e01" hidden="1">'[3]Adj. Income Statement'!#REF!</definedName>
    <definedName name="Xbrl_Tag_d4afa79e_d64b_4386_af66_81110932cac7" localSheetId="3" hidden="1">'[3]Adj. Income Statement'!#REF!</definedName>
    <definedName name="Xbrl_Tag_d4afa79e_d64b_4386_af66_81110932cac7" localSheetId="25" hidden="1">'[3]Adj. Income Statement'!#REF!</definedName>
    <definedName name="Xbrl_Tag_d4afa79e_d64b_4386_af66_81110932cac7" localSheetId="26" hidden="1">'[3]Adj. Income Statement'!#REF!</definedName>
    <definedName name="Xbrl_Tag_d4afa79e_d64b_4386_af66_81110932cac7" hidden="1">'[3]Adj. Income Statement'!#REF!</definedName>
    <definedName name="Xbrl_Tag_d646885a_13e7_48b6_a22b_b23dd67119ff" localSheetId="3" hidden="1">'[3]Adj. Income Statement'!#REF!</definedName>
    <definedName name="Xbrl_Tag_d646885a_13e7_48b6_a22b_b23dd67119ff" localSheetId="25" hidden="1">'[3]Adj. Income Statement'!#REF!</definedName>
    <definedName name="Xbrl_Tag_d646885a_13e7_48b6_a22b_b23dd67119ff" localSheetId="26" hidden="1">'[3]Adj. Income Statement'!#REF!</definedName>
    <definedName name="Xbrl_Tag_d646885a_13e7_48b6_a22b_b23dd67119ff" hidden="1">'[3]Adj. Income Statement'!#REF!</definedName>
    <definedName name="Xbrl_Tag_d9ae9ca8_593c_41e1_a638_114bebca7596" localSheetId="3" hidden="1">'[3]Adj. Income Statement'!#REF!</definedName>
    <definedName name="Xbrl_Tag_d9ae9ca8_593c_41e1_a638_114bebca7596" localSheetId="25" hidden="1">'[3]Adj. Income Statement'!#REF!</definedName>
    <definedName name="Xbrl_Tag_d9ae9ca8_593c_41e1_a638_114bebca7596" localSheetId="26" hidden="1">'[3]Adj. Income Statement'!#REF!</definedName>
    <definedName name="Xbrl_Tag_d9ae9ca8_593c_41e1_a638_114bebca7596" hidden="1">'[3]Adj. Income Statement'!#REF!</definedName>
    <definedName name="Xbrl_Tag_e18ec5c4_a090_4244_ac37_0dcecc7c81d8" localSheetId="3" hidden="1">'[3]Adj. Income Statement'!#REF!</definedName>
    <definedName name="Xbrl_Tag_e18ec5c4_a090_4244_ac37_0dcecc7c81d8" localSheetId="25" hidden="1">'[3]Adj. Income Statement'!#REF!</definedName>
    <definedName name="Xbrl_Tag_e18ec5c4_a090_4244_ac37_0dcecc7c81d8" localSheetId="26" hidden="1">'[3]Adj. Income Statement'!#REF!</definedName>
    <definedName name="Xbrl_Tag_e18ec5c4_a090_4244_ac37_0dcecc7c81d8" hidden="1">'[3]Adj. Income Statement'!#REF!</definedName>
    <definedName name="Xbrl_Tag_e1ea8c88_b797_4407_a87d_9da2892362e4" localSheetId="3" hidden="1">'[3]Adj. Income Statement'!#REF!</definedName>
    <definedName name="Xbrl_Tag_e1ea8c88_b797_4407_a87d_9da2892362e4" localSheetId="25" hidden="1">'[3]Adj. Income Statement'!#REF!</definedName>
    <definedName name="Xbrl_Tag_e1ea8c88_b797_4407_a87d_9da2892362e4" localSheetId="26" hidden="1">'[3]Adj. Income Statement'!#REF!</definedName>
    <definedName name="Xbrl_Tag_e1ea8c88_b797_4407_a87d_9da2892362e4" hidden="1">'[3]Adj. Income Statement'!#REF!</definedName>
    <definedName name="Xbrl_Tag_e75da760_6958_4085_aa7d_1b3c5e32dd34" localSheetId="3" hidden="1">'[3]Adj. Income Statement'!#REF!</definedName>
    <definedName name="Xbrl_Tag_e75da760_6958_4085_aa7d_1b3c5e32dd34" localSheetId="25" hidden="1">'[3]Adj. Income Statement'!#REF!</definedName>
    <definedName name="Xbrl_Tag_e75da760_6958_4085_aa7d_1b3c5e32dd34" localSheetId="26" hidden="1">'[3]Adj. Income Statement'!#REF!</definedName>
    <definedName name="Xbrl_Tag_e75da760_6958_4085_aa7d_1b3c5e32dd34" hidden="1">'[3]Adj. Income Statement'!#REF!</definedName>
    <definedName name="Xbrl_Tag_e8bfc542_785c_45ec_9dbe_3b93db69332e" localSheetId="3" hidden="1">'[3]Adj. Income Statement'!#REF!</definedName>
    <definedName name="Xbrl_Tag_e8bfc542_785c_45ec_9dbe_3b93db69332e" localSheetId="25" hidden="1">'[3]Adj. Income Statement'!#REF!</definedName>
    <definedName name="Xbrl_Tag_e8bfc542_785c_45ec_9dbe_3b93db69332e" localSheetId="26" hidden="1">'[3]Adj. Income Statement'!#REF!</definedName>
    <definedName name="Xbrl_Tag_e8bfc542_785c_45ec_9dbe_3b93db69332e" hidden="1">'[3]Adj. Income Statement'!#REF!</definedName>
    <definedName name="Xbrl_Tag_eade47b0_2243_4d32_861b_8c3268e26cf3" localSheetId="3" hidden="1">'[3]Adj. Income Statement'!#REF!</definedName>
    <definedName name="Xbrl_Tag_eade47b0_2243_4d32_861b_8c3268e26cf3" localSheetId="25" hidden="1">'[3]Adj. Income Statement'!#REF!</definedName>
    <definedName name="Xbrl_Tag_eade47b0_2243_4d32_861b_8c3268e26cf3" localSheetId="26" hidden="1">'[3]Adj. Income Statement'!#REF!</definedName>
    <definedName name="Xbrl_Tag_eade47b0_2243_4d32_861b_8c3268e26cf3" hidden="1">'[3]Adj. Income Statement'!#REF!</definedName>
    <definedName name="Xbrl_Tag_ed34a669_2210_43e3_8d94_63f3a7a48c96" localSheetId="3" hidden="1">'[3]Adj. Income Statement'!#REF!</definedName>
    <definedName name="Xbrl_Tag_ed34a669_2210_43e3_8d94_63f3a7a48c96" localSheetId="25" hidden="1">'[3]Adj. Income Statement'!#REF!</definedName>
    <definedName name="Xbrl_Tag_ed34a669_2210_43e3_8d94_63f3a7a48c96" localSheetId="26" hidden="1">'[3]Adj. Income Statement'!#REF!</definedName>
    <definedName name="Xbrl_Tag_ed34a669_2210_43e3_8d94_63f3a7a48c96" hidden="1">'[3]Adj. Income Statement'!#REF!</definedName>
    <definedName name="Xbrl_Tag_ee7a2416_a975_4201_9277_8290d8908ccf" localSheetId="3" hidden="1">'[3]Adj. Income Statement'!#REF!</definedName>
    <definedName name="Xbrl_Tag_ee7a2416_a975_4201_9277_8290d8908ccf" localSheetId="25" hidden="1">'[3]Adj. Income Statement'!#REF!</definedName>
    <definedName name="Xbrl_Tag_ee7a2416_a975_4201_9277_8290d8908ccf" localSheetId="26" hidden="1">'[3]Adj. Income Statement'!#REF!</definedName>
    <definedName name="Xbrl_Tag_ee7a2416_a975_4201_9277_8290d8908ccf" hidden="1">'[3]Adj. Income Statement'!#REF!</definedName>
    <definedName name="Xbrl_Tag_ee8a51a9_161a_4f09_82e8_d18efd1119a1" localSheetId="3" hidden="1">'[3]Adj. Income Statement'!#REF!</definedName>
    <definedName name="Xbrl_Tag_ee8a51a9_161a_4f09_82e8_d18efd1119a1" localSheetId="25" hidden="1">'[3]Adj. Income Statement'!#REF!</definedName>
    <definedName name="Xbrl_Tag_ee8a51a9_161a_4f09_82e8_d18efd1119a1" localSheetId="26" hidden="1">'[3]Adj. Income Statement'!#REF!</definedName>
    <definedName name="Xbrl_Tag_ee8a51a9_161a_4f09_82e8_d18efd1119a1" hidden="1">'[3]Adj. Income Statement'!#REF!</definedName>
    <definedName name="Xbrl_Tag_efa044fd_a1b2_40a5_b1f9_72090c947b21" localSheetId="3" hidden="1">'[3]Adj. Income Statement'!#REF!</definedName>
    <definedName name="Xbrl_Tag_efa044fd_a1b2_40a5_b1f9_72090c947b21" localSheetId="25" hidden="1">'[3]Adj. Income Statement'!#REF!</definedName>
    <definedName name="Xbrl_Tag_efa044fd_a1b2_40a5_b1f9_72090c947b21" localSheetId="26" hidden="1">'[3]Adj. Income Statement'!#REF!</definedName>
    <definedName name="Xbrl_Tag_efa044fd_a1b2_40a5_b1f9_72090c947b21" hidden="1">'[3]Adj. Income Statement'!#REF!</definedName>
    <definedName name="Xbrl_Tag_f5d3fddf_4f85_4525_871f_f5d116e6ca67" localSheetId="3" hidden="1">'[3]Adj. Income Statement'!#REF!</definedName>
    <definedName name="Xbrl_Tag_f5d3fddf_4f85_4525_871f_f5d116e6ca67" localSheetId="25" hidden="1">'[3]Adj. Income Statement'!#REF!</definedName>
    <definedName name="Xbrl_Tag_f5d3fddf_4f85_4525_871f_f5d116e6ca67" localSheetId="26" hidden="1">'[3]Adj. Income Statement'!#REF!</definedName>
    <definedName name="Xbrl_Tag_f5d3fddf_4f85_4525_871f_f5d116e6ca67" hidden="1">'[3]Adj. Income Statement'!#REF!</definedName>
    <definedName name="Xbrl_Tag_f80d63c5_ffff_4f9e_a25e_9c37480fc1ae" localSheetId="3" hidden="1">'[3]Adj. Income Statement'!#REF!</definedName>
    <definedName name="Xbrl_Tag_f80d63c5_ffff_4f9e_a25e_9c37480fc1ae" localSheetId="25" hidden="1">'[3]Adj. Income Statement'!#REF!</definedName>
    <definedName name="Xbrl_Tag_f80d63c5_ffff_4f9e_a25e_9c37480fc1ae" localSheetId="26" hidden="1">'[3]Adj. Income Statement'!#REF!</definedName>
    <definedName name="Xbrl_Tag_f80d63c5_ffff_4f9e_a25e_9c37480fc1ae" hidden="1">'[3]Adj. Income Statement'!#REF!</definedName>
    <definedName name="Xbrl_Tag_f91e44a0_2671_4cea_8dec_43ad8dbe440f" localSheetId="3" hidden="1">'[3]Adj. Income Statement'!#REF!</definedName>
    <definedName name="Xbrl_Tag_f91e44a0_2671_4cea_8dec_43ad8dbe440f" localSheetId="25" hidden="1">'[3]Adj. Income Statement'!#REF!</definedName>
    <definedName name="Xbrl_Tag_f91e44a0_2671_4cea_8dec_43ad8dbe440f" localSheetId="26" hidden="1">'[3]Adj. Income Statement'!#REF!</definedName>
    <definedName name="Xbrl_Tag_f91e44a0_2671_4cea_8dec_43ad8dbe440f" hidden="1">'[3]Adj. Income Statement'!#REF!</definedName>
    <definedName name="Xbrl_Tag_fab5f0e9_4198_47ff_9b56_c2280e7e2d27" localSheetId="3" hidden="1">'[3]Adj. Income Statement'!#REF!</definedName>
    <definedName name="Xbrl_Tag_fab5f0e9_4198_47ff_9b56_c2280e7e2d27" localSheetId="25" hidden="1">'[3]Adj. Income Statement'!#REF!</definedName>
    <definedName name="Xbrl_Tag_fab5f0e9_4198_47ff_9b56_c2280e7e2d27" localSheetId="26" hidden="1">'[3]Adj. Income Statement'!#REF!</definedName>
    <definedName name="Xbrl_Tag_fab5f0e9_4198_47ff_9b56_c2280e7e2d27" hidden="1">'[3]Adj. Income Statement'!#REF!</definedName>
    <definedName name="Xbrl_Tag_fc82f321_49fd_456c_a7a3_9e9b572f9fad" localSheetId="3" hidden="1">'[3]Adj. Income Statement'!#REF!</definedName>
    <definedName name="Xbrl_Tag_fc82f321_49fd_456c_a7a3_9e9b572f9fad" localSheetId="25" hidden="1">'[3]Adj. Income Statement'!#REF!</definedName>
    <definedName name="Xbrl_Tag_fc82f321_49fd_456c_a7a3_9e9b572f9fad" localSheetId="26" hidden="1">'[3]Adj. Income Statement'!#REF!</definedName>
    <definedName name="Xbrl_Tag_fc82f321_49fd_456c_a7a3_9e9b572f9fad" hidden="1">'[3]Adj. Income Statement'!#REF!</definedName>
    <definedName name="Xbrl_Tag_fd0762ba_faef_48ae_8f93_3b1682db973d" localSheetId="3" hidden="1">'[3]Adj. Income Statement'!#REF!</definedName>
    <definedName name="Xbrl_Tag_fd0762ba_faef_48ae_8f93_3b1682db973d" localSheetId="25" hidden="1">'[3]Adj. Income Statement'!#REF!</definedName>
    <definedName name="Xbrl_Tag_fd0762ba_faef_48ae_8f93_3b1682db973d" localSheetId="26" hidden="1">'[3]Adj. Income Statement'!#REF!</definedName>
    <definedName name="Xbrl_Tag_fd0762ba_faef_48ae_8f93_3b1682db973d" hidden="1">'[3]Adj. Income Statement'!#REF!</definedName>
    <definedName name="Xbrl_Tag_fdbfb964_4eb0_44bd_ba7a_9dfdfb13f3a4" localSheetId="3" hidden="1">'[3]Adj. Income Statement'!#REF!</definedName>
    <definedName name="Xbrl_Tag_fdbfb964_4eb0_44bd_ba7a_9dfdfb13f3a4" localSheetId="25" hidden="1">'[3]Adj. Income Statement'!#REF!</definedName>
    <definedName name="Xbrl_Tag_fdbfb964_4eb0_44bd_ba7a_9dfdfb13f3a4" localSheetId="26" hidden="1">'[3]Adj. Income Statement'!#REF!</definedName>
    <definedName name="Xbrl_Tag_fdbfb964_4eb0_44bd_ba7a_9dfdfb13f3a4" hidden="1">'[3]Adj. Income Statement'!#REF!</definedName>
    <definedName name="XXXXX" hidden="1">#REF!</definedName>
    <definedName name="z" hidden="1">{"edcredit",#N/A,FALSE,"edcredit"}</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5" i="82" l="1"/>
  <c r="A56" i="82" s="1"/>
  <c r="G50" i="82" l="1"/>
  <c r="E42" i="82" l="1"/>
  <c r="E41" i="82"/>
  <c r="E43" i="82"/>
  <c r="E38" i="82" l="1"/>
  <c r="G38" i="82" s="1"/>
  <c r="E30" i="82" l="1"/>
  <c r="E29" i="82"/>
  <c r="E32" i="82" l="1"/>
  <c r="G32" i="82" s="1"/>
  <c r="C51" i="67"/>
  <c r="D51" i="67"/>
  <c r="E26" i="82" l="1"/>
  <c r="G26" i="82" s="1"/>
  <c r="D127" i="67" l="1"/>
  <c r="C127" i="67" l="1"/>
  <c r="E44" i="82" l="1"/>
  <c r="G44" i="82" s="1"/>
  <c r="E20" i="82"/>
  <c r="G20" i="82" s="1"/>
  <c r="E15" i="82"/>
  <c r="G15" i="82" s="1"/>
  <c r="A11" i="82"/>
  <c r="A12" i="82" s="1"/>
  <c r="A13" i="82" l="1"/>
  <c r="A14" i="82" s="1"/>
  <c r="A15" i="82" s="1"/>
  <c r="A16" i="82" s="1"/>
  <c r="A17" i="82" s="1"/>
  <c r="G46" i="82"/>
  <c r="G48" i="82" s="1"/>
  <c r="G54" i="82" s="1"/>
  <c r="G56" i="82" s="1"/>
  <c r="D25" i="13"/>
  <c r="D27" i="13" s="1"/>
  <c r="G34" i="79" s="1"/>
  <c r="A18" i="82" l="1"/>
  <c r="A19" i="82" s="1"/>
  <c r="A20" i="82" s="1"/>
  <c r="A21" i="82" s="1"/>
  <c r="A22" i="82" s="1"/>
  <c r="A23" i="82" s="1"/>
  <c r="A24" i="82" s="1"/>
  <c r="A25" i="82" s="1"/>
  <c r="A26" i="82" s="1"/>
  <c r="A27" i="82" s="1"/>
  <c r="A28" i="82" s="1"/>
  <c r="A29" i="82" s="1"/>
  <c r="A30" i="82" s="1"/>
  <c r="A31" i="82" s="1"/>
  <c r="A32" i="82" s="1"/>
  <c r="A33" i="82" s="1"/>
  <c r="A34" i="82" s="1"/>
  <c r="A35" i="82" s="1"/>
  <c r="A36" i="82" s="1"/>
  <c r="A37" i="82" s="1"/>
  <c r="A38" i="82" s="1"/>
  <c r="A39" i="82" s="1"/>
  <c r="A40" i="82" s="1"/>
  <c r="A41" i="82" s="1"/>
  <c r="A42" i="82" s="1"/>
  <c r="A43" i="82" s="1"/>
  <c r="A44" i="82" s="1"/>
  <c r="A45" i="82" s="1"/>
  <c r="A46" i="82" s="1"/>
  <c r="A47" i="82" s="1"/>
  <c r="A48" i="82" s="1"/>
  <c r="E15" i="9"/>
  <c r="A49" i="82" l="1"/>
  <c r="A50" i="82" s="1"/>
  <c r="A51" i="82" s="1"/>
  <c r="A52" i="82" s="1"/>
  <c r="A53" i="82" s="1"/>
  <c r="A54" i="82" s="1"/>
  <c r="F36" i="74"/>
  <c r="G34" i="74"/>
  <c r="G39" i="74" s="1"/>
  <c r="F34" i="74"/>
  <c r="F39" i="74" s="1"/>
  <c r="G20" i="74"/>
  <c r="G27" i="74" s="1"/>
  <c r="F20" i="74"/>
  <c r="F27" i="74" s="1"/>
  <c r="B13" i="74"/>
  <c r="B14" i="74" s="1"/>
  <c r="B15" i="74" s="1"/>
  <c r="B16" i="74" s="1"/>
  <c r="B17" i="74" s="1"/>
  <c r="B18" i="74" s="1"/>
  <c r="B19" i="74" s="1"/>
  <c r="B20" i="74" s="1"/>
  <c r="B21" i="74" s="1"/>
  <c r="B22" i="74" s="1"/>
  <c r="B23" i="74" s="1"/>
  <c r="B24" i="74" s="1"/>
  <c r="B25" i="74" s="1"/>
  <c r="B26" i="74" s="1"/>
  <c r="B27" i="74" s="1"/>
  <c r="B28" i="74" s="1"/>
  <c r="B29" i="74" s="1"/>
  <c r="B30" i="74" s="1"/>
  <c r="B31" i="74" s="1"/>
  <c r="B32" i="74" s="1"/>
  <c r="B33" i="74" s="1"/>
  <c r="B34" i="74" s="1"/>
  <c r="B35" i="74" s="1"/>
  <c r="B36" i="74" s="1"/>
  <c r="B37" i="74" s="1"/>
  <c r="B38" i="74" s="1"/>
  <c r="B39" i="74" s="1"/>
  <c r="B40" i="74" s="1"/>
  <c r="B41" i="74" s="1"/>
  <c r="B42" i="74" s="1"/>
  <c r="F36" i="73"/>
  <c r="F39" i="73" s="1"/>
  <c r="G34" i="73"/>
  <c r="G39" i="73" s="1"/>
  <c r="F34" i="73"/>
  <c r="G20" i="73"/>
  <c r="G27" i="73" s="1"/>
  <c r="F20" i="73"/>
  <c r="F27" i="73" s="1"/>
  <c r="B13" i="73"/>
  <c r="B14" i="73" s="1"/>
  <c r="B15" i="73" s="1"/>
  <c r="B16" i="73" s="1"/>
  <c r="B17" i="73" s="1"/>
  <c r="B18" i="73" s="1"/>
  <c r="B19" i="73" s="1"/>
  <c r="B20" i="73" s="1"/>
  <c r="B21" i="73" s="1"/>
  <c r="B22" i="73" s="1"/>
  <c r="B23" i="73" s="1"/>
  <c r="B24" i="73" s="1"/>
  <c r="B25" i="73" s="1"/>
  <c r="B26" i="73" s="1"/>
  <c r="B27" i="73" s="1"/>
  <c r="B28" i="73" s="1"/>
  <c r="B29" i="73" s="1"/>
  <c r="B30" i="73" s="1"/>
  <c r="B31" i="73" s="1"/>
  <c r="B32" i="73" s="1"/>
  <c r="B33" i="73" s="1"/>
  <c r="B34" i="73" s="1"/>
  <c r="B35" i="73" s="1"/>
  <c r="B36" i="73" s="1"/>
  <c r="B37" i="73" s="1"/>
  <c r="B38" i="73" s="1"/>
  <c r="B39" i="73" s="1"/>
  <c r="B40" i="73" s="1"/>
  <c r="B41" i="73" s="1"/>
  <c r="B42" i="73" s="1"/>
  <c r="D56" i="82" l="1"/>
  <c r="H27" i="73"/>
  <c r="H29" i="73" s="1"/>
  <c r="H39" i="74"/>
  <c r="H27" i="74"/>
  <c r="H29" i="74" s="1"/>
  <c r="H39" i="73"/>
  <c r="H42" i="73" l="1"/>
  <c r="H42" i="74"/>
  <c r="C40" i="67"/>
  <c r="H4" i="81" l="1"/>
  <c r="F4" i="71"/>
  <c r="K4" i="76"/>
  <c r="J4" i="77"/>
  <c r="G4" i="75"/>
  <c r="K6" i="74"/>
  <c r="K6" i="73"/>
  <c r="F51" i="22" l="1"/>
  <c r="F22" i="19" l="1"/>
  <c r="F24" i="19"/>
  <c r="F23" i="19"/>
  <c r="E25" i="19" l="1"/>
  <c r="E24" i="19"/>
  <c r="E20" i="19" l="1"/>
  <c r="E26" i="19" s="1"/>
  <c r="F20" i="19"/>
  <c r="F26" i="19" s="1"/>
  <c r="F19" i="12" l="1"/>
  <c r="E13" i="37" l="1"/>
  <c r="G14" i="20" l="1"/>
  <c r="C91" i="67" l="1"/>
  <c r="C78" i="67"/>
  <c r="C75" i="67"/>
  <c r="C69" i="67"/>
  <c r="C55" i="67"/>
  <c r="C52" i="67"/>
  <c r="F33" i="22"/>
  <c r="F13" i="22" l="1"/>
  <c r="C20" i="67"/>
  <c r="E15" i="32"/>
  <c r="C13" i="67"/>
  <c r="C12" i="67"/>
  <c r="D91" i="67"/>
  <c r="D78" i="67"/>
  <c r="D75" i="67"/>
  <c r="D69" i="67"/>
  <c r="D52" i="67"/>
  <c r="G51" i="22" l="1"/>
  <c r="G33" i="22"/>
  <c r="G13" i="22"/>
  <c r="D20" i="67"/>
  <c r="D17" i="67"/>
  <c r="D13" i="67"/>
  <c r="D12" i="67"/>
  <c r="B4" i="74" l="1"/>
  <c r="B2" i="74"/>
  <c r="F57" i="22" l="1"/>
  <c r="G57" i="22"/>
  <c r="G37" i="22"/>
  <c r="G36" i="22"/>
  <c r="G39" i="22" s="1"/>
  <c r="F36" i="22"/>
  <c r="F26" i="22"/>
  <c r="G26" i="22"/>
  <c r="G44" i="22"/>
  <c r="G43" i="22"/>
  <c r="G42" i="22"/>
  <c r="F42" i="22"/>
  <c r="G60" i="22"/>
  <c r="G62" i="22" s="1"/>
  <c r="F60" i="22"/>
  <c r="F62" i="22" s="1"/>
  <c r="F44" i="22" l="1"/>
  <c r="G16" i="22"/>
  <c r="F16" i="22" l="1"/>
  <c r="F38" i="22" l="1"/>
  <c r="F39" i="22" s="1"/>
  <c r="F20" i="22"/>
  <c r="E29" i="12" l="1"/>
  <c r="D28" i="12"/>
  <c r="F28" i="12" s="1"/>
  <c r="D27" i="12"/>
  <c r="F27" i="12" s="1"/>
  <c r="D26" i="12"/>
  <c r="E21" i="12"/>
  <c r="D21" i="12"/>
  <c r="F20" i="12"/>
  <c r="F18" i="12"/>
  <c r="F17" i="12"/>
  <c r="D29" i="12" l="1"/>
  <c r="F21" i="12"/>
  <c r="H19" i="12" s="1"/>
  <c r="F26" i="12"/>
  <c r="H20" i="12" l="1"/>
  <c r="H18" i="12"/>
  <c r="H17" i="12"/>
  <c r="H21" i="12" s="1"/>
  <c r="F29" i="12"/>
  <c r="H26" i="12" s="1"/>
  <c r="J26" i="12" s="1"/>
  <c r="H27" i="12" l="1"/>
  <c r="J27" i="12" s="1"/>
  <c r="H28" i="12"/>
  <c r="J28" i="12" s="1"/>
  <c r="H29" i="12" l="1"/>
  <c r="L27" i="12" l="1"/>
  <c r="D44" i="67" s="1"/>
  <c r="A1" i="81"/>
  <c r="A1" i="71"/>
  <c r="A1" i="77"/>
  <c r="E16" i="20"/>
  <c r="A6" i="50" l="1"/>
  <c r="E39" i="75" l="1"/>
  <c r="E22" i="75"/>
  <c r="E41" i="75" s="1"/>
  <c r="G25" i="50" s="1"/>
  <c r="D31" i="71" l="1"/>
  <c r="F31" i="71" s="1"/>
  <c r="D25" i="71"/>
  <c r="F25" i="71" s="1"/>
  <c r="D19" i="71"/>
  <c r="F19" i="71" s="1"/>
  <c r="F33" i="71" s="1"/>
  <c r="F36" i="71" s="1"/>
  <c r="A14" i="7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36" i="71" s="1"/>
  <c r="A37" i="71" s="1"/>
  <c r="A38" i="71" s="1"/>
  <c r="A39" i="71" s="1"/>
  <c r="A40" i="71" s="1"/>
  <c r="A41" i="71" s="1"/>
  <c r="A42" i="71" s="1"/>
  <c r="A43" i="71" s="1"/>
  <c r="A44" i="71" s="1"/>
  <c r="A45" i="71" s="1"/>
  <c r="F42" i="71" l="1"/>
  <c r="F45" i="71" s="1"/>
  <c r="G25" i="79" s="1"/>
  <c r="D143" i="67"/>
  <c r="E142" i="67"/>
  <c r="E141" i="67"/>
  <c r="E140" i="67"/>
  <c r="E139" i="67"/>
  <c r="C143" i="67"/>
  <c r="C103" i="67" l="1"/>
  <c r="E102" i="67"/>
  <c r="E101" i="67"/>
  <c r="E100" i="67"/>
  <c r="D103" i="67"/>
  <c r="E127" i="67" l="1"/>
  <c r="E126" i="67"/>
  <c r="E125" i="67"/>
  <c r="E124" i="67"/>
  <c r="E123" i="67"/>
  <c r="E122" i="67"/>
  <c r="D128" i="67"/>
  <c r="C128" i="67"/>
  <c r="A66" i="63" l="1"/>
  <c r="A65" i="63"/>
  <c r="C161" i="1" l="1"/>
  <c r="C158" i="1"/>
  <c r="C156" i="1"/>
  <c r="C155" i="1"/>
  <c r="C154" i="1"/>
  <c r="C152" i="1"/>
  <c r="C151" i="1"/>
  <c r="C150" i="1"/>
  <c r="C149" i="1"/>
  <c r="C148" i="1"/>
  <c r="C147" i="1"/>
  <c r="C146" i="1"/>
  <c r="E40" i="20" l="1"/>
  <c r="E42" i="20" s="1"/>
  <c r="N19" i="52" l="1"/>
  <c r="N20" i="52"/>
  <c r="N18" i="52"/>
  <c r="L19" i="52"/>
  <c r="L20" i="52"/>
  <c r="L18" i="52"/>
  <c r="I19" i="52"/>
  <c r="I20" i="52"/>
  <c r="I18" i="52"/>
  <c r="F19" i="52"/>
  <c r="F20" i="52"/>
  <c r="F18" i="52"/>
  <c r="F19" i="42"/>
  <c r="F20" i="42"/>
  <c r="F18" i="42"/>
  <c r="N19" i="42"/>
  <c r="N20" i="42"/>
  <c r="N18" i="42"/>
  <c r="L19" i="42"/>
  <c r="L20" i="42"/>
  <c r="L18" i="42"/>
  <c r="I19" i="42"/>
  <c r="I20" i="42"/>
  <c r="I18" i="42"/>
  <c r="K58" i="40"/>
  <c r="K54" i="40"/>
  <c r="K55" i="40"/>
  <c r="B9" i="52"/>
  <c r="B9" i="42"/>
  <c r="G17" i="81" l="1"/>
  <c r="H17" i="81"/>
  <c r="H5" i="81"/>
  <c r="G33" i="79" l="1"/>
  <c r="G7" i="79"/>
  <c r="O4" i="42" l="1"/>
  <c r="O4" i="52"/>
  <c r="D15" i="37" l="1"/>
  <c r="C159" i="1" l="1"/>
  <c r="A312" i="1" l="1"/>
  <c r="A252" i="1"/>
  <c r="A175" i="1"/>
  <c r="A105" i="1"/>
  <c r="A45" i="1"/>
  <c r="A312" i="2"/>
  <c r="A252" i="2"/>
  <c r="A175" i="2"/>
  <c r="A105" i="2"/>
  <c r="A45" i="2"/>
  <c r="F5" i="71" l="1"/>
  <c r="D15" i="1"/>
  <c r="A9" i="54"/>
  <c r="A9" i="41"/>
  <c r="A9" i="53"/>
  <c r="A9" i="40"/>
  <c r="K57" i="40" s="1"/>
  <c r="J5" i="77"/>
  <c r="F28" i="77"/>
  <c r="E167" i="67" s="1"/>
  <c r="I26" i="77"/>
  <c r="I25" i="77"/>
  <c r="I24" i="77"/>
  <c r="I23" i="77"/>
  <c r="I22" i="77"/>
  <c r="I20" i="77"/>
  <c r="I21" i="77" l="1"/>
  <c r="I15" i="77"/>
  <c r="I17" i="77"/>
  <c r="I19" i="77"/>
  <c r="I16" i="77"/>
  <c r="I18" i="77"/>
  <c r="J25" i="77" s="1"/>
  <c r="J15" i="77"/>
  <c r="J18" i="77" l="1"/>
  <c r="J19" i="77"/>
  <c r="J21" i="77"/>
  <c r="J23" i="77"/>
  <c r="J22" i="77"/>
  <c r="J26" i="77"/>
  <c r="J16" i="77"/>
  <c r="J24" i="77"/>
  <c r="J20" i="77"/>
  <c r="J17" i="77"/>
  <c r="J23" i="1" l="1"/>
  <c r="C159" i="67" l="1"/>
  <c r="E282" i="2"/>
  <c r="E282" i="1"/>
  <c r="K17" i="76" l="1"/>
  <c r="I17" i="76"/>
  <c r="K19" i="76" l="1"/>
  <c r="I19" i="76"/>
  <c r="G19" i="20" s="1"/>
  <c r="G20" i="20" s="1"/>
  <c r="G22" i="20" s="1"/>
  <c r="D155" i="67" l="1"/>
  <c r="J237" i="1"/>
  <c r="G17" i="76"/>
  <c r="K5" i="76"/>
  <c r="K13" i="76"/>
  <c r="I13" i="76"/>
  <c r="A1" i="76"/>
  <c r="E17" i="76" l="1"/>
  <c r="E19" i="76" s="1"/>
  <c r="E19" i="20" s="1"/>
  <c r="E20" i="20" s="1"/>
  <c r="E22" i="20" s="1"/>
  <c r="C155" i="67" l="1"/>
  <c r="J237" i="2"/>
  <c r="G19" i="76"/>
  <c r="G64" i="2" l="1"/>
  <c r="E15" i="37" l="1"/>
  <c r="G21" i="22" l="1"/>
  <c r="G20" i="50" l="1"/>
  <c r="A1" i="75" l="1"/>
  <c r="G5" i="75"/>
  <c r="F64" i="22" l="1"/>
  <c r="F46" i="22"/>
  <c r="G64" i="22"/>
  <c r="G46" i="22"/>
  <c r="K7" i="74"/>
  <c r="K7" i="73"/>
  <c r="D57" i="67"/>
  <c r="C57" i="67" l="1"/>
  <c r="G28" i="22" l="1"/>
  <c r="F21" i="22" l="1"/>
  <c r="F28" i="22" s="1"/>
  <c r="J190" i="2" l="1"/>
  <c r="E28" i="19" l="1"/>
  <c r="D40" i="67" l="1"/>
  <c r="J190" i="1" l="1"/>
  <c r="M88" i="54" l="1"/>
  <c r="M74" i="53"/>
  <c r="J201" i="1"/>
  <c r="I4" i="54" l="1"/>
  <c r="I4" i="53"/>
  <c r="I4" i="41"/>
  <c r="I4" i="40"/>
  <c r="G5" i="50"/>
  <c r="C328" i="1" l="1"/>
  <c r="C327" i="1"/>
  <c r="C326" i="1"/>
  <c r="C325" i="1"/>
  <c r="C324" i="1"/>
  <c r="C323" i="1"/>
  <c r="C322" i="1"/>
  <c r="C321" i="1"/>
  <c r="C320" i="1"/>
  <c r="C319" i="1"/>
  <c r="C318" i="1"/>
  <c r="C317" i="1"/>
  <c r="C301" i="1"/>
  <c r="C300" i="1"/>
  <c r="C299" i="1"/>
  <c r="C298" i="1"/>
  <c r="C297" i="1"/>
  <c r="C296" i="1"/>
  <c r="C295" i="1"/>
  <c r="C294" i="1"/>
  <c r="C293" i="1"/>
  <c r="C292" i="1"/>
  <c r="C291" i="1"/>
  <c r="C290" i="1"/>
  <c r="C289" i="1"/>
  <c r="C288" i="1"/>
  <c r="C287" i="1"/>
  <c r="C286" i="1"/>
  <c r="C285" i="1"/>
  <c r="C259" i="1"/>
  <c r="C260" i="1"/>
  <c r="C261" i="1"/>
  <c r="C262" i="1"/>
  <c r="C263" i="1"/>
  <c r="C264" i="1"/>
  <c r="C265" i="1"/>
  <c r="C266" i="1"/>
  <c r="C267" i="1"/>
  <c r="C268" i="1"/>
  <c r="C269" i="1"/>
  <c r="C270" i="1"/>
  <c r="C271" i="1"/>
  <c r="C272" i="1"/>
  <c r="C273" i="1"/>
  <c r="C274" i="1"/>
  <c r="C275" i="1"/>
  <c r="C276" i="1"/>
  <c r="C277" i="1"/>
  <c r="C278" i="1"/>
  <c r="C279" i="1"/>
  <c r="C280" i="1"/>
  <c r="J207" i="1"/>
  <c r="H207" i="1"/>
  <c r="H206" i="1"/>
  <c r="J240" i="1"/>
  <c r="E240" i="1"/>
  <c r="C240" i="1"/>
  <c r="J240" i="2"/>
  <c r="E23" i="2" l="1"/>
  <c r="J23" i="2" s="1"/>
  <c r="C77" i="1"/>
  <c r="C78" i="1"/>
  <c r="C79" i="1"/>
  <c r="C80" i="1"/>
  <c r="C81" i="1"/>
  <c r="G24" i="79" l="1"/>
  <c r="E239" i="1" l="1"/>
  <c r="E232" i="1"/>
  <c r="C178" i="1"/>
  <c r="C239" i="1"/>
  <c r="C237" i="1"/>
  <c r="C235" i="1"/>
  <c r="C234" i="1"/>
  <c r="C233" i="1"/>
  <c r="C232" i="1"/>
  <c r="C230" i="1"/>
  <c r="C227" i="1"/>
  <c r="C226" i="1"/>
  <c r="C225" i="1"/>
  <c r="C224" i="1"/>
  <c r="C217" i="1"/>
  <c r="C212" i="1"/>
  <c r="C210" i="1"/>
  <c r="C209" i="1"/>
  <c r="C208" i="1"/>
  <c r="C207" i="1"/>
  <c r="C205" i="1"/>
  <c r="C197" i="1"/>
  <c r="C187" i="1"/>
  <c r="C203" i="1"/>
  <c r="C202" i="1"/>
  <c r="C201" i="1"/>
  <c r="C200" i="1"/>
  <c r="C199" i="1"/>
  <c r="C195" i="1"/>
  <c r="C194" i="1"/>
  <c r="C193" i="1"/>
  <c r="C191" i="1"/>
  <c r="C190" i="1"/>
  <c r="C189" i="1"/>
  <c r="C185" i="1"/>
  <c r="C181" i="1"/>
  <c r="C182" i="1"/>
  <c r="C183" i="1"/>
  <c r="C180" i="1"/>
  <c r="C143" i="1"/>
  <c r="C142" i="1"/>
  <c r="C141" i="1"/>
  <c r="C140" i="1"/>
  <c r="C139" i="1"/>
  <c r="C138" i="1"/>
  <c r="C137" i="1"/>
  <c r="C136" i="1"/>
  <c r="C135" i="1"/>
  <c r="C134" i="1"/>
  <c r="C132" i="1"/>
  <c r="C131" i="1"/>
  <c r="C130" i="1"/>
  <c r="C129" i="1"/>
  <c r="C128" i="1"/>
  <c r="C126" i="1"/>
  <c r="C125" i="1"/>
  <c r="C124" i="1"/>
  <c r="C123" i="1"/>
  <c r="C122" i="1"/>
  <c r="C121" i="1"/>
  <c r="C120" i="1"/>
  <c r="C119" i="1"/>
  <c r="C118" i="1"/>
  <c r="C117" i="1"/>
  <c r="C116" i="1"/>
  <c r="C115" i="1"/>
  <c r="C114" i="1"/>
  <c r="C113" i="1"/>
  <c r="C112" i="1"/>
  <c r="C111" i="1"/>
  <c r="C92" i="1"/>
  <c r="C90" i="1"/>
  <c r="C89" i="1"/>
  <c r="C88" i="1"/>
  <c r="C87" i="1"/>
  <c r="C86" i="1"/>
  <c r="C84" i="1"/>
  <c r="C82" i="1"/>
  <c r="C76" i="1"/>
  <c r="C74" i="1"/>
  <c r="C73" i="1"/>
  <c r="C72" i="1"/>
  <c r="C71" i="1"/>
  <c r="C70" i="1"/>
  <c r="C69" i="1"/>
  <c r="C68" i="1"/>
  <c r="C66" i="1"/>
  <c r="C65" i="1"/>
  <c r="C64" i="1"/>
  <c r="C63" i="1"/>
  <c r="C62" i="1"/>
  <c r="C61" i="1"/>
  <c r="C60" i="1"/>
  <c r="C58" i="1"/>
  <c r="C57" i="1"/>
  <c r="C56" i="1"/>
  <c r="C55" i="1"/>
  <c r="C54" i="1"/>
  <c r="C53" i="1"/>
  <c r="C52" i="1"/>
  <c r="C30" i="1"/>
  <c r="C27" i="1"/>
  <c r="C23" i="1"/>
  <c r="C22" i="1"/>
  <c r="C21" i="1"/>
  <c r="C20" i="1"/>
  <c r="C19" i="1"/>
  <c r="C18" i="1"/>
  <c r="C15" i="1"/>
  <c r="D223" i="1"/>
  <c r="D221" i="1"/>
  <c r="D220" i="1"/>
  <c r="D219" i="1"/>
  <c r="D218" i="1"/>
  <c r="D215" i="1"/>
  <c r="D213" i="1"/>
  <c r="D209" i="1"/>
  <c r="D208" i="1"/>
  <c r="D207" i="1"/>
  <c r="D202" i="1"/>
  <c r="D201" i="1"/>
  <c r="D200" i="1"/>
  <c r="D199" i="1"/>
  <c r="D156" i="1"/>
  <c r="D152" i="1"/>
  <c r="D140" i="1"/>
  <c r="D139" i="1"/>
  <c r="D136" i="1"/>
  <c r="D131" i="1"/>
  <c r="D130" i="1"/>
  <c r="D129" i="1"/>
  <c r="D121" i="1"/>
  <c r="D115" i="1"/>
  <c r="D116" i="1"/>
  <c r="D117" i="1"/>
  <c r="D118" i="1"/>
  <c r="D119" i="1"/>
  <c r="D113" i="1"/>
  <c r="D114" i="1"/>
  <c r="D112" i="1"/>
  <c r="D89" i="1"/>
  <c r="D88" i="1"/>
  <c r="D87" i="1"/>
  <c r="D84" i="1"/>
  <c r="D81" i="1"/>
  <c r="D80" i="1"/>
  <c r="D79" i="1"/>
  <c r="D78" i="1"/>
  <c r="D77" i="1"/>
  <c r="D73" i="1"/>
  <c r="D72" i="1"/>
  <c r="D71" i="1"/>
  <c r="D70" i="1"/>
  <c r="D69" i="1"/>
  <c r="D65" i="1"/>
  <c r="D64" i="1"/>
  <c r="D63" i="1"/>
  <c r="D62" i="1"/>
  <c r="D61" i="1"/>
  <c r="D57" i="1"/>
  <c r="D56" i="1"/>
  <c r="D55" i="1"/>
  <c r="D54" i="1"/>
  <c r="D53" i="1"/>
  <c r="D23" i="1"/>
  <c r="D30" i="1"/>
  <c r="D20" i="1"/>
  <c r="D19" i="1"/>
  <c r="A8" i="1"/>
  <c r="J7" i="1"/>
  <c r="J7" i="2"/>
  <c r="G5" i="22" l="1"/>
  <c r="L5" i="12"/>
  <c r="F5" i="32"/>
  <c r="F5" i="19"/>
  <c r="F5" i="9"/>
  <c r="F5" i="5"/>
  <c r="E5" i="37"/>
  <c r="G5" i="20"/>
  <c r="E5" i="26"/>
  <c r="H5" i="13"/>
  <c r="D141" i="1" l="1"/>
  <c r="D137" i="1"/>
  <c r="D124" i="1"/>
  <c r="E19" i="26" l="1"/>
  <c r="C133" i="67" s="1"/>
  <c r="D54" i="67" l="1"/>
  <c r="C54" i="67"/>
  <c r="E115" i="2" l="1"/>
  <c r="E54" i="67"/>
  <c r="E115" i="1"/>
  <c r="H4" i="13" l="1"/>
  <c r="A1" i="13"/>
  <c r="E4" i="26"/>
  <c r="A1" i="26"/>
  <c r="G40" i="20"/>
  <c r="G42" i="20" s="1"/>
  <c r="G4" i="20"/>
  <c r="A1" i="20"/>
  <c r="E4" i="37"/>
  <c r="A1" i="37"/>
  <c r="F4" i="5"/>
  <c r="A1" i="5"/>
  <c r="E21" i="9"/>
  <c r="C56" i="67" s="1"/>
  <c r="F4" i="9"/>
  <c r="A1" i="9"/>
  <c r="F28" i="19"/>
  <c r="F32" i="19" s="1"/>
  <c r="D61" i="67" s="1"/>
  <c r="E32" i="19"/>
  <c r="C61" i="67" s="1"/>
  <c r="F4" i="19"/>
  <c r="A1" i="19"/>
  <c r="F20" i="32"/>
  <c r="F15" i="32"/>
  <c r="F4" i="32"/>
  <c r="A1" i="32"/>
  <c r="L4" i="12"/>
  <c r="A1" i="12"/>
  <c r="D35" i="67"/>
  <c r="D34" i="67"/>
  <c r="C36" i="67"/>
  <c r="G4" i="22"/>
  <c r="W86" i="54"/>
  <c r="K58" i="54"/>
  <c r="K57" i="54"/>
  <c r="K55" i="54"/>
  <c r="K54" i="54"/>
  <c r="W72" i="53"/>
  <c r="K58" i="53"/>
  <c r="K57" i="53"/>
  <c r="K55" i="53"/>
  <c r="K54" i="53"/>
  <c r="N38" i="52"/>
  <c r="E18" i="52"/>
  <c r="D18" i="52"/>
  <c r="W86" i="41"/>
  <c r="K58" i="41"/>
  <c r="K57" i="41"/>
  <c r="K55" i="41"/>
  <c r="K54" i="41"/>
  <c r="W86" i="40"/>
  <c r="N38" i="42"/>
  <c r="D25" i="50"/>
  <c r="B25" i="50"/>
  <c r="E27" i="50" s="1"/>
  <c r="J235" i="1"/>
  <c r="H226" i="1"/>
  <c r="E225" i="1"/>
  <c r="H225" i="1" s="1"/>
  <c r="E224" i="1"/>
  <c r="J220" i="1"/>
  <c r="J219" i="1"/>
  <c r="J218" i="1"/>
  <c r="J215" i="1"/>
  <c r="J213" i="1"/>
  <c r="E209" i="1"/>
  <c r="E208" i="1"/>
  <c r="E207" i="1"/>
  <c r="J181" i="1"/>
  <c r="E152" i="1"/>
  <c r="E142" i="1"/>
  <c r="G141" i="1"/>
  <c r="E141" i="1"/>
  <c r="E140" i="1"/>
  <c r="E139" i="1"/>
  <c r="E137" i="1"/>
  <c r="E136" i="1"/>
  <c r="E131" i="1"/>
  <c r="E130" i="1"/>
  <c r="E129" i="1"/>
  <c r="E125" i="1"/>
  <c r="J125" i="1" s="1"/>
  <c r="E124" i="1"/>
  <c r="G123" i="1"/>
  <c r="E123" i="1"/>
  <c r="E121" i="1"/>
  <c r="E119" i="1"/>
  <c r="E118" i="1"/>
  <c r="E116" i="1"/>
  <c r="E114" i="1"/>
  <c r="E112" i="1"/>
  <c r="E89" i="1"/>
  <c r="E81" i="1"/>
  <c r="G80" i="1"/>
  <c r="E77" i="1"/>
  <c r="G65" i="1"/>
  <c r="E65" i="1"/>
  <c r="G64" i="1"/>
  <c r="E64" i="1"/>
  <c r="G63" i="1"/>
  <c r="E63" i="1"/>
  <c r="G62" i="1"/>
  <c r="E62" i="1"/>
  <c r="G61" i="1"/>
  <c r="G77" i="1" s="1"/>
  <c r="G140" i="1" s="1"/>
  <c r="E57" i="1"/>
  <c r="E55" i="1"/>
  <c r="E54" i="1"/>
  <c r="J180" i="1" s="1"/>
  <c r="E53" i="1"/>
  <c r="G22" i="1"/>
  <c r="G21" i="1"/>
  <c r="G20" i="1"/>
  <c r="A249" i="1"/>
  <c r="J235" i="2"/>
  <c r="H226" i="2"/>
  <c r="E225" i="2"/>
  <c r="E224" i="2"/>
  <c r="J220" i="2"/>
  <c r="J219" i="2"/>
  <c r="J215" i="2"/>
  <c r="J213" i="2"/>
  <c r="E209" i="2"/>
  <c r="E208" i="2"/>
  <c r="E207" i="2"/>
  <c r="J206" i="2"/>
  <c r="J206" i="1" s="1"/>
  <c r="J181" i="2"/>
  <c r="E152" i="2"/>
  <c r="E142" i="2"/>
  <c r="G141" i="2"/>
  <c r="E141" i="2"/>
  <c r="E140" i="2"/>
  <c r="E139" i="2"/>
  <c r="G137" i="2"/>
  <c r="E137" i="2"/>
  <c r="E136" i="2"/>
  <c r="E131" i="2"/>
  <c r="E130" i="2"/>
  <c r="E129" i="2"/>
  <c r="E125" i="2"/>
  <c r="E124" i="2"/>
  <c r="G123" i="2"/>
  <c r="E123" i="2"/>
  <c r="G121" i="2"/>
  <c r="G122" i="2" s="1"/>
  <c r="E121" i="2"/>
  <c r="E119" i="2"/>
  <c r="E118" i="2"/>
  <c r="E116" i="2"/>
  <c r="E114" i="2"/>
  <c r="E112" i="2"/>
  <c r="E89" i="2"/>
  <c r="E81" i="2"/>
  <c r="G80" i="2"/>
  <c r="E77" i="2"/>
  <c r="G65" i="2"/>
  <c r="E65" i="2"/>
  <c r="E64" i="2"/>
  <c r="G63" i="2"/>
  <c r="E63" i="2"/>
  <c r="G62" i="2"/>
  <c r="E62" i="2"/>
  <c r="G61" i="2"/>
  <c r="G77" i="2" s="1"/>
  <c r="G140" i="2" s="1"/>
  <c r="E61" i="2"/>
  <c r="E57" i="2"/>
  <c r="E56" i="2"/>
  <c r="E55" i="2"/>
  <c r="E54" i="2"/>
  <c r="E53" i="2"/>
  <c r="G22" i="2"/>
  <c r="G21" i="2"/>
  <c r="G20" i="2"/>
  <c r="A309" i="2"/>
  <c r="D159" i="67"/>
  <c r="E159" i="67" s="1"/>
  <c r="E152" i="67"/>
  <c r="E151" i="67"/>
  <c r="E144" i="67"/>
  <c r="E143" i="67"/>
  <c r="D136" i="67"/>
  <c r="E135" i="67"/>
  <c r="E134" i="67"/>
  <c r="E130" i="67"/>
  <c r="E128" i="67"/>
  <c r="D119" i="67"/>
  <c r="C119" i="67"/>
  <c r="E118" i="67"/>
  <c r="E117" i="67"/>
  <c r="E116" i="67"/>
  <c r="E103" i="67"/>
  <c r="D96" i="67"/>
  <c r="C96" i="67"/>
  <c r="E95" i="67"/>
  <c r="E91" i="67"/>
  <c r="D87" i="67"/>
  <c r="C87" i="67"/>
  <c r="D82" i="67"/>
  <c r="C82" i="67"/>
  <c r="E81" i="67"/>
  <c r="E80" i="67"/>
  <c r="E79" i="67"/>
  <c r="E78" i="67"/>
  <c r="E77" i="67"/>
  <c r="E76" i="67"/>
  <c r="E75" i="67"/>
  <c r="D71" i="67"/>
  <c r="C71" i="67"/>
  <c r="E70" i="67"/>
  <c r="A70" i="67"/>
  <c r="E69" i="67"/>
  <c r="E68" i="67"/>
  <c r="A68" i="67"/>
  <c r="E64" i="67"/>
  <c r="E63" i="67"/>
  <c r="B63" i="67"/>
  <c r="E62" i="67"/>
  <c r="E60" i="67"/>
  <c r="E59" i="67"/>
  <c r="E58" i="67"/>
  <c r="E57" i="67"/>
  <c r="E55" i="67"/>
  <c r="E53" i="67"/>
  <c r="E52" i="67"/>
  <c r="E51" i="67"/>
  <c r="E45" i="67"/>
  <c r="E37" i="67"/>
  <c r="D36" i="67"/>
  <c r="C34" i="67"/>
  <c r="E33" i="67"/>
  <c r="D29" i="67"/>
  <c r="C29" i="67"/>
  <c r="C28" i="67"/>
  <c r="D27" i="67"/>
  <c r="C27" i="67"/>
  <c r="D26" i="67"/>
  <c r="C26" i="67"/>
  <c r="C25" i="67"/>
  <c r="C22" i="67"/>
  <c r="E21" i="67"/>
  <c r="A21" i="67"/>
  <c r="A29" i="67" s="1"/>
  <c r="E20" i="67"/>
  <c r="A20" i="67"/>
  <c r="A28" i="67" s="1"/>
  <c r="E19" i="67"/>
  <c r="A19" i="67"/>
  <c r="A27" i="67" s="1"/>
  <c r="E18" i="67"/>
  <c r="A18" i="67"/>
  <c r="A26" i="67" s="1"/>
  <c r="A17" i="67"/>
  <c r="A25" i="67" s="1"/>
  <c r="C14" i="67"/>
  <c r="E13" i="67"/>
  <c r="E11" i="67"/>
  <c r="E10" i="67"/>
  <c r="E9" i="67"/>
  <c r="B2" i="67"/>
  <c r="A9" i="50" l="1"/>
  <c r="C65" i="67"/>
  <c r="B27" i="50"/>
  <c r="J125" i="2"/>
  <c r="J180" i="2"/>
  <c r="C89" i="67"/>
  <c r="E147" i="2"/>
  <c r="E147" i="1"/>
  <c r="D89" i="67"/>
  <c r="D22" i="67"/>
  <c r="E73" i="2"/>
  <c r="J189" i="1"/>
  <c r="J189" i="2"/>
  <c r="E210" i="2"/>
  <c r="H208" i="2" s="1"/>
  <c r="E61" i="1"/>
  <c r="E69" i="1" s="1"/>
  <c r="E17" i="67"/>
  <c r="D25" i="67"/>
  <c r="E283" i="1"/>
  <c r="D28" i="67"/>
  <c r="E201" i="2"/>
  <c r="D145" i="67"/>
  <c r="E78" i="1"/>
  <c r="E84" i="1"/>
  <c r="J84" i="1" s="1"/>
  <c r="E201" i="1"/>
  <c r="H201" i="1" s="1"/>
  <c r="E79" i="1"/>
  <c r="J182" i="2"/>
  <c r="E202" i="2"/>
  <c r="D14" i="67"/>
  <c r="E56" i="1"/>
  <c r="E12" i="67"/>
  <c r="E283" i="2"/>
  <c r="X52" i="53"/>
  <c r="E71" i="1"/>
  <c r="E72" i="2"/>
  <c r="A309" i="1"/>
  <c r="A172" i="2"/>
  <c r="A249" i="2"/>
  <c r="J41" i="1"/>
  <c r="A102" i="2"/>
  <c r="A102" i="1"/>
  <c r="A172" i="1"/>
  <c r="A42" i="2"/>
  <c r="A42" i="1"/>
  <c r="X52" i="40"/>
  <c r="H225" i="2"/>
  <c r="E96" i="67"/>
  <c r="J182" i="1"/>
  <c r="J101" i="1"/>
  <c r="E69" i="2"/>
  <c r="J221" i="1"/>
  <c r="X52" i="41"/>
  <c r="X52" i="54"/>
  <c r="E122" i="1"/>
  <c r="E61" i="67"/>
  <c r="E122" i="2"/>
  <c r="D38" i="67"/>
  <c r="E80" i="1"/>
  <c r="C35" i="67"/>
  <c r="E34" i="67"/>
  <c r="E78" i="2"/>
  <c r="E80" i="2"/>
  <c r="E36" i="67"/>
  <c r="J218" i="2"/>
  <c r="H224" i="2"/>
  <c r="E199" i="2"/>
  <c r="E111" i="67"/>
  <c r="E200" i="2"/>
  <c r="C112" i="67"/>
  <c r="E109" i="67"/>
  <c r="E143" i="2"/>
  <c r="E132" i="2"/>
  <c r="E71" i="67"/>
  <c r="E117" i="2"/>
  <c r="E66" i="2"/>
  <c r="E27" i="67"/>
  <c r="E71" i="2"/>
  <c r="C30" i="67"/>
  <c r="E58" i="2"/>
  <c r="E70" i="2"/>
  <c r="H224" i="1"/>
  <c r="E210" i="1"/>
  <c r="H208" i="1" s="1"/>
  <c r="E119" i="67"/>
  <c r="E202" i="1"/>
  <c r="E110" i="67"/>
  <c r="E200" i="1"/>
  <c r="E143" i="1"/>
  <c r="E82" i="67"/>
  <c r="E132" i="1"/>
  <c r="F21" i="9"/>
  <c r="D56" i="67" s="1"/>
  <c r="D65" i="67" s="1"/>
  <c r="E29" i="67"/>
  <c r="E73" i="1"/>
  <c r="E70" i="1"/>
  <c r="E26" i="67"/>
  <c r="J239" i="1" l="1"/>
  <c r="E40" i="67"/>
  <c r="E84" i="2"/>
  <c r="J84" i="2" s="1"/>
  <c r="E151" i="2"/>
  <c r="E155" i="2" s="1"/>
  <c r="E56" i="67"/>
  <c r="D157" i="67"/>
  <c r="E151" i="1"/>
  <c r="E155" i="1" s="1"/>
  <c r="E20" i="1"/>
  <c r="E19" i="1"/>
  <c r="E108" i="67"/>
  <c r="J221" i="2"/>
  <c r="E226" i="1"/>
  <c r="E227" i="1" s="1"/>
  <c r="F224" i="1" s="1"/>
  <c r="J224" i="1" s="1"/>
  <c r="J183" i="2"/>
  <c r="J185" i="2" s="1"/>
  <c r="E199" i="1"/>
  <c r="E203" i="1" s="1"/>
  <c r="D112" i="67"/>
  <c r="E28" i="67"/>
  <c r="H202" i="2"/>
  <c r="H199" i="2"/>
  <c r="H201" i="2"/>
  <c r="E22" i="67"/>
  <c r="E14" i="67"/>
  <c r="D146" i="67"/>
  <c r="D30" i="67"/>
  <c r="E30" i="67" s="1"/>
  <c r="E82" i="1"/>
  <c r="E58" i="1"/>
  <c r="E66" i="1"/>
  <c r="E72" i="1"/>
  <c r="E74" i="1" s="1"/>
  <c r="E25" i="67"/>
  <c r="C38" i="67"/>
  <c r="J239" i="2"/>
  <c r="C157" i="67"/>
  <c r="J171" i="1"/>
  <c r="E74" i="2"/>
  <c r="J248" i="1"/>
  <c r="J308" i="1"/>
  <c r="E203" i="2"/>
  <c r="J171" i="2"/>
  <c r="J308" i="2"/>
  <c r="J248" i="2"/>
  <c r="J101" i="2"/>
  <c r="J41" i="2"/>
  <c r="J183" i="1"/>
  <c r="J185" i="1" s="1"/>
  <c r="E65" i="67"/>
  <c r="E35" i="67"/>
  <c r="E79" i="2"/>
  <c r="E88" i="1"/>
  <c r="C136" i="67"/>
  <c r="E133" i="67"/>
  <c r="H202" i="1"/>
  <c r="E117" i="1"/>
  <c r="H129" i="1" l="1"/>
  <c r="H62" i="1"/>
  <c r="H20" i="1"/>
  <c r="H54" i="1"/>
  <c r="H22" i="1"/>
  <c r="H21" i="1"/>
  <c r="H19" i="1"/>
  <c r="J194" i="1"/>
  <c r="J194" i="2"/>
  <c r="H21" i="2"/>
  <c r="H129" i="2"/>
  <c r="H62" i="2"/>
  <c r="H20" i="2"/>
  <c r="H19" i="2"/>
  <c r="H54" i="2"/>
  <c r="H22" i="2"/>
  <c r="F226" i="1"/>
  <c r="J226" i="1" s="1"/>
  <c r="E226" i="2"/>
  <c r="E82" i="2"/>
  <c r="J191" i="1"/>
  <c r="J193" i="1" s="1"/>
  <c r="F225" i="1"/>
  <c r="J225" i="1" s="1"/>
  <c r="H199" i="1"/>
  <c r="E112" i="67"/>
  <c r="G18" i="50"/>
  <c r="E38" i="67"/>
  <c r="C145" i="67"/>
  <c r="E136" i="67"/>
  <c r="E155" i="67"/>
  <c r="E19" i="2"/>
  <c r="E157" i="67"/>
  <c r="E20" i="2"/>
  <c r="J191" i="2"/>
  <c r="J193" i="2" s="1"/>
  <c r="E227" i="2" l="1"/>
  <c r="F225" i="2" s="1"/>
  <c r="J225" i="2" s="1"/>
  <c r="F200" i="1"/>
  <c r="H200" i="1" s="1"/>
  <c r="H203" i="1" s="1"/>
  <c r="J62" i="1"/>
  <c r="J129" i="1"/>
  <c r="J20" i="2"/>
  <c r="J19" i="2"/>
  <c r="F200" i="2"/>
  <c r="H200" i="2" s="1"/>
  <c r="H203" i="2" s="1"/>
  <c r="J203" i="2" s="1"/>
  <c r="J208" i="2" s="1"/>
  <c r="J129" i="2"/>
  <c r="J227" i="1"/>
  <c r="E148" i="1" s="1"/>
  <c r="E145" i="67"/>
  <c r="C146" i="67"/>
  <c r="G22" i="50"/>
  <c r="F226" i="2" l="1"/>
  <c r="J226" i="2" s="1"/>
  <c r="J195" i="1"/>
  <c r="J203" i="1"/>
  <c r="J195" i="2"/>
  <c r="F224" i="2"/>
  <c r="J224" i="2" s="1"/>
  <c r="J21" i="2"/>
  <c r="J19" i="1"/>
  <c r="J22" i="2"/>
  <c r="J21" i="1"/>
  <c r="J20" i="1"/>
  <c r="J22" i="1"/>
  <c r="J54" i="1"/>
  <c r="G20" i="41" s="1"/>
  <c r="H121" i="2"/>
  <c r="J121" i="2" s="1"/>
  <c r="H56" i="2"/>
  <c r="J56" i="2" s="1"/>
  <c r="L208" i="2"/>
  <c r="H117" i="2"/>
  <c r="J117" i="2" s="1"/>
  <c r="H130" i="2"/>
  <c r="J130" i="2" s="1"/>
  <c r="H64" i="2"/>
  <c r="J64" i="2" s="1"/>
  <c r="J62" i="2"/>
  <c r="J54" i="2"/>
  <c r="H118" i="2"/>
  <c r="J118" i="2" s="1"/>
  <c r="E146" i="67"/>
  <c r="G27" i="50"/>
  <c r="H118" i="1" l="1"/>
  <c r="J118" i="1" s="1"/>
  <c r="J208" i="1"/>
  <c r="H19" i="81"/>
  <c r="H21" i="81" s="1"/>
  <c r="E113" i="1" s="1"/>
  <c r="J113" i="1" s="1"/>
  <c r="H123" i="1"/>
  <c r="H116" i="1"/>
  <c r="J116" i="1" s="1"/>
  <c r="H115" i="1"/>
  <c r="J115" i="1" s="1"/>
  <c r="H112" i="1"/>
  <c r="H114" i="1"/>
  <c r="J114" i="1" s="1"/>
  <c r="H88" i="1"/>
  <c r="H124" i="2"/>
  <c r="H57" i="2"/>
  <c r="H65" i="2"/>
  <c r="H131" i="2"/>
  <c r="G19" i="81"/>
  <c r="G21" i="81" s="1"/>
  <c r="E113" i="2" s="1"/>
  <c r="E126" i="2" s="1"/>
  <c r="H123" i="2"/>
  <c r="H116" i="2"/>
  <c r="J116" i="2" s="1"/>
  <c r="H115" i="2"/>
  <c r="H88" i="2"/>
  <c r="H114" i="2"/>
  <c r="H112" i="2"/>
  <c r="H117" i="1"/>
  <c r="J117" i="1" s="1"/>
  <c r="H122" i="1"/>
  <c r="J122" i="1" s="1"/>
  <c r="H121" i="1"/>
  <c r="J121" i="1" s="1"/>
  <c r="H64" i="1"/>
  <c r="J64" i="1" s="1"/>
  <c r="H136" i="1"/>
  <c r="J136" i="1" s="1"/>
  <c r="H130" i="1"/>
  <c r="J130" i="1" s="1"/>
  <c r="H56" i="1"/>
  <c r="J56" i="1" s="1"/>
  <c r="H119" i="1"/>
  <c r="J119" i="1" s="1"/>
  <c r="H137" i="1"/>
  <c r="J137" i="1" s="1"/>
  <c r="E126" i="1"/>
  <c r="J88" i="1"/>
  <c r="H122" i="2"/>
  <c r="J122" i="2" s="1"/>
  <c r="H119" i="2"/>
  <c r="J119" i="2" s="1"/>
  <c r="H136" i="2"/>
  <c r="J136" i="2" s="1"/>
  <c r="H137" i="2"/>
  <c r="J137" i="2" s="1"/>
  <c r="G21" i="79"/>
  <c r="G20" i="79"/>
  <c r="G22" i="79"/>
  <c r="G23" i="79"/>
  <c r="J227" i="2"/>
  <c r="G20" i="54"/>
  <c r="J70" i="1"/>
  <c r="J115" i="2"/>
  <c r="J114" i="2"/>
  <c r="G20" i="53"/>
  <c r="G20" i="40"/>
  <c r="J70" i="2"/>
  <c r="J72" i="2"/>
  <c r="J113" i="2" l="1"/>
  <c r="J72" i="1"/>
  <c r="L208" i="1"/>
  <c r="D43" i="67"/>
  <c r="E87" i="1"/>
  <c r="E90" i="1" s="1"/>
  <c r="E92" i="1" s="1"/>
  <c r="E158" i="1" s="1"/>
  <c r="E154" i="1" s="1"/>
  <c r="E156" i="1" s="1"/>
  <c r="E161" i="1" s="1"/>
  <c r="E87" i="2"/>
  <c r="C43" i="67"/>
  <c r="G26" i="79"/>
  <c r="E148" i="2"/>
  <c r="G21" i="54"/>
  <c r="G21" i="41"/>
  <c r="J123" i="1"/>
  <c r="J112" i="1"/>
  <c r="J123" i="2"/>
  <c r="J112" i="2"/>
  <c r="J57" i="2"/>
  <c r="G21" i="53"/>
  <c r="G21" i="40"/>
  <c r="H131" i="1" l="1"/>
  <c r="H65" i="1"/>
  <c r="J65" i="1" s="1"/>
  <c r="H57" i="1"/>
  <c r="J57" i="1" s="1"/>
  <c r="J58" i="1" s="1"/>
  <c r="H124" i="1"/>
  <c r="J124" i="1" s="1"/>
  <c r="D46" i="67"/>
  <c r="E43" i="67"/>
  <c r="J58" i="2"/>
  <c r="H58" i="2" s="1"/>
  <c r="J65" i="2"/>
  <c r="J73" i="2" s="1"/>
  <c r="J66" i="1" l="1"/>
  <c r="H89" i="2"/>
  <c r="H142" i="2"/>
  <c r="H139" i="2"/>
  <c r="H141" i="2"/>
  <c r="J131" i="1"/>
  <c r="J126" i="1"/>
  <c r="G24" i="41" s="1"/>
  <c r="G25" i="41" s="1"/>
  <c r="I25" i="41" s="1"/>
  <c r="J73" i="1"/>
  <c r="D48" i="67"/>
  <c r="H58" i="1"/>
  <c r="J66" i="2"/>
  <c r="J124" i="2"/>
  <c r="J126" i="2" s="1"/>
  <c r="J131" i="2"/>
  <c r="J74" i="2"/>
  <c r="H74" i="2" s="1"/>
  <c r="H89" i="1" l="1"/>
  <c r="H142" i="1"/>
  <c r="J142" i="1" s="1"/>
  <c r="H141" i="1"/>
  <c r="J141" i="1" s="1"/>
  <c r="H139" i="1"/>
  <c r="J139" i="1" s="1"/>
  <c r="H78" i="2"/>
  <c r="H155" i="2"/>
  <c r="H81" i="2"/>
  <c r="H79" i="2"/>
  <c r="H80" i="2"/>
  <c r="J87" i="1"/>
  <c r="G24" i="54"/>
  <c r="J132" i="1"/>
  <c r="G28" i="41"/>
  <c r="G29" i="41" s="1"/>
  <c r="I29" i="41" s="1"/>
  <c r="J74" i="1"/>
  <c r="G28" i="54"/>
  <c r="J89" i="1"/>
  <c r="J89" i="2"/>
  <c r="G28" i="53"/>
  <c r="G28" i="40"/>
  <c r="J132" i="2"/>
  <c r="G29" i="40" l="1"/>
  <c r="I29" i="40" s="1"/>
  <c r="G29" i="53"/>
  <c r="I29" i="53" s="1"/>
  <c r="G29" i="54"/>
  <c r="I29" i="54" s="1"/>
  <c r="G25" i="54"/>
  <c r="I25" i="54" s="1"/>
  <c r="H74" i="1"/>
  <c r="J90" i="1"/>
  <c r="J143" i="1"/>
  <c r="G32" i="54" s="1"/>
  <c r="J155" i="2"/>
  <c r="J141" i="2"/>
  <c r="J142" i="2"/>
  <c r="J139" i="2"/>
  <c r="G24" i="40"/>
  <c r="J87" i="2"/>
  <c r="G24" i="53"/>
  <c r="H79" i="1" l="1"/>
  <c r="H155" i="1"/>
  <c r="J155" i="1" s="1"/>
  <c r="H78" i="1"/>
  <c r="H81" i="1"/>
  <c r="H80" i="1"/>
  <c r="G25" i="53"/>
  <c r="I25" i="53" s="1"/>
  <c r="G33" i="54"/>
  <c r="I33" i="54" s="1"/>
  <c r="I35" i="54" s="1"/>
  <c r="G25" i="40"/>
  <c r="I25" i="40" s="1"/>
  <c r="G32" i="41"/>
  <c r="G33" i="41" s="1"/>
  <c r="I33" i="41" s="1"/>
  <c r="I35" i="41" s="1"/>
  <c r="P66" i="41" s="1"/>
  <c r="Q66" i="41" s="1"/>
  <c r="J78" i="2"/>
  <c r="J143" i="2"/>
  <c r="P67" i="54" l="1"/>
  <c r="Q67" i="54" s="1"/>
  <c r="P66" i="54"/>
  <c r="Q66" i="54" s="1"/>
  <c r="P68" i="54"/>
  <c r="Q68" i="54" s="1"/>
  <c r="J78" i="1"/>
  <c r="P68" i="41"/>
  <c r="Q68" i="41" s="1"/>
  <c r="P67" i="41"/>
  <c r="Q67" i="41" s="1"/>
  <c r="J79" i="2"/>
  <c r="J81" i="2"/>
  <c r="J80" i="2"/>
  <c r="G32" i="40"/>
  <c r="G32" i="53"/>
  <c r="G33" i="53" l="1"/>
  <c r="I33" i="53" s="1"/>
  <c r="I35" i="53" s="1"/>
  <c r="G33" i="40"/>
  <c r="I33" i="40" s="1"/>
  <c r="I35" i="40" s="1"/>
  <c r="J81" i="1"/>
  <c r="J79" i="1"/>
  <c r="J80" i="1"/>
  <c r="J82" i="2"/>
  <c r="P67" i="40" l="1"/>
  <c r="P66" i="40"/>
  <c r="P68" i="40"/>
  <c r="P68" i="53"/>
  <c r="P67" i="53"/>
  <c r="P66" i="53"/>
  <c r="J82" i="1"/>
  <c r="Q67" i="53" l="1"/>
  <c r="H19" i="52" s="1"/>
  <c r="Q66" i="40"/>
  <c r="H18" i="42" s="1"/>
  <c r="Q66" i="53"/>
  <c r="H18" i="52" s="1"/>
  <c r="Q68" i="53"/>
  <c r="H20" i="52" s="1"/>
  <c r="Q68" i="40"/>
  <c r="H20" i="42" s="1"/>
  <c r="Q67" i="40"/>
  <c r="H19" i="42" s="1"/>
  <c r="J92" i="1"/>
  <c r="J27" i="1"/>
  <c r="J158" i="1" l="1"/>
  <c r="G42" i="54" l="1"/>
  <c r="J154" i="1"/>
  <c r="G42" i="41"/>
  <c r="G43" i="41" s="1"/>
  <c r="I43" i="41" s="1"/>
  <c r="G43" i="54" l="1"/>
  <c r="I43" i="54" s="1"/>
  <c r="J156" i="1"/>
  <c r="J161" i="1" l="1"/>
  <c r="G38" i="41"/>
  <c r="G39" i="41" s="1"/>
  <c r="I39" i="41" s="1"/>
  <c r="I45" i="41" s="1"/>
  <c r="G38" i="54"/>
  <c r="G39" i="54" l="1"/>
  <c r="I39" i="54" s="1"/>
  <c r="I45" i="54" s="1"/>
  <c r="S66" i="41"/>
  <c r="T66" i="41" s="1"/>
  <c r="S68" i="41"/>
  <c r="T68" i="41" s="1"/>
  <c r="S67" i="41"/>
  <c r="T67" i="41" s="1"/>
  <c r="J15" i="1"/>
  <c r="J27" i="2"/>
  <c r="S68" i="54" l="1"/>
  <c r="T68" i="54" s="1"/>
  <c r="V68" i="54" s="1"/>
  <c r="X68" i="54" s="1"/>
  <c r="S66" i="54"/>
  <c r="T66" i="54" s="1"/>
  <c r="S67" i="54"/>
  <c r="T67" i="54" s="1"/>
  <c r="V67" i="54" s="1"/>
  <c r="X67" i="54" s="1"/>
  <c r="V66" i="41"/>
  <c r="V68" i="41"/>
  <c r="X68" i="41" s="1"/>
  <c r="V67" i="41"/>
  <c r="X67" i="41" s="1"/>
  <c r="V66" i="54"/>
  <c r="J30" i="1"/>
  <c r="E12" i="5"/>
  <c r="E15" i="5" l="1"/>
  <c r="E17" i="5" s="1"/>
  <c r="D161" i="67"/>
  <c r="V86" i="54"/>
  <c r="X66" i="54"/>
  <c r="X86" i="54" s="1"/>
  <c r="X88" i="54" s="1"/>
  <c r="X66" i="41"/>
  <c r="X86" i="41" s="1"/>
  <c r="X88" i="41" s="1"/>
  <c r="V86" i="41"/>
  <c r="J17" i="12" l="1"/>
  <c r="J18" i="12"/>
  <c r="L18" i="12" s="1"/>
  <c r="C44" i="67" s="1"/>
  <c r="J19" i="12"/>
  <c r="J20" i="12"/>
  <c r="E88" i="2" l="1"/>
  <c r="C46" i="67"/>
  <c r="E44" i="67"/>
  <c r="E46" i="67" l="1"/>
  <c r="C48" i="67"/>
  <c r="J88" i="2"/>
  <c r="E90" i="2"/>
  <c r="E92" i="2" s="1"/>
  <c r="E158" i="2" s="1"/>
  <c r="E154" i="2" l="1"/>
  <c r="E156" i="2" s="1"/>
  <c r="E161" i="2" s="1"/>
  <c r="J90" i="2"/>
  <c r="E48" i="67"/>
  <c r="J92" i="2" l="1"/>
  <c r="J158" i="2" l="1"/>
  <c r="J154" i="2" l="1"/>
  <c r="G42" i="40"/>
  <c r="G42" i="53"/>
  <c r="G43" i="53" l="1"/>
  <c r="I43" i="53" s="1"/>
  <c r="G43" i="40"/>
  <c r="I43" i="40" s="1"/>
  <c r="J156" i="2"/>
  <c r="G38" i="40" l="1"/>
  <c r="G38" i="53"/>
  <c r="J161" i="2"/>
  <c r="G39" i="53" l="1"/>
  <c r="I39" i="53" s="1"/>
  <c r="I45" i="53" s="1"/>
  <c r="G39" i="40"/>
  <c r="I39" i="40" s="1"/>
  <c r="I45" i="40" s="1"/>
  <c r="J15" i="2"/>
  <c r="G16" i="79"/>
  <c r="S66" i="40" l="1"/>
  <c r="T66" i="40" s="1"/>
  <c r="V66" i="40" s="1"/>
  <c r="S68" i="40"/>
  <c r="T68" i="40" s="1"/>
  <c r="V68" i="40" s="1"/>
  <c r="X68" i="40" s="1"/>
  <c r="S67" i="40"/>
  <c r="T67" i="40" s="1"/>
  <c r="K19" i="42" s="1"/>
  <c r="M19" i="42" s="1"/>
  <c r="O19" i="42" s="1"/>
  <c r="S68" i="53"/>
  <c r="T68" i="53" s="1"/>
  <c r="V68" i="53" s="1"/>
  <c r="X68" i="53" s="1"/>
  <c r="S67" i="53"/>
  <c r="T67" i="53" s="1"/>
  <c r="V67" i="53" s="1"/>
  <c r="X67" i="53" s="1"/>
  <c r="S66" i="53"/>
  <c r="T66" i="53" s="1"/>
  <c r="V66" i="53" s="1"/>
  <c r="G29" i="79"/>
  <c r="D12" i="5"/>
  <c r="J30" i="2"/>
  <c r="K18" i="42"/>
  <c r="M18" i="42" s="1"/>
  <c r="K20" i="42" l="1"/>
  <c r="M20" i="42" s="1"/>
  <c r="O20" i="42" s="1"/>
  <c r="K20" i="52"/>
  <c r="M20" i="52" s="1"/>
  <c r="O20" i="52" s="1"/>
  <c r="K18" i="52"/>
  <c r="M18" i="52" s="1"/>
  <c r="O18" i="52" s="1"/>
  <c r="K19" i="52"/>
  <c r="M19" i="52" s="1"/>
  <c r="O19" i="52" s="1"/>
  <c r="V67" i="40"/>
  <c r="X67" i="40" s="1"/>
  <c r="D15" i="5"/>
  <c r="D17" i="5" s="1"/>
  <c r="X66" i="40"/>
  <c r="V86" i="40"/>
  <c r="X66" i="53"/>
  <c r="X72" i="53" s="1"/>
  <c r="X74" i="53" s="1"/>
  <c r="V72" i="53"/>
  <c r="C161" i="67"/>
  <c r="M38" i="42"/>
  <c r="O18" i="42"/>
  <c r="O38" i="42" s="1"/>
  <c r="O40" i="42" s="1"/>
  <c r="E42" i="79"/>
  <c r="E44" i="79"/>
  <c r="E56" i="79"/>
  <c r="G56" i="79"/>
  <c r="X86" i="40" l="1"/>
  <c r="X88" i="40" s="1"/>
  <c r="O38" i="52"/>
  <c r="O40" i="52" s="1"/>
  <c r="M38" i="52"/>
  <c r="E48" i="79"/>
  <c r="E52" i="79"/>
  <c r="E54" i="79"/>
  <c r="G54" i="79"/>
  <c r="E46" i="79"/>
  <c r="E161"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Ted Czupik</author>
    <author>Czupik, Ted Jr</author>
  </authors>
  <commentList>
    <comment ref="C37" authorId="0" shapeId="0" xr:uid="{00000000-0006-0000-0100-000001000000}">
      <text>
        <r>
          <rPr>
            <sz val="10"/>
            <color indexed="81"/>
            <rFont val="Tahoma"/>
            <family val="2"/>
          </rPr>
          <t xml:space="preserve">The Company has chosen option 2 for ITC and therefore this number should be zero and amortization of ITC should be included
</t>
        </r>
      </text>
    </comment>
    <comment ref="D37" authorId="0" shapeId="0" xr:uid="{00000000-0006-0000-0100-000002000000}">
      <text>
        <r>
          <rPr>
            <sz val="10"/>
            <color indexed="81"/>
            <rFont val="Tahoma"/>
            <family val="2"/>
          </rPr>
          <t xml:space="preserve">The Company has chosen option 2 for ITC and therefore this number should be zero and amortization of ITC should be included
</t>
        </r>
      </text>
    </comment>
    <comment ref="C159" authorId="1" shapeId="0" xr:uid="{00000000-0006-0000-0100-000003000000}">
      <text>
        <r>
          <rPr>
            <sz val="8"/>
            <color indexed="81"/>
            <rFont val="Tahoma"/>
            <family val="2"/>
          </rPr>
          <t xml:space="preserve">ROE = 10.88% + 50 basis point adder for being a memember of an RTO.  This would change as a result of a 205 or 206 filing or if there is a challenge.
</t>
        </r>
      </text>
    </comment>
    <comment ref="C165" authorId="1" shapeId="0" xr:uid="{00000000-0006-0000-0100-000004000000}">
      <text>
        <r>
          <rPr>
            <sz val="8"/>
            <color indexed="81"/>
            <rFont val="Tahoma"/>
            <family val="2"/>
          </rPr>
          <t xml:space="preserve">FERC Refund Rate is the approved rate as of December 31 of calendar year prior to the rate year (see 18 CFR Section 35.19a).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1" authorId="0" shapeId="0" xr:uid="{00000000-0006-0000-0300-000001000000}">
      <text>
        <r>
          <rPr>
            <sz val="10"/>
            <color indexed="81"/>
            <rFont val="Tahoma"/>
            <family val="2"/>
          </rPr>
          <t xml:space="preserve">The Company has chosen option 2 for ITC and therefore this number should be zero and amortization of ITC should be included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Ted Czupik</author>
  </authors>
  <commentList>
    <comment ref="E81" authorId="0" shapeId="0" xr:uid="{00000000-0006-0000-0400-000001000000}">
      <text>
        <r>
          <rPr>
            <sz val="10"/>
            <color indexed="81"/>
            <rFont val="Tahoma"/>
            <family val="2"/>
          </rPr>
          <t xml:space="preserve">The Company has chosen option 2 for ITC and therefore this number should be zero and amortization of ITC should be included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Czupik, Ted</author>
  </authors>
  <commentList>
    <comment ref="D18" authorId="0" shapeId="0" xr:uid="{00000000-0006-0000-1700-000001000000}">
      <text>
        <r>
          <rPr>
            <u/>
            <sz val="9"/>
            <color indexed="81"/>
            <rFont val="Tahoma"/>
            <family val="2"/>
          </rPr>
          <t>Variance Explanation</t>
        </r>
        <r>
          <rPr>
            <sz val="9"/>
            <color indexed="81"/>
            <rFont val="Tahoma"/>
            <family val="2"/>
          </rPr>
          <t xml:space="preserve">
The load reported in PJM website differs by rounded values submitted to Power Meter.
The Power Meter loads are accepted as shown when the variance between the EA system is not significant.  In this case the difference is 0.05% so the reported loads were accepted.
The Energy Accounting system shows the 5198.
</t>
        </r>
      </text>
    </comment>
  </commentList>
</comments>
</file>

<file path=xl/sharedStrings.xml><?xml version="1.0" encoding="utf-8"?>
<sst xmlns="http://schemas.openxmlformats.org/spreadsheetml/2006/main" count="2201" uniqueCount="953">
  <si>
    <t>205.5.g &amp; 207.99.g</t>
  </si>
  <si>
    <t>1a</t>
  </si>
  <si>
    <t>Less Account 565</t>
  </si>
  <si>
    <t>V</t>
  </si>
  <si>
    <t xml:space="preserve">Duke Energy Ohio Consolidated </t>
  </si>
  <si>
    <t>Capital Structure</t>
  </si>
  <si>
    <t xml:space="preserve">Formula Rate - Non-Levelized </t>
  </si>
  <si>
    <t xml:space="preserve"> </t>
  </si>
  <si>
    <t>Line</t>
  </si>
  <si>
    <t>Allocated</t>
  </si>
  <si>
    <t>No.</t>
  </si>
  <si>
    <t>Amount</t>
  </si>
  <si>
    <t>Total</t>
  </si>
  <si>
    <t>Allocator</t>
  </si>
  <si>
    <t>TP</t>
  </si>
  <si>
    <t>NET REVENUE REQUIREMENT</t>
  </si>
  <si>
    <t>(Note C)</t>
  </si>
  <si>
    <t>(Note D)</t>
  </si>
  <si>
    <t>(1)</t>
  </si>
  <si>
    <t>(2)</t>
  </si>
  <si>
    <t>(3)</t>
  </si>
  <si>
    <t>(4)</t>
  </si>
  <si>
    <t>(5)</t>
  </si>
  <si>
    <t>Form No. 1</t>
  </si>
  <si>
    <t>Transmission</t>
  </si>
  <si>
    <t>Page, Line, Col.</t>
  </si>
  <si>
    <t>Company Total</t>
  </si>
  <si>
    <t>RATE BASE:</t>
  </si>
  <si>
    <t>GROSS PLANT IN SERVICE</t>
  </si>
  <si>
    <t xml:space="preserve">  Production</t>
  </si>
  <si>
    <t>NA</t>
  </si>
  <si>
    <t xml:space="preserve">  Transmission</t>
  </si>
  <si>
    <t xml:space="preserve">  Distribution</t>
  </si>
  <si>
    <t xml:space="preserve">  General &amp; Intangible</t>
  </si>
  <si>
    <t xml:space="preserve">  Common</t>
  </si>
  <si>
    <t>TOTAL GROSS PLANT (sum lines 1-5)</t>
  </si>
  <si>
    <t>GP=</t>
  </si>
  <si>
    <t>ACCUMULATED DEPRECIATION</t>
  </si>
  <si>
    <t>NET PLANT IN SERVICE</t>
  </si>
  <si>
    <t>TOTAL NET PLANT (sum lines 13-17)</t>
  </si>
  <si>
    <t>NP=</t>
  </si>
  <si>
    <t>273.8.k</t>
  </si>
  <si>
    <t>NP</t>
  </si>
  <si>
    <t>TE</t>
  </si>
  <si>
    <t>GP</t>
  </si>
  <si>
    <t>O&amp;M</t>
  </si>
  <si>
    <t xml:space="preserve">  Transmission </t>
  </si>
  <si>
    <t xml:space="preserve">  A&amp;G</t>
  </si>
  <si>
    <t xml:space="preserve">  Transmission Lease Payments</t>
  </si>
  <si>
    <t>DEPRECIATION EXPENSE</t>
  </si>
  <si>
    <t>TOTAL DEPRECIATION (Sum lines 9 - 11)</t>
  </si>
  <si>
    <t xml:space="preserve">  LABOR RELATED</t>
  </si>
  <si>
    <t xml:space="preserve">  PLANT RELATED</t>
  </si>
  <si>
    <t xml:space="preserve">         Property</t>
  </si>
  <si>
    <t xml:space="preserve">         Gross Receipts</t>
  </si>
  <si>
    <t xml:space="preserve">         Other</t>
  </si>
  <si>
    <t xml:space="preserve">         Payments in lieu of taxes</t>
  </si>
  <si>
    <t>TOTAL OTHER TAXES  (sum lines 13 - 19)</t>
  </si>
  <si>
    <t xml:space="preserve">  </t>
  </si>
  <si>
    <t xml:space="preserve">RETURN </t>
  </si>
  <si>
    <t xml:space="preserve">TRANSMISSION EXPENSES </t>
  </si>
  <si>
    <t>Total transmission expenses    (page 3, line 1, column 3)</t>
  </si>
  <si>
    <t>TE=</t>
  </si>
  <si>
    <t>TP=</t>
  </si>
  <si>
    <t>WAGES &amp; SALARY ALLOCATOR   (W&amp;S)</t>
  </si>
  <si>
    <t>Form 1 Reference</t>
  </si>
  <si>
    <t>$</t>
  </si>
  <si>
    <t>Allocation</t>
  </si>
  <si>
    <t>354.20.b</t>
  </si>
  <si>
    <t xml:space="preserve">  Other</t>
  </si>
  <si>
    <t>($ / Allocation)</t>
  </si>
  <si>
    <t>=</t>
  </si>
  <si>
    <t>% Electric</t>
  </si>
  <si>
    <t xml:space="preserve">  Electric</t>
  </si>
  <si>
    <t>200.3.c</t>
  </si>
  <si>
    <t>(line 16)</t>
  </si>
  <si>
    <t>CE</t>
  </si>
  <si>
    <t xml:space="preserve">  Gas</t>
  </si>
  <si>
    <t>*</t>
  </si>
  <si>
    <t xml:space="preserve">  Water</t>
  </si>
  <si>
    <t>RETURN (R)</t>
  </si>
  <si>
    <t xml:space="preserve">                                          Development of Common Stock:</t>
  </si>
  <si>
    <t>Common Stock</t>
  </si>
  <si>
    <t>Cost</t>
  </si>
  <si>
    <t>%</t>
  </si>
  <si>
    <t>Weighted</t>
  </si>
  <si>
    <t>=WCLTD</t>
  </si>
  <si>
    <t xml:space="preserve">  Common Stock  (line 26)</t>
  </si>
  <si>
    <t>=R</t>
  </si>
  <si>
    <t>REVENUE CREDITS</t>
  </si>
  <si>
    <t>(310-311)</t>
  </si>
  <si>
    <t xml:space="preserve">  Total of (a)-(b)</t>
  </si>
  <si>
    <t>(330.x.n)</t>
  </si>
  <si>
    <t>General Note:  References to pages in this formulary rate are indicated as:  (page#, line#, col.#)</t>
  </si>
  <si>
    <t>Note</t>
  </si>
  <si>
    <t>Letter</t>
  </si>
  <si>
    <t>A</t>
  </si>
  <si>
    <t>B</t>
  </si>
  <si>
    <t>C</t>
  </si>
  <si>
    <t>D</t>
  </si>
  <si>
    <t>E</t>
  </si>
  <si>
    <t>F</t>
  </si>
  <si>
    <t>G</t>
  </si>
  <si>
    <t>Identified in Form 1 as being only transmission related.</t>
  </si>
  <si>
    <t>H</t>
  </si>
  <si>
    <t>Cash Working Capital assigned to transmission is one-eighth of O&amp;M allocated to transmission at page 3, line 8, column 5.</t>
  </si>
  <si>
    <t>I</t>
  </si>
  <si>
    <t>J</t>
  </si>
  <si>
    <t>K</t>
  </si>
  <si>
    <t>L</t>
  </si>
  <si>
    <t>M</t>
  </si>
  <si>
    <t>Removes transmission plant determined by Commission order to be state-jurisdictional according to the seven-factor test (until Form 1</t>
  </si>
  <si>
    <t>N</t>
  </si>
  <si>
    <t>O</t>
  </si>
  <si>
    <t>P</t>
  </si>
  <si>
    <t>Q</t>
  </si>
  <si>
    <t>R</t>
  </si>
  <si>
    <t>Account 454</t>
  </si>
  <si>
    <t>Rent from Electric Property in per Books Total above</t>
  </si>
  <si>
    <t>Includes income related only to transmission facilities, such as pole attachments, rentals and special use.</t>
  </si>
  <si>
    <t xml:space="preserve">  Account No. 281 (enter negative)</t>
  </si>
  <si>
    <t xml:space="preserve">  Account No. 282 (enter negative)</t>
  </si>
  <si>
    <t xml:space="preserve">  Account No. 283 (enter negative)</t>
  </si>
  <si>
    <t xml:space="preserve">  Account No. 255 (enter negative)</t>
  </si>
  <si>
    <t xml:space="preserve">  Account No. 190 </t>
  </si>
  <si>
    <t xml:space="preserve">  Prepayments (Account 165)</t>
  </si>
  <si>
    <t xml:space="preserve">  a. Bundled Non-RQ Sales for Resale (311.x.h)</t>
  </si>
  <si>
    <t>Total Income Taxes</t>
  </si>
  <si>
    <t xml:space="preserve">  Total  (sum lines 17 - 19)</t>
  </si>
  <si>
    <t>Load</t>
  </si>
  <si>
    <t>(page 4, line 34)</t>
  </si>
  <si>
    <t>(line 1 minus line 6)</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</si>
  <si>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</si>
  <si>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</si>
  <si>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</si>
  <si>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</si>
  <si>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</si>
  <si>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</si>
  <si>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</si>
  <si>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 xml:space="preserve">      1 / (1 - T)  = (from line 21)</t>
  </si>
  <si>
    <t xml:space="preserve">       and FIT, SIT &amp; p are as given in footnote K.</t>
  </si>
  <si>
    <t>REV. REQUIREMENT  (sum lines 8, 12, 20, 27, 28)</t>
  </si>
  <si>
    <t xml:space="preserve">         Inputs Required:</t>
  </si>
  <si>
    <t>ITC adjustment (line 23 * line 24)</t>
  </si>
  <si>
    <t>(line 25 plus line 26)</t>
  </si>
  <si>
    <t>calculated</t>
  </si>
  <si>
    <t>WS</t>
  </si>
  <si>
    <t xml:space="preserve">  CWC  </t>
  </si>
  <si>
    <t>Total  (sum lines 27-29)</t>
  </si>
  <si>
    <t xml:space="preserve">  Total  (sum lines 12-15)</t>
  </si>
  <si>
    <t>Removes dollar amount of transmission plant included in the development of OATT ancillary services rates and generation</t>
  </si>
  <si>
    <t>5a</t>
  </si>
  <si>
    <t>zero</t>
  </si>
  <si>
    <t>S</t>
  </si>
  <si>
    <t>T</t>
  </si>
  <si>
    <t>Percentage of transmission expenses after adjustment (line 8 divided by line 6)</t>
  </si>
  <si>
    <t>Included transmission expenses (line 6 less line 7)</t>
  </si>
  <si>
    <t xml:space="preserve">   </t>
  </si>
  <si>
    <t>219.25.c</t>
  </si>
  <si>
    <t>219.26.c</t>
  </si>
  <si>
    <t>Jan</t>
  </si>
  <si>
    <t>Feb</t>
  </si>
  <si>
    <t>Mar</t>
  </si>
  <si>
    <t>Apr</t>
  </si>
  <si>
    <t>Jun</t>
  </si>
  <si>
    <t>Aug</t>
  </si>
  <si>
    <t>Dec</t>
  </si>
  <si>
    <t>Average</t>
  </si>
  <si>
    <t>Notes:</t>
  </si>
  <si>
    <t>267.8.h</t>
  </si>
  <si>
    <t>263.i</t>
  </si>
  <si>
    <t>201.3.d</t>
  </si>
  <si>
    <t>201.3.e</t>
  </si>
  <si>
    <t>111.57.c</t>
  </si>
  <si>
    <t>U</t>
  </si>
  <si>
    <t>207.58.g</t>
  </si>
  <si>
    <t>207.75.g</t>
  </si>
  <si>
    <t>Proprietary Capital (112.16.c)</t>
  </si>
  <si>
    <t>Less Account 216.1 (112.12.c)  (enter negative)</t>
  </si>
  <si>
    <t xml:space="preserve">  Long Term Debt (112, sum of 18.c through 21.c)</t>
  </si>
  <si>
    <t xml:space="preserve">  Preferred Stock  (112.3.c)</t>
  </si>
  <si>
    <t>Duke Energy Ohio</t>
  </si>
  <si>
    <t>Duke Energy Kentucky</t>
  </si>
  <si>
    <t>Long Term Interest (117, sum of 62.c through 67.c)</t>
  </si>
  <si>
    <t>Preferred Dividends (118.29.c) (positive number)</t>
  </si>
  <si>
    <t>DEO</t>
  </si>
  <si>
    <t>DEK</t>
  </si>
  <si>
    <t>205.46.g</t>
  </si>
  <si>
    <t>321.112.b</t>
  </si>
  <si>
    <t>321.96.b</t>
  </si>
  <si>
    <t>323.197.b</t>
  </si>
  <si>
    <t>354.21.b</t>
  </si>
  <si>
    <t>354.23.b</t>
  </si>
  <si>
    <t>354.24,25,26.b</t>
  </si>
  <si>
    <t>Production</t>
  </si>
  <si>
    <t>Distribution</t>
  </si>
  <si>
    <t>Transmission Plant</t>
  </si>
  <si>
    <t>Page 1 of 2</t>
  </si>
  <si>
    <t>O&amp;M EXPENSE</t>
  </si>
  <si>
    <t>9</t>
  </si>
  <si>
    <t>10</t>
  </si>
  <si>
    <t>TAXES OTHER THAN INCOME TAXES</t>
  </si>
  <si>
    <t>11</t>
  </si>
  <si>
    <t>Total Other Taxes</t>
  </si>
  <si>
    <t>12</t>
  </si>
  <si>
    <t>INCOME TAXES</t>
  </si>
  <si>
    <t>Return on Rate Base</t>
  </si>
  <si>
    <t>Page 2 of 2</t>
  </si>
  <si>
    <t>(Note F)</t>
  </si>
  <si>
    <t>in Note K.  Account 281 is not allocated.</t>
  </si>
  <si>
    <t>Detail of Land Held for Future Use</t>
  </si>
  <si>
    <t>Other Projects</t>
  </si>
  <si>
    <t>Project Name</t>
  </si>
  <si>
    <t>A&amp;G Expense, Page 323, line 197, column b</t>
  </si>
  <si>
    <t>A&amp;G Expense</t>
  </si>
  <si>
    <t>Account 282</t>
  </si>
  <si>
    <t>Account 190</t>
  </si>
  <si>
    <t>Distribution Use</t>
  </si>
  <si>
    <t>The balances in Accounts 190, 281, 282 and 283, as adjusted by any amounts in contra accounts identified as regulatory assets or liabilities related to FASB 106 or 109.</t>
  </si>
  <si>
    <t>Balance of Account 255 is reduced by prior flow throughs and excluded if the utility chose to utilize amortization of tax credits against taxable income as discussed</t>
  </si>
  <si>
    <t>Gross Transmission Plant - Total</t>
  </si>
  <si>
    <t>Net Transmission Plant - Total</t>
  </si>
  <si>
    <t>Total O&amp;M Allocated to Transmission</t>
  </si>
  <si>
    <t>Annual Allocation Factor for O&amp;M</t>
  </si>
  <si>
    <t>5</t>
  </si>
  <si>
    <t>6</t>
  </si>
  <si>
    <t>Annual Allocation Factor for Other Taxes</t>
  </si>
  <si>
    <t>7</t>
  </si>
  <si>
    <t>Annual Allocation Factor for Expense</t>
  </si>
  <si>
    <t>8</t>
  </si>
  <si>
    <t>Annual Allocation Factor for Income Taxes</t>
  </si>
  <si>
    <t>Annual Allocation Factor for Return on Rate Base</t>
  </si>
  <si>
    <t>Annual Allocation Factor for Return</t>
  </si>
  <si>
    <t>Line No.</t>
  </si>
  <si>
    <t>MTEP Project Number</t>
  </si>
  <si>
    <t xml:space="preserve">Project Gross Plant </t>
  </si>
  <si>
    <t>Annual Expense Charge</t>
  </si>
  <si>
    <t xml:space="preserve">Project Net Plant </t>
  </si>
  <si>
    <t>Annual Return Charge</t>
  </si>
  <si>
    <t>Project Depreciation Expense</t>
  </si>
  <si>
    <t>Annual Revenue Requirement</t>
  </si>
  <si>
    <t>True-Up Adjustment</t>
  </si>
  <si>
    <t>Network Upgrade Charge</t>
  </si>
  <si>
    <t>(Col. 3 * Col. 4)</t>
  </si>
  <si>
    <t>(Col. 6 * Col. 7)</t>
  </si>
  <si>
    <t>(Note E)</t>
  </si>
  <si>
    <t>(Sum Col. 5, 8 &amp; 9)</t>
  </si>
  <si>
    <t>Sum Col. 10 &amp; 11
(Note G)</t>
  </si>
  <si>
    <t>Project 1</t>
  </si>
  <si>
    <t>P1</t>
  </si>
  <si>
    <t>1b</t>
  </si>
  <si>
    <t>Project 2</t>
  </si>
  <si>
    <t>P2</t>
  </si>
  <si>
    <t>1c</t>
  </si>
  <si>
    <t>Project 3</t>
  </si>
  <si>
    <t>P3</t>
  </si>
  <si>
    <t>2</t>
  </si>
  <si>
    <t>Annual Totals</t>
  </si>
  <si>
    <t>Project Gross Plant is the total capital investment for the project calculated in the same method as the gross plant value in line 1 and includes CWIP in rate base if applicable.  This value includes subsequent capital investments required to maintain the facilities to their original capabilities.</t>
  </si>
  <si>
    <t>Project Net Plant is the Project Gross Plant Identified in Column 3 less the associated Accumulated Depreciation.</t>
  </si>
  <si>
    <t>True-Up Adjustment is included pursuant to a FERC approved methodology if applicable.</t>
  </si>
  <si>
    <t>The Network Upgrade Charge is the value to be used in Schedule 26.</t>
  </si>
  <si>
    <t>Hillcrest 345 kV</t>
  </si>
  <si>
    <t>Rate Formula Template</t>
  </si>
  <si>
    <t>Tower Lease Revenues in per Books Total above</t>
  </si>
  <si>
    <t>Materials and Supplies</t>
  </si>
  <si>
    <t>Total M&amp;S</t>
  </si>
  <si>
    <t>(In Dollars)</t>
  </si>
  <si>
    <t>Actual</t>
  </si>
  <si>
    <t xml:space="preserve">          Total Common Stock Equity</t>
  </si>
  <si>
    <t>13</t>
  </si>
  <si>
    <t>14</t>
  </si>
  <si>
    <t>May</t>
  </si>
  <si>
    <t>Jul</t>
  </si>
  <si>
    <t>Sep</t>
  </si>
  <si>
    <t>Oct</t>
  </si>
  <si>
    <t>Nov</t>
  </si>
  <si>
    <t>Utilizing FERC Form 1 Data</t>
  </si>
  <si>
    <t>SUPPORTING CALCULATIONS AND NOTES</t>
  </si>
  <si>
    <t>Network Upgrade Charge Calculation By Project</t>
  </si>
  <si>
    <t>Annual Cost ($/kW/Yr) - 1 CP</t>
  </si>
  <si>
    <t>RATE BASE</t>
  </si>
  <si>
    <t>$/MWh</t>
  </si>
  <si>
    <t>MWh</t>
  </si>
  <si>
    <t>Schedule 1A Rate Calculations</t>
  </si>
  <si>
    <t>B.</t>
  </si>
  <si>
    <t>Net Schedule 1A Revenue Requirement for Zone</t>
  </si>
  <si>
    <t>Total Load Dispatch &amp; Scheduling (Account 561)</t>
  </si>
  <si>
    <t>A.</t>
  </si>
  <si>
    <t>Requirement</t>
  </si>
  <si>
    <t>Revenue</t>
  </si>
  <si>
    <t>Transmission Formula Rate Revenue Requirement</t>
  </si>
  <si>
    <t>Schedule 1A Annual Revenue Requirements</t>
  </si>
  <si>
    <t>Appendix A</t>
  </si>
  <si>
    <t>Page 1 of 1</t>
  </si>
  <si>
    <t>Attachment H-22A, Page 4, Line 7</t>
  </si>
  <si>
    <t>Revenue Credits for Schedule 1A - Note A</t>
  </si>
  <si>
    <t>Note:</t>
  </si>
  <si>
    <t>used to calculate rates under Attachment H-22A.</t>
  </si>
  <si>
    <t>4a</t>
  </si>
  <si>
    <t>4b</t>
  </si>
  <si>
    <t>Source</t>
  </si>
  <si>
    <t>Reserved</t>
  </si>
  <si>
    <t>Schedule 1A Rate Calculation</t>
  </si>
  <si>
    <t>Appendix C</t>
  </si>
  <si>
    <t>RTEP - Transmission Enhancement Charges</t>
  </si>
  <si>
    <t>Attachment H-22A</t>
  </si>
  <si>
    <t>Utilizing Attachment H-22A Data</t>
  </si>
  <si>
    <t>Prepayments are the electric related prepayments booked to Account No. 165 and reported on Page 111 line 57 in the Form 1.</t>
  </si>
  <si>
    <t>step-up facilities, which are deemed to be included in OATT ancillary services.  For these purposes, generation step-up</t>
  </si>
  <si>
    <t>facilities are those facilities at a generator substation on which there is no through-flow when the generator is shut down.</t>
  </si>
  <si>
    <t>No. 456.1 and all other uses are to be included in the divisor.</t>
  </si>
  <si>
    <t>(page 4, line 35)</t>
  </si>
  <si>
    <t>DIVISOR</t>
  </si>
  <si>
    <t>(line 7 / line 8)</t>
  </si>
  <si>
    <t>General Advertising - 930.1</t>
  </si>
  <si>
    <t>TRANSMISSION PLANT INCLUDED IN ISO RATES</t>
  </si>
  <si>
    <t>Total transmission plant (page 2, line 2, column 3)</t>
  </si>
  <si>
    <t>Transmission plant included in ISO Rates  (line 1 less lines 2 &amp; 3)</t>
  </si>
  <si>
    <t>Percentage of transmission plant included in ISO Rates (line 4 divided by line 1)</t>
  </si>
  <si>
    <t>Percentage of transmission plant included in ISO Rates (line 5)</t>
  </si>
  <si>
    <t>Percentage of transmission expenses included in ISO Rates (line 9 times line 10)</t>
  </si>
  <si>
    <t>Project Depreciation Expense is the actual value booked for the project and included in the Depreciation Expense in Attachment H-22A page 3 line 12.</t>
  </si>
  <si>
    <t>Determination of Transmission Plant Included in OATT Ancillary Services</t>
  </si>
  <si>
    <t>State Tax Composite Rate</t>
  </si>
  <si>
    <t>Revenue Requirement</t>
  </si>
  <si>
    <t>Tax Rate</t>
  </si>
  <si>
    <t>State Taxes</t>
  </si>
  <si>
    <t>Composite Tax Rate</t>
  </si>
  <si>
    <t>Allocation of Account 163</t>
  </si>
  <si>
    <t xml:space="preserve">Line 5 - EPRI Annual Membership Dues listed in Form 1 at 353.f, all Regulatory Commission Expenses itemized at 351.h, and non-safety related advertising included </t>
  </si>
  <si>
    <t xml:space="preserve">in Account 930.1.  Line 5a - 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</si>
  <si>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t>
  </si>
  <si>
    <t>Gross receipts taxes are not included in transmission revenue requirement in the Rate Formula Template, since they are recovered elsewhere.</t>
  </si>
  <si>
    <t xml:space="preserve">"the percentage of federal income tax deductible for state income taxes".  If the utility is taxed in more than one state it must attach a work paper showing the name </t>
  </si>
  <si>
    <t>of each state and how the blended or composite SIT was developed.  Furthermore, a utility that elected to utilize amortization of tax credits</t>
  </si>
  <si>
    <t xml:space="preserve">against taxable income, rather than book tax credits to Account No. 255 and reduce rate base, must reduce its income tax expense by </t>
  </si>
  <si>
    <t>the amount of the Amortized Investment Tax Credit (Form 1, 266.8.f) multiplied by (1/1-T) (page 3, line 26).</t>
  </si>
  <si>
    <t xml:space="preserve">       where WCLTD=(page 4, line 27) and R= (page 4, line 30)</t>
  </si>
  <si>
    <t xml:space="preserve">214.x.d  </t>
  </si>
  <si>
    <t>COMMON PLANT ALLOCATOR  (CE)</t>
  </si>
  <si>
    <t>266.8.f (enter negative)</t>
  </si>
  <si>
    <t>Amortized Investment Tax Credit</t>
  </si>
  <si>
    <t>Income Tax Calculation (line 22 * line 28)</t>
  </si>
  <si>
    <t xml:space="preserve">  b. Bundled Sales for Resale included in Divisor on page 1</t>
  </si>
  <si>
    <t>Revenue received pursuant to PJM Schedule 1A revenue allocation procedures</t>
  </si>
  <si>
    <t>The Total General and Common Depreciation Expense excludes any depreciation expense directly associated with a project and thereby included in page 2 column 9.</t>
  </si>
  <si>
    <t>TRANSMISSION PLANT</t>
  </si>
  <si>
    <t>RTEP Project Number</t>
  </si>
  <si>
    <t>Sum of lines 11 and 13</t>
  </si>
  <si>
    <t>Appendix B</t>
  </si>
  <si>
    <t>(Col. 3 times Col. 4)</t>
  </si>
  <si>
    <t>Line 33 must equal zero since all short-term power sales must be unbundled and the transmission component reflected in Account</t>
  </si>
  <si>
    <t>(Note P)</t>
  </si>
  <si>
    <t xml:space="preserve">assignment facilities and GSUs) which are not recovered under this Rate Formula Template. </t>
  </si>
  <si>
    <t>Account No. 454</t>
  </si>
  <si>
    <t>Revenues from Grandfathered Interzonal Transactions</t>
  </si>
  <si>
    <t>Less FERC Annual Fees</t>
  </si>
  <si>
    <t>Payroll</t>
  </si>
  <si>
    <t>Highway and vehicle</t>
  </si>
  <si>
    <t>LAND HELD FOR FUTURE USE   (Note G)</t>
  </si>
  <si>
    <t xml:space="preserve">  Materials &amp; Supplies    (Note G)</t>
  </si>
  <si>
    <t>Less transmission plant excluded from ISO rates  (Note M)</t>
  </si>
  <si>
    <t>Less transmission plant included in OATT Ancillary Services  (Note N)</t>
  </si>
  <si>
    <t>Less transmission expenses included in OATT Ancillary Services  (Note L)</t>
  </si>
  <si>
    <t>ACCOUNT 447 (SALES FOR RESALE)  (Note Q)</t>
  </si>
  <si>
    <t>ACCOUNT 454 (RENT FROM ELECTRIC PROPERTY)    (Note R)</t>
  </si>
  <si>
    <t>Less LSE Expenses included in Transmission O&amp;M Accounts  (Note V)</t>
  </si>
  <si>
    <t>Less EPRI &amp; Reg. Comm. Exp. &amp; Non-safety  Advertising    (Note I)</t>
  </si>
  <si>
    <t>Plus Transmission Related Reg. Comm. Exp.   (Note I)</t>
  </si>
  <si>
    <t>TAXES OTHER THAN INCOME TAXES    (Note J)</t>
  </si>
  <si>
    <t>Less transmission plant excluded from ISO rates   (Note M)</t>
  </si>
  <si>
    <t>REVENUE CREDITS    (Note T)</t>
  </si>
  <si>
    <t>WORKING CAPITAL    (Note H)</t>
  </si>
  <si>
    <t xml:space="preserve">  Materials &amp; Supplies     (Note G)</t>
  </si>
  <si>
    <t>INCOME TAXES           (Note K)</t>
  </si>
  <si>
    <t>W</t>
  </si>
  <si>
    <t>revenues associated with FERC annual charges, gross receipts taxes, ancillary services, or facilities not included in this template (e.g., direct</t>
  </si>
  <si>
    <t>Account No. 456.1</t>
  </si>
  <si>
    <t>ACCOUNT 456.1 (OTHER ELECTRIC REVENUES)        (Note U)</t>
  </si>
  <si>
    <t>3a</t>
  </si>
  <si>
    <t>3b</t>
  </si>
  <si>
    <t>17a</t>
  </si>
  <si>
    <t>Annual Cost ($/kW/Yr) - 12 CP</t>
  </si>
  <si>
    <t>(line 7 / line 9)</t>
  </si>
  <si>
    <t>Network Rate ($/kW/Mo)</t>
  </si>
  <si>
    <t>(line 15 / 12)</t>
  </si>
  <si>
    <t>Point-To-Point Rate ($/kW/Mo)</t>
  </si>
  <si>
    <t>(line 16 / 12)</t>
  </si>
  <si>
    <t>Point-To-Point Rate ($/kW/Wk)</t>
  </si>
  <si>
    <t>Point-To-Point Rate ($/kW/Day)</t>
  </si>
  <si>
    <t>Point-To-Point Rate ($/MWh)</t>
  </si>
  <si>
    <t>(line 16 / 52; line 16 / 52)</t>
  </si>
  <si>
    <t>(line 16 / 260; line 16 / 365)</t>
  </si>
  <si>
    <t>Peak Rate</t>
  </si>
  <si>
    <t>Off-Peak Rate</t>
  </si>
  <si>
    <t>Capped at weekly rate</t>
  </si>
  <si>
    <t>Capped at weekly and daily rate</t>
  </si>
  <si>
    <t>(A)</t>
  </si>
  <si>
    <t>(B)</t>
  </si>
  <si>
    <t>(C)</t>
  </si>
  <si>
    <t>Duke Energy Ohio and Duke Energy Kentucky</t>
  </si>
  <si>
    <t>for transmission service outside of DEOK's zone during the year</t>
  </si>
  <si>
    <t xml:space="preserve">balances are adjusted to reflect application of seven-factor test).  </t>
  </si>
  <si>
    <r>
      <rPr>
        <vertAlign val="superscript"/>
        <sz val="12"/>
        <rFont val="Arial"/>
        <family val="2"/>
      </rPr>
      <t>(1)</t>
    </r>
    <r>
      <rPr>
        <sz val="12"/>
        <rFont val="Arial"/>
        <family val="2"/>
      </rPr>
      <t xml:space="preserve">  For the purpose of calculating the DEO annual peak, the DEK annual peak as reported on page 401, column d of Form 1, was subtracted from the DEO annual peak as reported on page 400.</t>
    </r>
  </si>
  <si>
    <t>DEOK</t>
  </si>
  <si>
    <t>Exhibit No. DUK-102</t>
  </si>
  <si>
    <t>Regulatory Commission Expense</t>
  </si>
  <si>
    <t>Electric Power Research Institute</t>
  </si>
  <si>
    <t>Subtotal</t>
  </si>
  <si>
    <t>Adjusted A&amp;G Expense - To Page 3, Line 3</t>
  </si>
  <si>
    <t>Revenues from service provided by ISO at a discount</t>
  </si>
  <si>
    <t>Debt cost rate = long-term interest (line 21) / long term debt (line 27).  Preferred cost rate = preferred dividends (line 22) / preferred outstanding (line 28).</t>
  </si>
  <si>
    <t>ROE will be supported in the original filing and no change in ROE may be made absent a filing with FERC.  Capitalization adjusted to exclude impacts of purchase accounting.</t>
  </si>
  <si>
    <t>transactions and revenues from service provided by ISO at a discount.</t>
  </si>
  <si>
    <t>Sum of lines 4, 6 and 8</t>
  </si>
  <si>
    <t>page 6 of 6</t>
  </si>
  <si>
    <t>page 1 of 6</t>
  </si>
  <si>
    <t>page 2 of 6</t>
  </si>
  <si>
    <t>page 3 of 6</t>
  </si>
  <si>
    <t>page 5 of 6</t>
  </si>
  <si>
    <t>page 4 of 6</t>
  </si>
  <si>
    <t>DUKE ENERGY OHIO, INC.</t>
  </si>
  <si>
    <t>DEPRECIATION RATES</t>
  </si>
  <si>
    <t>FERC</t>
  </si>
  <si>
    <t>Company</t>
  </si>
  <si>
    <t>Account</t>
  </si>
  <si>
    <t xml:space="preserve">Accrual </t>
  </si>
  <si>
    <t>Number</t>
  </si>
  <si>
    <t>Description</t>
  </si>
  <si>
    <t>Rates</t>
  </si>
  <si>
    <t>(D)</t>
  </si>
  <si>
    <t>Wholly Owned Transmission Plant</t>
  </si>
  <si>
    <t>Rights of Way</t>
  </si>
  <si>
    <t>Structures &amp;  Improvements</t>
  </si>
  <si>
    <t>Structures &amp;  Improvements - Duke Ohio - Loc. in Ky.</t>
  </si>
  <si>
    <t>Station Equipment</t>
  </si>
  <si>
    <t>Station Equipment - Duke Ohio - Loc. in Ky.</t>
  </si>
  <si>
    <t>Towers &amp; Fixtures</t>
  </si>
  <si>
    <t>Towers &amp; Fixtures - Duke Ohio - Loc. in Ky.</t>
  </si>
  <si>
    <t>Poles &amp; Fixtures</t>
  </si>
  <si>
    <t>Poles &amp; Fixtures - Duke Ohio - Loc. in Ky.</t>
  </si>
  <si>
    <t>Overhead Conductors &amp; Devices</t>
  </si>
  <si>
    <t>Overhead Conductors &amp; Devices - Duke Ohio - Loc. in Ky.</t>
  </si>
  <si>
    <t>Underground Conduit</t>
  </si>
  <si>
    <t>Underground Conductors &amp; Devices</t>
  </si>
  <si>
    <t>Commonly Owned Transmission Plant - CCD Projects</t>
  </si>
  <si>
    <t>Structures &amp;  Improvements - CCD Projects</t>
  </si>
  <si>
    <t>Station Equipment - CCD Projects</t>
  </si>
  <si>
    <t>Towers &amp; Fixtures - CCD Projects</t>
  </si>
  <si>
    <t>Towers &amp; Fixtures - CCD Projects - Loc. In Ky.</t>
  </si>
  <si>
    <t>Poles &amp; Fixtures - CCD Projects</t>
  </si>
  <si>
    <t>Overhead Conductors &amp; Devices - CCD Projects</t>
  </si>
  <si>
    <t>Overhead Conductors &amp; Devices - CCD Projects - Loc. In Ky.</t>
  </si>
  <si>
    <t>Commonly Owned Transmission Plant - CD Projects</t>
  </si>
  <si>
    <t>Structures &amp;  Improvements - CD Projects</t>
  </si>
  <si>
    <t>Station Equipment - CD Projects</t>
  </si>
  <si>
    <t>Towers &amp; Fixtures - CD Projects</t>
  </si>
  <si>
    <t>Overhead Conductors &amp; Devices - CD Projects</t>
  </si>
  <si>
    <t xml:space="preserve">Miscellaneous Intangible Plant </t>
  </si>
  <si>
    <t>Land and Land Rights</t>
  </si>
  <si>
    <t>N/A</t>
  </si>
  <si>
    <t>Structures and Improvements</t>
  </si>
  <si>
    <t>Office Furniture and Equipment</t>
  </si>
  <si>
    <t>Electronic Data Processing Equipment</t>
  </si>
  <si>
    <t>Transportation Equipment</t>
  </si>
  <si>
    <t>Trailers</t>
  </si>
  <si>
    <t>Tools, Shop &amp; Garage Equipment</t>
  </si>
  <si>
    <t>Laboratory Equipment</t>
  </si>
  <si>
    <t>Power Operated Equipment</t>
  </si>
  <si>
    <t>Communication Equipment</t>
  </si>
  <si>
    <t>Miscellaneous Equipment</t>
  </si>
  <si>
    <t>DUKE ENERGY KENTUCKY, INC.</t>
  </si>
  <si>
    <t>Structures &amp; Improvements</t>
  </si>
  <si>
    <t>Station Equipment - Major</t>
  </si>
  <si>
    <t>Station Equipment - Electronic</t>
  </si>
  <si>
    <t>Miscellaneous Intangible Plant</t>
  </si>
  <si>
    <t>Portion Attributable to Transmission</t>
  </si>
  <si>
    <t>X</t>
  </si>
  <si>
    <t>Y</t>
  </si>
  <si>
    <t>Less Midwest ISO Exit Fees included in Transmission O&amp;M</t>
  </si>
  <si>
    <t>(Note X)</t>
  </si>
  <si>
    <t>Less PJM Integration Costs included in A&amp;G</t>
  </si>
  <si>
    <t>(Note Y)</t>
  </si>
  <si>
    <t>Development of Common Stock:</t>
  </si>
  <si>
    <t>INCOME TAXE RATES</t>
  </si>
  <si>
    <t>Federal Income Tax (FIT)</t>
  </si>
  <si>
    <t>State Income Tax (SIT) or Composite SIT</t>
  </si>
  <si>
    <t>Effective Income Tax Rate</t>
  </si>
  <si>
    <t>(percent of federal income tax deductible for state purposes)</t>
  </si>
  <si>
    <t>Calculated</t>
  </si>
  <si>
    <t>COMMON PLANT ALLOCATOR  (CE) (Note O)</t>
  </si>
  <si>
    <t>TOTAL GROSS PLANT</t>
  </si>
  <si>
    <t>TOTAL ACCUM. DEPRECIATION</t>
  </si>
  <si>
    <t>TOTAL NET PLANT</t>
  </si>
  <si>
    <t>TOTAL ADJUSTMENTS</t>
  </si>
  <si>
    <t>TOTAL WORKING CAPITAL</t>
  </si>
  <si>
    <t>WORKING CAPITAL</t>
  </si>
  <si>
    <t>ADJUSTMENTS TO RATE BASE</t>
  </si>
  <si>
    <t>DESCRIPTION</t>
  </si>
  <si>
    <t>ROE - Docket Nos. ER12-91-000 and ER12-92-000 (Settlement)</t>
  </si>
  <si>
    <t>For the 12 months ended:</t>
  </si>
  <si>
    <t>Rates effective:</t>
  </si>
  <si>
    <r>
      <rPr>
        <b/>
        <sz val="12"/>
        <rFont val="Arial"/>
        <family val="2"/>
      </rPr>
      <t>Less:</t>
    </r>
    <r>
      <rPr>
        <sz val="12"/>
        <rFont val="Arial"/>
        <family val="2"/>
      </rPr>
      <t xml:space="preserve"> </t>
    </r>
  </si>
  <si>
    <r>
      <rPr>
        <b/>
        <sz val="12"/>
        <rFont val="Arial"/>
        <family val="2"/>
      </rPr>
      <t>Less:</t>
    </r>
    <r>
      <rPr>
        <sz val="12"/>
        <rFont val="Arial"/>
        <family val="2"/>
      </rPr>
      <t/>
    </r>
  </si>
  <si>
    <t xml:space="preserve">This amount reflects corrections to the prior year rate calculation, plus accumulated interest, and is included here in accordance with the formula rate protocols.  </t>
  </si>
  <si>
    <t>It is shown on a combined basis, and not separately entered on the DEO and DEK tabs.</t>
  </si>
  <si>
    <t xml:space="preserve">200.21.c &amp; 219.28.c </t>
  </si>
  <si>
    <t>Total Generation Step-up Transformers</t>
  </si>
  <si>
    <t xml:space="preserve">336.1.f &amp; 336.10.f </t>
  </si>
  <si>
    <t>General and Intangible Plant</t>
  </si>
  <si>
    <t># of Work Papers</t>
  </si>
  <si>
    <t>Per Books Total, Page 275, lines 2 &amp; 6, column k</t>
  </si>
  <si>
    <t>227.8.c &amp; 227.16.c</t>
  </si>
  <si>
    <t>The currently effective income tax rate, where FIT is the Federal income tax rate; SIT is the State income tax rate, and p =</t>
  </si>
  <si>
    <t>Percentage</t>
  </si>
  <si>
    <t>To be completed in conjunction with Attachment H-22A.</t>
  </si>
  <si>
    <t>336.11.f</t>
  </si>
  <si>
    <t>336.7.f</t>
  </si>
  <si>
    <t>Accumulated Deferred Income Taxes</t>
  </si>
  <si>
    <t>Per Books Total, Page 234, lines 8 &amp; 17, column c</t>
  </si>
  <si>
    <t>Ohio Consumers' Counsel</t>
  </si>
  <si>
    <t>PUCO - Division of Forecasting</t>
  </si>
  <si>
    <t>Non-Safety Adv., Reg. Comm. Exp. &amp; EPRI</t>
  </si>
  <si>
    <t>Less amounts recorded in a non-formula related account</t>
  </si>
  <si>
    <t>FERC Account 506</t>
  </si>
  <si>
    <t>FERC Account 588</t>
  </si>
  <si>
    <t>FERC Account 910</t>
  </si>
  <si>
    <t>Total Electric Power Research Institute</t>
  </si>
  <si>
    <t>Sch 1 - Scheduling, System Control &amp; Dispatch</t>
  </si>
  <si>
    <t>Sch 4 - Day-Ahead Load Response Charge Allocation</t>
  </si>
  <si>
    <t>Sch 4 - Real-Time Load Response Charge Allocation</t>
  </si>
  <si>
    <t>Sch 8 - Non-Firm PTP</t>
  </si>
  <si>
    <t>Sch 9 - NITS</t>
  </si>
  <si>
    <t>PJM Customer Payment Default</t>
  </si>
  <si>
    <t>Facilities Charges</t>
  </si>
  <si>
    <t>Other Transmission Revenues - FTR's</t>
  </si>
  <si>
    <t>Total Account 456.1 - To Page 4, Line 35</t>
  </si>
  <si>
    <t>Less: Transmission Revenues - Load in Divisor</t>
  </si>
  <si>
    <t>Total Transmission Revenues - Load in Divisor</t>
  </si>
  <si>
    <t>Sch 26 - MTEP Project Cost Recovery</t>
  </si>
  <si>
    <t>Total Account 454 - To Page 4, Line 34</t>
  </si>
  <si>
    <t>356</t>
  </si>
  <si>
    <t>Exhibit No. DUK-102, Pg. 1</t>
  </si>
  <si>
    <t xml:space="preserve">Exhibit No. DUK-102, Pg. 1 </t>
  </si>
  <si>
    <t>321.88.b, 92.b</t>
  </si>
  <si>
    <t>350.b</t>
  </si>
  <si>
    <t>Exhibit No. DUK-102, Pg. 4</t>
  </si>
  <si>
    <t xml:space="preserve">263.i. </t>
  </si>
  <si>
    <t>Non-Safety Adv., Reg. Comm. Exp. &amp; EPRI - To Page 3, Line 5</t>
  </si>
  <si>
    <t>Adjusted Balances - To Page 2, Line 22</t>
  </si>
  <si>
    <t>Adjusted Balances - To Page 2, Line 20</t>
  </si>
  <si>
    <t>Less Internal Integration Costs included in A&amp;G</t>
  </si>
  <si>
    <t>(Note Z)</t>
  </si>
  <si>
    <t xml:space="preserve">Midcontinent ISO Exit Fees include (1) the charge that DEOK paid to the Midcontinent ISO pursuant to the Settlement Agreement filed on July 29, 2011 in Docket No. ER11-2059 and (2) the exit </t>
  </si>
  <si>
    <t>fees that DEOK paid to the Midcontinent ISO pursuant to the Exit Fee Agreement filed on October 5, 2011 in Docket No. ER12-33.</t>
  </si>
  <si>
    <t>Less Midcontinent ISO Exit Fees included in Transmission O&amp;M</t>
  </si>
  <si>
    <t>PJM Integration Costs are the fees that PJM assessed DEOK for the costs that PJM incurred in connection with DEOK's move into PJM.  Internal Integration Costs are the internal</t>
  </si>
  <si>
    <t>administrative costs incurred by Duke Energy Ohio and Duke Energy Kentucky to accomplish their move from the Midcontinent ISO into PJM.</t>
  </si>
  <si>
    <t>Less PJM Integration Costs included in A&amp;G and</t>
  </si>
  <si>
    <t>321.85-87.b</t>
  </si>
  <si>
    <t>Account 283</t>
  </si>
  <si>
    <t>FAS 106</t>
  </si>
  <si>
    <t>FAS 109</t>
  </si>
  <si>
    <t xml:space="preserve">         Internal Integration Costs included in A&amp;G</t>
  </si>
  <si>
    <t>The Network Upgrade Charge is the value to be used in Schedule 12.</t>
  </si>
  <si>
    <t>RTEP Transmission Enhancement Charges for Attachment H-22A</t>
  </si>
  <si>
    <t>Att. H-22A, p 3, lines 10 &amp; 11, col 5 (Note H)</t>
  </si>
  <si>
    <t>Parent DE Ohio</t>
  </si>
  <si>
    <t>Holding Co.</t>
  </si>
  <si>
    <t>Request for Rate Increase &amp; Other Misc Exp</t>
  </si>
  <si>
    <t>FERC Account 557</t>
  </si>
  <si>
    <t>Less amounts recorded in a transmission account</t>
  </si>
  <si>
    <t>FERC Account 566</t>
  </si>
  <si>
    <t>(Note I)</t>
  </si>
  <si>
    <t>Less EPRI Annual Membership Dues  (Note I)</t>
  </si>
  <si>
    <t>Less EPRI Annual Membership Dues</t>
  </si>
  <si>
    <t>(1)  To Page 3, line 1c</t>
  </si>
  <si>
    <t>Impact of</t>
  </si>
  <si>
    <t>Correction</t>
  </si>
  <si>
    <t>FERC Refund Rate</t>
  </si>
  <si>
    <t>Z</t>
  </si>
  <si>
    <t>Number of Periods</t>
  </si>
  <si>
    <t>Interest - ((Amount * (1+Rate)^Periods) - Amount)</t>
  </si>
  <si>
    <t>Miscellaneous</t>
  </si>
  <si>
    <t>Variance</t>
  </si>
  <si>
    <t>ACCUMULATED DEPRECIATION AND AMORTIZATION</t>
  </si>
  <si>
    <t>TOTAL ACCUM. DEPRECIATION AND AMORTIZATION (sum lines 7-11)</t>
  </si>
  <si>
    <t>275.2.k &amp; 275.6.k</t>
  </si>
  <si>
    <t>277.9.k &amp; 277.18.k</t>
  </si>
  <si>
    <t>234.8.c &amp; 234.17.c</t>
  </si>
  <si>
    <t xml:space="preserve">  Account No. 255 (enter negative)  (Note K)</t>
  </si>
  <si>
    <t>321.88.b &amp; 321.92.b</t>
  </si>
  <si>
    <t>350.x.b</t>
  </si>
  <si>
    <t>TOTAL O&amp;M   (sum lines 1, 3, 5a, 6, 7 less lines 1a, 1b, 1c, 2, 3b, 4, 5)</t>
  </si>
  <si>
    <t>DEPRECIATION AND AMORTIZATION EXPENSE</t>
  </si>
  <si>
    <t>TOTAL DEPRECIATION AND AMORTIZATION (Sum lines 9 - 11)</t>
  </si>
  <si>
    <t xml:space="preserve">DEOK will provide, in connection with each Annual Update, a copy of the entire annual actuarial valuation report supporting the derivation of the annual Postretirement Benefits </t>
  </si>
  <si>
    <t>Other than Pensions (“PBOP”) expense as charged to FERC account 926, and the amount of such expense included in Total Admin and General Expenses provided on</t>
  </si>
  <si>
    <t xml:space="preserve">Attachment H-22A, page 3 of 6, line 3 of the Formula Rate.  DEOK will provide, in connection with each Annual Update, a worksheet that shows the actual PBOP expense </t>
  </si>
  <si>
    <t xml:space="preserve">components and calculation derivation (including, for each account to which PBOP expense is recorded, the account number, expense amount, description, calculation </t>
  </si>
  <si>
    <t>derivation and source).</t>
  </si>
  <si>
    <t>Account Nos. 561.4 and 561.8 consist of RTO expenses billed to load-serving entities and are not included in Transmission Owner revenue requirements.</t>
  </si>
  <si>
    <t>Company Records</t>
  </si>
  <si>
    <t>GENERAL AND COMMON (G&amp;C) DEPRECIATION AND AMORTIZATION EXPENSE</t>
  </si>
  <si>
    <t>Total G&amp;C Depreciation and Amortization Expense</t>
  </si>
  <si>
    <t>Annual Allocation Factor for G&amp;C Depreciation and Amortization Expense</t>
  </si>
  <si>
    <t>PBOP Expense excluding Pension Expense included in line 3 for information only</t>
  </si>
  <si>
    <t>Gross Transmission Plant is that identified on page 2, line 2 of Attachment H-22A.</t>
  </si>
  <si>
    <t>Net Transmission Plant is that identified on page 2, line 14 of Attachment H-22A.</t>
  </si>
  <si>
    <t>Notes</t>
  </si>
  <si>
    <t xml:space="preserve">                        References to data from FERC Form 1 are indicated as:   #.y.x  (page, line, column)</t>
  </si>
  <si>
    <t>Other</t>
  </si>
  <si>
    <t>WAGES &amp; SALARY ALLOCATOR   (WS)</t>
  </si>
  <si>
    <t>ACCOUNT 456.1 (OTHER ELECTRIC REVENUES)        (Note W)</t>
  </si>
  <si>
    <t xml:space="preserve">On Line 36, enter revenues from RTO settlements that are associated with MTEP projects.  Exclude NITS, firm Point-to-Point, non-firm Point-to-Point revenues, revenues related to </t>
  </si>
  <si>
    <t>RTEP projects, revenues from grandfathered interzonal transactions and revenues from service provided by ISO at a discount.</t>
  </si>
  <si>
    <r>
      <t xml:space="preserve">DEOK 1 CP is Duke Energy Ohio ("DEO") Monthly Firm Transmission System Peak Load as reported on page 400, column b of Form 1 at the time of DEO's annual peak. </t>
    </r>
    <r>
      <rPr>
        <vertAlign val="superscript"/>
        <sz val="12"/>
        <color rgb="FF0000FF"/>
        <rFont val="Arial"/>
        <family val="2"/>
      </rPr>
      <t>(1)</t>
    </r>
    <r>
      <rPr>
        <sz val="12"/>
        <color rgb="FF0000FF"/>
        <rFont val="Arial"/>
        <family val="2"/>
      </rPr>
      <t xml:space="preserve">  </t>
    </r>
  </si>
  <si>
    <t>TOTAL REVENUE CREDITS  (sum lines 2-5)</t>
  </si>
  <si>
    <t xml:space="preserve">  Total Electric (sum lines 12-15)</t>
  </si>
  <si>
    <t>Property</t>
  </si>
  <si>
    <t>Gross Receipts</t>
  </si>
  <si>
    <t>Payments in lieu of taxes</t>
  </si>
  <si>
    <t>ADJUSTMENTS TO RATE BASE   (Note F)</t>
  </si>
  <si>
    <t>TOTAL ADJUSTMENTS  (sum lines 19 - 23)</t>
  </si>
  <si>
    <t>TOTAL WORKING CAPITAL (sum lines 26 - 28)</t>
  </si>
  <si>
    <t>RATE BASE  (sum lines 18, 24, 25, &amp; 29)</t>
  </si>
  <si>
    <t xml:space="preserve">Less Preferred Stock (line 28) </t>
  </si>
  <si>
    <t>Common Stock (sum lines 23-25)</t>
  </si>
  <si>
    <t>(line 17 / line 20)</t>
  </si>
  <si>
    <t xml:space="preserve">On Line 35, enter revenues from RTO settlements that are associated with firm Point-to-Point Service for which the load is not included in the divisor to derive Duke Energy Ohio's </t>
  </si>
  <si>
    <t xml:space="preserve">and Duke Energy Kentucky's zonal rates.  Exclude NITS, non-firm Point-to-Point revenues, revenues related to MTEP and RTEP projects, revenues from grandfathered interzonal </t>
  </si>
  <si>
    <t>(page 4, line 36)</t>
  </si>
  <si>
    <t>219.20.c-219.24.c</t>
  </si>
  <si>
    <t>WS Allocator</t>
  </si>
  <si>
    <t>Removes dollar amount of transmission expenses included in the OATT ancillary services rates, including Account Nos. 561.1, 561.2 and 561.3.</t>
  </si>
  <si>
    <t>The annual MWh used by all transmission customers per PJM MSRS report.</t>
  </si>
  <si>
    <t>MTEP - Transmission Enhancement Charges</t>
  </si>
  <si>
    <t>MTEP Transmission Enhancement Charges</t>
  </si>
  <si>
    <t>Worksheet for Derivation of PBOP Expense</t>
  </si>
  <si>
    <t>Actual PBOP Expense Components and Calculation Derivation (per Note E)</t>
  </si>
  <si>
    <t>FERC Account</t>
  </si>
  <si>
    <t>Description and Calculation Derivation</t>
  </si>
  <si>
    <t>DEO /
Duke Energy Ohio (503)</t>
  </si>
  <si>
    <t>Duke Energy Business Services
 (110)</t>
  </si>
  <si>
    <t>Total
 DEO</t>
  </si>
  <si>
    <t>Duke Energy - All Legacy Postretirement Welfare Plans</t>
  </si>
  <si>
    <t xml:space="preserve">   Purchase accounting adjustment</t>
  </si>
  <si>
    <t>Long-term disability expense</t>
  </si>
  <si>
    <t xml:space="preserve">  Adjustment to Reflect (Gains) and Losses - Legacy Duke</t>
  </si>
  <si>
    <t xml:space="preserve">  Adjustment to Reflect (Gains) and Losses - Legacy Progress</t>
  </si>
  <si>
    <t xml:space="preserve">  Accrual for future disableds </t>
  </si>
  <si>
    <t>DEK /
Duke Energy Kentucky (536)</t>
  </si>
  <si>
    <t>Total
 DEK</t>
  </si>
  <si>
    <r>
      <t xml:space="preserve">Source </t>
    </r>
    <r>
      <rPr>
        <sz val="12"/>
        <rFont val="Arial"/>
        <family val="2"/>
      </rPr>
      <t>(Document, Page)</t>
    </r>
  </si>
  <si>
    <t>Gas Non-Utility &amp; Non-Regulated</t>
  </si>
  <si>
    <t>IMPA</t>
  </si>
  <si>
    <t>EPVORO</t>
  </si>
  <si>
    <t>EPVOHO</t>
  </si>
  <si>
    <t>EPVOBO</t>
  </si>
  <si>
    <t>EKPC</t>
  </si>
  <si>
    <t>AMPWTN</t>
  </si>
  <si>
    <t>AMPLEB</t>
  </si>
  <si>
    <t>AMPHAM</t>
  </si>
  <si>
    <t>AMPGEO</t>
  </si>
  <si>
    <t>Wholesale Load Responsibility</t>
  </si>
  <si>
    <t>NAGPDK</t>
  </si>
  <si>
    <t>FESDPR</t>
  </si>
  <si>
    <t>EADUKE</t>
  </si>
  <si>
    <t>DTTDEO</t>
  </si>
  <si>
    <t>CEDDPR</t>
  </si>
  <si>
    <t>BTGDOH</t>
  </si>
  <si>
    <t>AEPDPR</t>
  </si>
  <si>
    <t>Default Supplier Load</t>
  </si>
  <si>
    <t>Seller</t>
  </si>
  <si>
    <t>Transaction Type</t>
  </si>
  <si>
    <t>BUCK</t>
  </si>
  <si>
    <t>Report Category: Other Ancillary Services</t>
  </si>
  <si>
    <t>Source: PJM MSRS Report Catalog</t>
  </si>
  <si>
    <t>Report: Sched 1A Credit Summary</t>
  </si>
  <si>
    <t>Revenue Credits for Schedule 1A</t>
  </si>
  <si>
    <t xml:space="preserve">     For the purpose of calculating the DEO monthly peak, the DEK monthly peak as reported on page 401, column d of Form 1, was subtracted from the DEO monthly peak as reported on page 400.</t>
  </si>
  <si>
    <t xml:space="preserve">     For the purpose of calculating the DEK monthly peak, the DEK monthly peak is as reported on page 401, column d of Form 1, at the time of the DEK monthly peak.</t>
  </si>
  <si>
    <t>Add:</t>
  </si>
  <si>
    <t>Total Subtracted from Account 190 Balance</t>
  </si>
  <si>
    <t>FAS 109 - Tax Reform</t>
  </si>
  <si>
    <t>Base Tax Reform EDIT</t>
  </si>
  <si>
    <t>Total Added to Account 190 Balance</t>
  </si>
  <si>
    <t>Total Subtracted from Account 282 Balance</t>
  </si>
  <si>
    <t>Total Added to Account 282 Balance</t>
  </si>
  <si>
    <t>Total Subtracted from Account 283 Balance</t>
  </si>
  <si>
    <t>Total Added to Account 283 Balance</t>
  </si>
  <si>
    <t>FERC Form 1</t>
  </si>
  <si>
    <t xml:space="preserve">   Electric only percentage</t>
  </si>
  <si>
    <t>LTD_FAS 112 Summary</t>
  </si>
  <si>
    <t xml:space="preserve">   Adjustment to transfer expense to/from Duke affiliates</t>
  </si>
  <si>
    <t>Legacy MTEP Credit (Account 456.1)</t>
  </si>
  <si>
    <r>
      <t xml:space="preserve">DEOK 12 CP is Duke Energy Ohio ("DEO") Monthly Firm Transmission System Peak Load as reported on page 400, column b of Form 1 at the time of DEO's monthly peaks. </t>
    </r>
    <r>
      <rPr>
        <vertAlign val="superscript"/>
        <sz val="12"/>
        <color rgb="FF0000FF"/>
        <rFont val="Arial"/>
        <family val="2"/>
      </rPr>
      <t>(1)</t>
    </r>
    <r>
      <rPr>
        <sz val="12"/>
        <color rgb="FF0000FF"/>
        <rFont val="Arial"/>
        <family val="2"/>
      </rPr>
      <t xml:space="preserve">  </t>
    </r>
  </si>
  <si>
    <t>The revenues credited on page 1 lines 2-5 shall include only the amounts received directly (in the case of grandfathered agreements)</t>
  </si>
  <si>
    <t>Counts</t>
  </si>
  <si>
    <t>Pole Attachment Percentage Calculation</t>
  </si>
  <si>
    <t>Poles</t>
  </si>
  <si>
    <t>Towers</t>
  </si>
  <si>
    <t>Structures</t>
  </si>
  <si>
    <t xml:space="preserve"> For Revenue Credits, Account 454</t>
  </si>
  <si>
    <t>Att. H-22A, p 3, line 28, col 5</t>
  </si>
  <si>
    <t>Att. H-22A, p 3, line 27, col 5</t>
  </si>
  <si>
    <t>Att. H-22A, p 3, line 20, col 5</t>
  </si>
  <si>
    <t>Att. H-22A, p 3, line 8, col 5</t>
  </si>
  <si>
    <t>Att. H-22A, p 2, line 2, col 5 (Note A)</t>
  </si>
  <si>
    <t>Att. H-22A, p 2, line 14, col 5 (Note B)</t>
  </si>
  <si>
    <t>(line 12 divided by line 2, col 3)</t>
  </si>
  <si>
    <t>(line 5 divided by line 1, col 3)</t>
  </si>
  <si>
    <t>(line 7 divided by line 1, col 3)</t>
  </si>
  <si>
    <t>(line 10 divided by line 2, col 3)</t>
  </si>
  <si>
    <t>(line 3 divided by line 1, col 3)</t>
  </si>
  <si>
    <r>
      <t xml:space="preserve">Duke Energy Kentucky </t>
    </r>
    <r>
      <rPr>
        <b/>
        <vertAlign val="superscript"/>
        <sz val="12"/>
        <rFont val="Arial"/>
        <family val="2"/>
      </rPr>
      <t>(1)</t>
    </r>
  </si>
  <si>
    <r>
      <t xml:space="preserve">Duke Energy Ohio </t>
    </r>
    <r>
      <rPr>
        <b/>
        <vertAlign val="superscript"/>
        <sz val="12"/>
        <rFont val="Arial"/>
        <family val="2"/>
      </rPr>
      <t>(1)</t>
    </r>
  </si>
  <si>
    <r>
      <rPr>
        <vertAlign val="superscript"/>
        <sz val="12"/>
        <rFont val="Arial"/>
        <family val="2"/>
      </rPr>
      <t>(1)</t>
    </r>
    <r>
      <rPr>
        <sz val="12"/>
        <rFont val="Arial"/>
        <family val="2"/>
      </rPr>
      <t xml:space="preserve"> Source:  FERC Form 1, Page 214</t>
    </r>
  </si>
  <si>
    <t>DUKE ENERGY OHIO AND DUKE ENERGY KENTUCKY (DEOK)</t>
  </si>
  <si>
    <t xml:space="preserve">  [Rate Base (page 2, line 30) * Rate of Return (page 4, line 30)]</t>
  </si>
  <si>
    <t>Exhibit No. DUK-102, Pg. 9</t>
  </si>
  <si>
    <t>Exhibit No. DUK-102, Pg. 8</t>
  </si>
  <si>
    <t>(MSRS: Sch 1A Credit Summary)</t>
  </si>
  <si>
    <t>Transmission Owner Scheduling, System Control and Dispatch Service Credit Summary</t>
  </si>
  <si>
    <t>PJM Billing Line Item 2320</t>
  </si>
  <si>
    <t>Schedule</t>
  </si>
  <si>
    <t>PJM</t>
  </si>
  <si>
    <t>Month</t>
  </si>
  <si>
    <t>1A</t>
  </si>
  <si>
    <t>1A Non-</t>
  </si>
  <si>
    <t>Cum.</t>
  </si>
  <si>
    <t>Invoice</t>
  </si>
  <si>
    <t>Booked</t>
  </si>
  <si>
    <t>Zone Credit</t>
  </si>
  <si>
    <t>Var.</t>
  </si>
  <si>
    <t>February</t>
  </si>
  <si>
    <t>March</t>
  </si>
  <si>
    <t>April</t>
  </si>
  <si>
    <t>June</t>
  </si>
  <si>
    <t>July</t>
  </si>
  <si>
    <t>August</t>
  </si>
  <si>
    <t>September</t>
  </si>
  <si>
    <t>October</t>
  </si>
  <si>
    <t>November</t>
  </si>
  <si>
    <t>December</t>
  </si>
  <si>
    <t>Attachment H-22A, Appendix A - Line 2</t>
  </si>
  <si>
    <t xml:space="preserve">Exhibit No. DUK-102, Pg. 2 </t>
  </si>
  <si>
    <t>214.x.d [Exhibit No. DUK-102, Pg. 3]</t>
  </si>
  <si>
    <t xml:space="preserve">Exhibit No. DUK-102, Pg. 4 </t>
  </si>
  <si>
    <t xml:space="preserve">Exhibit No. DUK-102, Pg. 5 </t>
  </si>
  <si>
    <t>Exhibit No. DUK-102, Pg. 7</t>
  </si>
  <si>
    <t>Page 1 of 6, Line 7</t>
  </si>
  <si>
    <t>356 (Total Common x Elec Dept %)</t>
  </si>
  <si>
    <t>DUKE ENERGY OHIO (DEO)</t>
  </si>
  <si>
    <t>DUKE ENERGY KENTUCKY (DEK)</t>
  </si>
  <si>
    <t>(page 3, line 29)</t>
  </si>
  <si>
    <t>GROSS REVENUE REQUIREMENT</t>
  </si>
  <si>
    <t>DEO + DEK</t>
  </si>
  <si>
    <t>Schedule 1A rate $/MWh</t>
  </si>
  <si>
    <t>Adjusted Balances - To Page 2, Line 21</t>
  </si>
  <si>
    <t>Non-Transmission</t>
  </si>
  <si>
    <t>Rent from Electric Property Attributable to Transmission</t>
  </si>
  <si>
    <t>Form 1, P.353, col.d</t>
  </si>
  <si>
    <t>Form 1, P.350, col. d</t>
  </si>
  <si>
    <t>Schedule 1A - Annual MWh</t>
  </si>
  <si>
    <r>
      <rPr>
        <vertAlign val="superscript"/>
        <sz val="12"/>
        <color rgb="FF0000FF"/>
        <rFont val="Arial"/>
        <family val="2"/>
      </rPr>
      <t>(1)</t>
    </r>
    <r>
      <rPr>
        <sz val="12"/>
        <color rgb="FF0000FF"/>
        <rFont val="Arial"/>
        <family val="2"/>
      </rPr>
      <t xml:space="preserve">  For the purpose of calculating the DEK annual peak, the DEK annual peak is as reported on page 401, column d of Form 1, at the time of the DEK annual peak.</t>
    </r>
  </si>
  <si>
    <t>(Page 1, line 9)</t>
  </si>
  <si>
    <t>(Page 1, line 14)</t>
  </si>
  <si>
    <t>from the ISO (for service under this tariff) reflecting the Transmission Owner's integrated transmission facilities.  They do not include</t>
  </si>
  <si>
    <t>Form 1, P.323.191, col. b</t>
  </si>
  <si>
    <t>page 1 of 1</t>
  </si>
  <si>
    <t>1 CP</t>
  </si>
  <si>
    <t>12 CP</t>
  </si>
  <si>
    <t>Return</t>
  </si>
  <si>
    <t>LSE Expenses Included in Transmission O&amp;M</t>
  </si>
  <si>
    <t>Scheduling, System Control &amp; Dispatch Services</t>
  </si>
  <si>
    <t>Reliability, Planning and Standards Development Services</t>
  </si>
  <si>
    <t>Total LSE Expenses Included in Transmission O&amp;M</t>
  </si>
  <si>
    <t>TE Allocator</t>
  </si>
  <si>
    <t>LSE Expense Allocated to Transmission (to Page 3 of 6, Line 1a)</t>
  </si>
  <si>
    <t>(line 1 - line 7)</t>
  </si>
  <si>
    <t>(line 2 - line 8)</t>
  </si>
  <si>
    <t>(line 3 - line 9)</t>
  </si>
  <si>
    <t>(line 4 - line 10)</t>
  </si>
  <si>
    <t>(line 5 - line 11)</t>
  </si>
  <si>
    <t>Miscellaneous Intangible Plant - 5 Year</t>
  </si>
  <si>
    <t>Miscellaneous Intangible Plant - 10 Year</t>
  </si>
  <si>
    <t>Common Plant</t>
  </si>
  <si>
    <t>Micellaneous Equipment</t>
  </si>
  <si>
    <t>Appendix D</t>
  </si>
  <si>
    <t>Page 3 of 3</t>
  </si>
  <si>
    <t>Page 1 of 3</t>
  </si>
  <si>
    <t>Page 2 of 3</t>
  </si>
  <si>
    <t>Interest on Long-Term Debt (427)</t>
  </si>
  <si>
    <t>Amort. Of Debt Disc. And Expense (428)</t>
  </si>
  <si>
    <t>Amort. Of Loss on Reacquired Debt (428.1)</t>
  </si>
  <si>
    <t>(Less) Amort. Of Premium on Debt-Credit (429)</t>
  </si>
  <si>
    <t>(Less) Amort. Of Gain on Reacquired Debt-Credit (429.1)</t>
  </si>
  <si>
    <t>Interest on Debt to Assoc. Companies (429.1)</t>
  </si>
  <si>
    <t>(561.1) Load Dispatch-Reliability</t>
  </si>
  <si>
    <t>(561.2) Load Dispatch-Monitor &amp; Operate Transmission System</t>
  </si>
  <si>
    <t>(561.3) Load Dispatch-Transmission Service &amp; Scheduling</t>
  </si>
  <si>
    <t>Bonds (221)</t>
  </si>
  <si>
    <t>(Less) Reacquired Bonds (222)</t>
  </si>
  <si>
    <t>Advances from Associated Companies (223)</t>
  </si>
  <si>
    <t>Other Lon-Term Debt (224)</t>
  </si>
  <si>
    <t>112.18.c</t>
  </si>
  <si>
    <t>112.19.c</t>
  </si>
  <si>
    <t>112.20.c</t>
  </si>
  <si>
    <t>112.21.c</t>
  </si>
  <si>
    <t>117.62.c</t>
  </si>
  <si>
    <t>117.63.c</t>
  </si>
  <si>
    <t>117.64.c</t>
  </si>
  <si>
    <t>117.65.c</t>
  </si>
  <si>
    <t>117.66c</t>
  </si>
  <si>
    <t>117.67.c</t>
  </si>
  <si>
    <t>321.85.b</t>
  </si>
  <si>
    <t>321.86.b</t>
  </si>
  <si>
    <t>321.87.b</t>
  </si>
  <si>
    <t>Corrections to May 2018 Annual Update Filing</t>
  </si>
  <si>
    <t>May 15, 2018 Filing</t>
  </si>
  <si>
    <t>Change in A&amp;G</t>
  </si>
  <si>
    <t>Income Tax</t>
  </si>
  <si>
    <t>Exhibit No. DUK-102, page 5 of 11, DEO A&amp;G expenses should not have included Ohio Commercial Activity Tax for 2015 Related to Discontinued Business in Account 930.2</t>
  </si>
  <si>
    <t>Total Refunds Due to Customers - To Attachment H, page 1 of 1</t>
  </si>
  <si>
    <t>Line 24 + Line 30</t>
  </si>
  <si>
    <t>Changes to May 15, 2018 Attachment H Filing</t>
  </si>
  <si>
    <t>Revised Revenue Requirement - May 15, 2018 Filing</t>
  </si>
  <si>
    <t>Report Category: Energy Transaction Details</t>
  </si>
  <si>
    <t>Report: RT Daily Energy Transactions</t>
  </si>
  <si>
    <t>AEPDO2</t>
  </si>
  <si>
    <t>EPPDPR</t>
  </si>
  <si>
    <t>NEEDEO</t>
  </si>
  <si>
    <t>December 2017</t>
  </si>
  <si>
    <t>January 2018</t>
  </si>
  <si>
    <t>Per 2018 FERC Form 1</t>
  </si>
  <si>
    <r>
      <rPr>
        <vertAlign val="superscript"/>
        <sz val="12"/>
        <rFont val="Arial"/>
        <family val="2"/>
      </rPr>
      <t>(2)</t>
    </r>
    <r>
      <rPr>
        <sz val="12"/>
        <rFont val="Arial"/>
        <family val="2"/>
      </rPr>
      <t xml:space="preserve"> Balances to Page 2, Line 25</t>
    </r>
  </si>
  <si>
    <t>Corrections Related to Prior Year Filings  (Note Z)</t>
  </si>
  <si>
    <t>Exhibit No. DUK-102, page 5 of 11, DEO A&amp;G expenses reduced to reflect revisions made by DEOK to remove $3,966,523 from account 930.2.</t>
  </si>
  <si>
    <t>Amount of Safety Related Advertising in Account 930.1</t>
  </si>
  <si>
    <t>Base State Tax Reform EDIT</t>
  </si>
  <si>
    <t>FAS 109 - State Tax Reform</t>
  </si>
  <si>
    <t>Solar Federal ITC</t>
  </si>
  <si>
    <t>Solar Federal Basis Reduction</t>
  </si>
  <si>
    <t>2018 OATT Annual Update</t>
  </si>
  <si>
    <t>Included in 2018 FERC Form 1 Data</t>
  </si>
  <si>
    <t xml:space="preserve">(Less) Preferred Stock (112.3.c) </t>
  </si>
  <si>
    <t>(Less) Account 216.1 (112.12.c)  (enter negative)</t>
  </si>
  <si>
    <t>Actual O&amp;M % of Total Payroll for YE 2017</t>
  </si>
  <si>
    <t>DEO 2018 Allocation Stat Percentages Table</t>
  </si>
  <si>
    <t>Service Company Labor Allocation to DEO for 2018</t>
  </si>
  <si>
    <t>Service Company Labor Allocation to DEK for 2018</t>
  </si>
  <si>
    <t>December 31, 2018</t>
  </si>
  <si>
    <r>
      <rPr>
        <vertAlign val="superscript"/>
        <sz val="12"/>
        <rFont val="Arial"/>
        <family val="2"/>
      </rPr>
      <t>(1)</t>
    </r>
    <r>
      <rPr>
        <sz val="12"/>
        <rFont val="Arial"/>
        <family val="2"/>
      </rPr>
      <t xml:space="preserve"> To Page 2, Line 27</t>
    </r>
  </si>
  <si>
    <r>
      <rPr>
        <vertAlign val="superscript"/>
        <sz val="12"/>
        <rFont val="Arial"/>
        <family val="2"/>
      </rPr>
      <t>(3)</t>
    </r>
    <r>
      <rPr>
        <sz val="12"/>
        <rFont val="Arial"/>
        <family val="2"/>
      </rPr>
      <t xml:space="preserve"> Source FERC Form 1, page 227, line 5, column (c)</t>
    </r>
  </si>
  <si>
    <r>
      <rPr>
        <vertAlign val="superscript"/>
        <sz val="12"/>
        <rFont val="Arial"/>
        <family val="2"/>
      </rPr>
      <t>(4)</t>
    </r>
    <r>
      <rPr>
        <sz val="12"/>
        <rFont val="Arial"/>
        <family val="2"/>
      </rPr>
      <t xml:space="preserve"> Source FERC Form 1, page 227, line 16, column (c)</t>
    </r>
  </si>
  <si>
    <t>Gas</t>
  </si>
  <si>
    <r>
      <rPr>
        <vertAlign val="superscript"/>
        <sz val="12"/>
        <rFont val="Arial"/>
        <family val="2"/>
      </rPr>
      <t>(2)</t>
    </r>
    <r>
      <rPr>
        <sz val="12"/>
        <rFont val="Arial"/>
        <family val="2"/>
      </rPr>
      <t xml:space="preserve"> Source FERC Form 1, page 227, lines 7-9, column (c)</t>
    </r>
  </si>
  <si>
    <t>Exhibit No. DUK-102, Pg. 14</t>
  </si>
  <si>
    <t>Portion Attributable to Transmission (Exhibit No. DUK-102, Page 15)</t>
  </si>
  <si>
    <t>Account 456.1</t>
  </si>
  <si>
    <t>Revenue Credits, Accounts 454 and 456.1</t>
  </si>
  <si>
    <t>Account 190, Account 282, and Account 283</t>
  </si>
  <si>
    <t>Per Books Total, Page 277, lines 9 &amp; 18, column k</t>
  </si>
  <si>
    <t>Less: Lobbying Expense</t>
  </si>
  <si>
    <t>Less: Department of Justice Settlement - 2015</t>
  </si>
  <si>
    <t>Transmission Plant Included in OATT Ancillary Services - To Page 4, Line 3</t>
  </si>
  <si>
    <t>Total Account 454 per Books Total, Page 300, line 19, column b</t>
  </si>
  <si>
    <r>
      <t>Long-term interest, amortization of Premium on Debt - Credit (429)</t>
    </r>
    <r>
      <rPr>
        <sz val="12"/>
        <color rgb="FF4D4D4D"/>
        <rFont val="Arial"/>
        <family val="2"/>
      </rPr>
      <t xml:space="preserve">, </t>
    </r>
    <r>
      <rPr>
        <sz val="12"/>
        <rFont val="Arial"/>
        <family val="2"/>
      </rPr>
      <t>FERC Form 1</t>
    </r>
    <r>
      <rPr>
        <b/>
        <sz val="12"/>
        <rFont val="Arial"/>
        <family val="2"/>
      </rPr>
      <t xml:space="preserve">, </t>
    </r>
    <r>
      <rPr>
        <sz val="12"/>
        <rFont val="Arial"/>
        <family val="2"/>
      </rPr>
      <t>page 117</t>
    </r>
    <r>
      <rPr>
        <sz val="12"/>
        <color rgb="FF4D4D4D"/>
        <rFont val="Arial"/>
        <family val="2"/>
      </rPr>
      <t xml:space="preserve">, </t>
    </r>
    <r>
      <rPr>
        <sz val="12"/>
        <rFont val="Arial"/>
        <family val="2"/>
      </rPr>
      <t>line 65, should have been subtracted rather than added</t>
    </r>
  </si>
  <si>
    <t>Total Account 456.1 Per Books Total, Page 300, line 22, column b</t>
  </si>
  <si>
    <t>Grand Total (to Appendix A, line 4)</t>
  </si>
  <si>
    <t xml:space="preserve">   Net periodic benefit cost - service cost</t>
  </si>
  <si>
    <t>Actuarial Valuation Report December 31, 2018 Disclosure and Fiscal 2019 Net Periodic Benefit Cost for Duke Energy Ohio and Duke Energy Kentucky Retirement Plans</t>
  </si>
  <si>
    <t>Page 11</t>
  </si>
  <si>
    <t xml:space="preserve">  Adjustment to reflect (gains) and losses - Legacy Duke</t>
  </si>
  <si>
    <t xml:space="preserve">  Adjustment to reflect (gains) and losses - Legacy Progress</t>
  </si>
  <si>
    <t>Total service cost and long-term disability expense</t>
  </si>
  <si>
    <t>O&amp;M percentage</t>
  </si>
  <si>
    <t>DEK 2018 Allocation Stat Percentages Table</t>
  </si>
  <si>
    <t>Percent DEBS allocation to DEK (Electric only)</t>
  </si>
  <si>
    <t>PBOP Expense O&amp;M for DEK (Line 9 * Line 11 * (Line 12 or Line 13))</t>
  </si>
  <si>
    <t>Total DEK direct and allocated PBOP expense (Benefit cost pool)</t>
  </si>
  <si>
    <t xml:space="preserve">   Net periodic benefit cost - non-service cost</t>
  </si>
  <si>
    <t>Total non-service cost and purchase accounting adjustment</t>
  </si>
  <si>
    <t>Percent DEBS Allocation to DEK (Electric only)</t>
  </si>
  <si>
    <t>Service Company Labor Allocation to DEK for 2017</t>
  </si>
  <si>
    <t>PBOP Expense O&amp;M for DEK - Non-service cost including purchase accounting adjustment (Line 23 * (Line 25 or Line 26))</t>
  </si>
  <si>
    <t xml:space="preserve">   Net Periodic Benefit Cost - Service Cost</t>
  </si>
  <si>
    <t>Long-term Disability Expense</t>
  </si>
  <si>
    <t xml:space="preserve">  Accrual for Future Disableds </t>
  </si>
  <si>
    <t>Total Service Cost and Long-Term Disability Expense</t>
  </si>
  <si>
    <t>Percent DEBS Allocation to DEO (Electric only)</t>
  </si>
  <si>
    <t xml:space="preserve">   Adjustment to Transfer Expense to/from Duke Affiliates</t>
  </si>
  <si>
    <t>PBOP Expense O&amp;M for DEO (Line 9 * Line 11 * (Line 12 or Line 13))</t>
  </si>
  <si>
    <t>Total DEO Direct and Allocated PBOP Expense (Benefit cost pool)</t>
  </si>
  <si>
    <t>Percent DEBS allocation to DEO (Electric only)</t>
  </si>
  <si>
    <t>Service Company Labor Allocation to DEO for 2017</t>
  </si>
  <si>
    <t>PBOP Expense O&amp;M for DEO - Non-service cost including purchase accounting adjustment (Line 24 * (Line 26 or Line 27))</t>
  </si>
  <si>
    <t>(line 16 / 4,160; line 16 / 8,760 * 1,000)</t>
  </si>
  <si>
    <t>Total Proprietary Capital, page 112, line 16, column c</t>
  </si>
  <si>
    <t>Less: Goodwill, page 233, line 1, column f</t>
  </si>
  <si>
    <r>
      <t xml:space="preserve">Related </t>
    </r>
    <r>
      <rPr>
        <b/>
        <u val="singleAccounting"/>
        <vertAlign val="superscript"/>
        <sz val="12"/>
        <rFont val="Arial"/>
        <family val="2"/>
      </rPr>
      <t>(2)</t>
    </r>
  </si>
  <si>
    <r>
      <t>M&amp;S</t>
    </r>
    <r>
      <rPr>
        <b/>
        <u val="singleAccounting"/>
        <vertAlign val="superscript"/>
        <sz val="12"/>
        <rFont val="Arial"/>
        <family val="2"/>
      </rPr>
      <t xml:space="preserve"> (2)</t>
    </r>
  </si>
  <si>
    <r>
      <t>M&amp;S Assigned to Construction</t>
    </r>
    <r>
      <rPr>
        <b/>
        <u val="singleAccounting"/>
        <vertAlign val="superscript"/>
        <sz val="12"/>
        <rFont val="Arial"/>
        <family val="2"/>
      </rPr>
      <t>(3)</t>
    </r>
  </si>
  <si>
    <r>
      <t>Account 163</t>
    </r>
    <r>
      <rPr>
        <b/>
        <u val="singleAccounting"/>
        <vertAlign val="superscript"/>
        <sz val="12"/>
        <rFont val="Arial"/>
        <family val="2"/>
      </rPr>
      <t xml:space="preserve"> (4)</t>
    </r>
  </si>
  <si>
    <r>
      <t xml:space="preserve">Total M&amp;S </t>
    </r>
    <r>
      <rPr>
        <b/>
        <vertAlign val="superscript"/>
        <sz val="12"/>
        <rFont val="Arial"/>
        <family val="2"/>
      </rPr>
      <t>(1)</t>
    </r>
  </si>
  <si>
    <t>Total Default Supplier Load</t>
  </si>
  <si>
    <t>De-rated Losses</t>
  </si>
  <si>
    <t>Retail Load Responsibility</t>
  </si>
  <si>
    <t>Total Wholesale Load Responsibility</t>
  </si>
  <si>
    <t xml:space="preserve"> Related</t>
  </si>
  <si>
    <t>Reported on</t>
  </si>
  <si>
    <t>Page 29</t>
  </si>
  <si>
    <t>Page 31</t>
  </si>
  <si>
    <t>Pages 29/30</t>
  </si>
  <si>
    <t>Total DEO PBOP Expense - FERC Account 926 (To page 3 of 6, Line 3a)</t>
  </si>
  <si>
    <t>Total DEK PBOP Expense - FERC Account 926 (To page 3 of 6, Line 3a)</t>
  </si>
  <si>
    <t>To be completed in conjunction with Attachment H-22A</t>
  </si>
  <si>
    <t>Year End 2015 Footnote Disclosures - Prepurchase Accounting</t>
  </si>
  <si>
    <t>Monthly</t>
  </si>
  <si>
    <t xml:space="preserve">(1)  DEOK 1 CP is Duke Energy Ohio ("DEO") Monthly Firm </t>
  </si>
  <si>
    <t xml:space="preserve">          Transmission System Peak Load as reported on page 400,</t>
  </si>
  <si>
    <t xml:space="preserve">          column b of Form 1 at the time of DEO's annual peak.</t>
  </si>
  <si>
    <t>(KILOWATTS)</t>
  </si>
  <si>
    <t>Duke Energy Corporation Post Employment Welfare Benefit Plans Actuarial Valuation Report Postemployment Benefit Cost and Employer Cash Flow For Fiscal Year Ending December 31, 2018</t>
  </si>
  <si>
    <r>
      <t xml:space="preserve">Peak </t>
    </r>
    <r>
      <rPr>
        <b/>
        <u val="singleAccounting"/>
        <vertAlign val="superscript"/>
        <sz val="10"/>
        <rFont val="Arial"/>
        <family val="2"/>
      </rPr>
      <t>(1)</t>
    </r>
  </si>
  <si>
    <t>2018 DEOK MONTHLY TRANSMISSION SYSTEM PEAKS</t>
  </si>
  <si>
    <t>Change</t>
  </si>
  <si>
    <t>May 15, 2019 Filing</t>
  </si>
  <si>
    <t>Changes to May 2019 Annual Update Filing</t>
  </si>
  <si>
    <t>AMP Challenge A11 - Unapproved Reg Asset</t>
  </si>
  <si>
    <t>Revised Revenue Requirement - May 15, 2019 Filing</t>
  </si>
  <si>
    <t>Changes to May 15, 2019 Attachment H Filing</t>
  </si>
  <si>
    <t>AMP Prelim Challenge A10 - Donations</t>
  </si>
  <si>
    <t>Change in O&amp;M</t>
  </si>
  <si>
    <t>AMP Prelim Challenge A7 - State Reg Litigation</t>
  </si>
  <si>
    <t>Remove $2,055,484 of DEO short-term interest from Account 430</t>
  </si>
  <si>
    <t xml:space="preserve">Remove $1,122,533 of DEK short-term interest from Account 430 </t>
  </si>
  <si>
    <t>Remove $2,154 of Routine Outage Expenses included in Account 566 - Miscellaneous Transmission Expense</t>
  </si>
  <si>
    <t>Reduce the amount recorded in the charge "501C6NP - 501c6 Donation - Non-political" by $363</t>
  </si>
  <si>
    <t xml:space="preserve">Reduce amount recorded in "S043 - Ohio/Kentucky State Regulatory" by $676,123 </t>
  </si>
  <si>
    <t>B.1</t>
  </si>
  <si>
    <t>B.2</t>
  </si>
  <si>
    <t>A.11</t>
  </si>
  <si>
    <t>A.4</t>
  </si>
  <si>
    <t>A.10</t>
  </si>
  <si>
    <t>A.7</t>
  </si>
  <si>
    <t>Remove $426,023 of expenses related to the "DE Ohio Load Factor Adjustment"</t>
  </si>
  <si>
    <t>Libbie Miller 1/23/20</t>
  </si>
  <si>
    <t>January 2020, there was discussion on what the refund rate should be.  We settled on using the highest rate from the most recent four quarters to prevent any kind of dispute.</t>
  </si>
  <si>
    <t>Reference</t>
  </si>
  <si>
    <t>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</si>
</sst>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0"/>
    <numFmt numFmtId="173" formatCode="&quot;$&quot;#,##0.00"/>
    <numFmt numFmtId="174" formatCode="_(* #,##0_);_(* \(#,##0\);_(* &quot;-&quot;??_);_(@_)"/>
    <numFmt numFmtId="175" formatCode="_(&quot;$&quot;* #,##0_);_(&quot;$&quot;* \(#,##0\);_(&quot;$&quot;* &quot;-&quot;??_);_(@_)"/>
    <numFmt numFmtId="176" formatCode="_(* #,##0.0%_);_(* \(#,##0.0%\);_(* &quot;- %&quot;??_);_(@_)"/>
    <numFmt numFmtId="177" formatCode="0_);\(0\)"/>
    <numFmt numFmtId="178" formatCode="_(* #,##0.0\¢_m;[Red]_(* \-#,##0.0\¢_m;[Green]_(* 0.0\¢_m;_(@_)_%"/>
    <numFmt numFmtId="179" formatCode="_(* #,##0.00\¢_m;[Red]_(* \-#,##0.00\¢_m;[Green]_(* 0.00\¢_m;_(@_)_%"/>
    <numFmt numFmtId="180" formatCode="_(* #,##0.000\¢_m;[Red]_(* \-#,##0.000\¢_m;[Green]_(* 0.000\¢_m;_(@_)_%"/>
    <numFmt numFmtId="181" formatCode="_(_(\£* #,##0_)_%;[Red]_(\(\£* #,##0\)_%;[Green]_(_(\£* #,##0_)_%;_(@_)_%"/>
    <numFmt numFmtId="182" formatCode="_(_(\£* #,##0.0_)_%;[Red]_(\(\£* #,##0.0\)_%;[Green]_(_(\£* #,##0.0_)_%;_(@_)_%"/>
    <numFmt numFmtId="183" formatCode="_(_(\£* #,##0.00_)_%;[Red]_(\(\£* #,##0.00\)_%;[Green]_(_(\£* #,##0.00_)_%;_(@_)_%"/>
    <numFmt numFmtId="184" formatCode="0.0%_);\(0.0%\)"/>
    <numFmt numFmtId="185" formatCode="\•\ \ @"/>
    <numFmt numFmtId="186" formatCode="_(_(\•_ #0_)_%;[Red]_(_(\•_ \-#0\)_%;[Green]_(_(\•_ #0_)_%;_(_(\•_ @_)_%"/>
    <numFmt numFmtId="187" formatCode="_(_(_•_ \•_ #0_)_%;[Red]_(_(_•_ \•_ \-#0\)_%;[Green]_(_(_•_ \•_ #0_)_%;_(_(_•_ \•_ @_)_%"/>
    <numFmt numFmtId="188" formatCode="_(_(_•_ _•_ \•_ #0_)_%;[Red]_(_(_•_ _•_ \•_ \-#0\)_%;[Green]_(_(_•_ _•_ \•_ #0_)_%;_(_(_•_ \•_ @_)_%"/>
    <numFmt numFmtId="189" formatCode="#,##0,_);\(#,##0,\)"/>
    <numFmt numFmtId="190" formatCode="#,##0.0_);\(#,##0.0\)"/>
    <numFmt numFmtId="191" formatCode="0.0,_);\(0.0,\)"/>
    <numFmt numFmtId="192" formatCode="0.00,_);\(0.00,\)"/>
    <numFmt numFmtId="193" formatCode="#,##0.000_);\(#,##0.000\)"/>
    <numFmt numFmtId="194" formatCode="_(_(_$* #,##0.0_)_%;[Red]_(\(_$* #,##0.0\)_%;[Green]_(_(_$* #,##0.0_)_%;_(@_)_%"/>
    <numFmt numFmtId="195" formatCode="_(_(_$* #,##0.00_)_%;[Red]_(\(_$* #,##0.00\)_%;[Green]_(_(_$* #,##0.00_)_%;_(@_)_%"/>
    <numFmt numFmtId="196" formatCode="_(_(_$* #,##0.000_)_%;[Red]_(\(_$* #,##0.000\)_%;[Green]_(_(_$* #,##0.000_)_%;_(@_)_%"/>
    <numFmt numFmtId="197" formatCode="_._.* #,##0.0_)_%;_._.* \(#,##0.0\)_%;_._.* \ ?_)_%"/>
    <numFmt numFmtId="198" formatCode="_._.* #,##0.00_)_%;_._.* \(#,##0.00\)_%;_._.* \ ?_)_%"/>
    <numFmt numFmtId="199" formatCode="_._.* #,##0.000_)_%;_._.* \(#,##0.000\)_%;_._.* \ ?_)_%"/>
    <numFmt numFmtId="200" formatCode="_._.* #,##0.0000_)_%;_._.* \(#,##0.0000\)_%;_._.* \ ?_)_%"/>
    <numFmt numFmtId="201" formatCode="_(_(&quot;$&quot;* #,##0.0_)_%;[Red]_(\(&quot;$&quot;* #,##0.0\)_%;[Green]_(_(&quot;$&quot;* #,##0.0_)_%;_(@_)_%"/>
    <numFmt numFmtId="202" formatCode="_(_(&quot;$&quot;* #,##0.00_)_%;[Red]_(\(&quot;$&quot;* #,##0.00\)_%;[Green]_(_(&quot;$&quot;* #,##0.00_)_%;_(@_)_%"/>
    <numFmt numFmtId="203" formatCode="_(_(&quot;$&quot;* #,##0.000_)_%;[Red]_(\(&quot;$&quot;* #,##0.000\)_%;[Green]_(_(&quot;$&quot;* #,##0.000_)_%;_(@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_(* dd\-mmm\-yy_)_%"/>
    <numFmt numFmtId="214" formatCode="_(* dd\ mmmm\ yyyy_)_%"/>
    <numFmt numFmtId="215" formatCode="_(* mmmm\ dd\,\ yyyy_)_%"/>
    <numFmt numFmtId="216" formatCode="_(* dd\.mm\.yyyy_)_%"/>
    <numFmt numFmtId="217" formatCode="_(* mm/dd/yyyy_)_%"/>
    <numFmt numFmtId="218" formatCode="m/d/yy;@"/>
    <numFmt numFmtId="219" formatCode="#,##0.0\x_);\(#,##0.0\x\)"/>
    <numFmt numFmtId="220" formatCode="#,##0.00\x_);\(#,##0.00\x\)"/>
    <numFmt numFmtId="221" formatCode="_([$€-2]* #,##0.00_);_([$€-2]* \(#,##0.00\);_([$€-2]* &quot;-&quot;??_)"/>
    <numFmt numFmtId="222" formatCode="General_)_%"/>
    <numFmt numFmtId="223" formatCode="_(_(#0_)_%;[Red]_(_(\-#0\)_%;[Green]_(_(#0_)_%;_(_(@_)_%"/>
    <numFmt numFmtId="224" formatCode="_(_(_•_ #0_)_%;[Red]_(_(_•_ \-#0\)_%;[Green]_(_(_•_ #0_)_%;_(_(_•_ @_)_%"/>
    <numFmt numFmtId="225" formatCode="_(_(_•_ _•_ #0_)_%;[Red]_(_(_•_ _•_ \-#0\)_%;[Green]_(_(_•_ _•_ #0_)_%;_(_(_•_ _•_ @_)_%"/>
    <numFmt numFmtId="226" formatCode="_(_(_•_ _•_ _•_ #0_)_%;[Red]_(_(_•_ _•_ _•_ \-#0\)_%;[Green]_(_(_•_ _•_ _•_ #0_)_%;_(_(_•_ _•_ _•_ @_)_%"/>
    <numFmt numFmtId="227" formatCode="#,##0\x;\(#,##0\x\)"/>
    <numFmt numFmtId="228" formatCode="0.0\x;\(0.0\x\)"/>
    <numFmt numFmtId="229" formatCode="#,##0.00\x;\(#,##0.00\x\)"/>
    <numFmt numFmtId="230" formatCode="#,##0.000\x;\(#,##0.000\x\)"/>
    <numFmt numFmtId="231" formatCode="0.0_);\(0.0\)"/>
    <numFmt numFmtId="232" formatCode="0%;\(0%\)"/>
    <numFmt numFmtId="233" formatCode="0.00\ \x_);\(0.00\ \x\)"/>
    <numFmt numFmtId="234" formatCode="_(* #,##0_);_(* \(#,##0\);_(* &quot;-&quot;????_);_(@_)"/>
    <numFmt numFmtId="235" formatCode="0__"/>
    <numFmt numFmtId="236" formatCode="h:mmAM/PM"/>
    <numFmt numFmtId="237" formatCode="0&quot; E&quot;"/>
    <numFmt numFmtId="238" formatCode="yyyy"/>
    <numFmt numFmtId="239" formatCode="&quot;$&quot;#,##0.0"/>
    <numFmt numFmtId="240" formatCode="0.0%;\(0.0%\)"/>
    <numFmt numFmtId="241" formatCode="0.00%_);\(0.00%\)"/>
    <numFmt numFmtId="242" formatCode="0.000%_);\(0.000%\)"/>
    <numFmt numFmtId="243" formatCode="_(0_)%;\(0\)%;\ \ ?_)%"/>
    <numFmt numFmtId="244" formatCode="_._._(* 0_)%;_._.* \(0\)%;_._._(* \ ?_)%"/>
    <numFmt numFmtId="245" formatCode="0%_);\(0%\)"/>
    <numFmt numFmtId="246" formatCode="_(* #,##0_)_%;[Red]_(* \(#,##0\)_%;[Green]_(* 0_)_%;_(@_)_%"/>
    <numFmt numFmtId="247" formatCode="_(* #,##0.0%_);[Red]_(* \-#,##0.0%_);[Green]_(* 0.0%_);_(@_)_%"/>
    <numFmt numFmtId="248" formatCode="_(* #,##0.00%_);[Red]_(* \-#,##0.00%_);[Green]_(* 0.00%_);_(@_)_%"/>
    <numFmt numFmtId="249" formatCode="_(* #,##0.000%_);[Red]_(* \-#,##0.000%_);[Green]_(* 0.000%_);_(@_)_%"/>
    <numFmt numFmtId="250" formatCode="_(0.0_)%;\(0.0\)%;\ \ ?_)%"/>
    <numFmt numFmtId="251" formatCode="_._._(* 0.0_)%;_._.* \(0.0\)%;_._._(* \ ?_)%"/>
    <numFmt numFmtId="252" formatCode="_(0.00_)%;\(0.00\)%;\ \ ?_)%"/>
    <numFmt numFmtId="253" formatCode="_._._(* 0.00_)%;_._.* \(0.00\)%;_._._(* \ ?_)%"/>
    <numFmt numFmtId="254" formatCode="_(0.000_)%;\(0.000\)%;\ \ ?_)%"/>
    <numFmt numFmtId="255" formatCode="_._._(* 0.000_)%;_._.* \(0.000\)%;_._._(* \ ?_)%"/>
    <numFmt numFmtId="256" formatCode="_(0.0000_)%;\(0.0000\)%;\ \ ?_)%"/>
    <numFmt numFmtId="257" formatCode="_._._(* 0.0000_)%;_._.* \(0.0000\)%;_._._(* \ ?_)%"/>
    <numFmt numFmtId="258" formatCode="0.0%"/>
    <numFmt numFmtId="259" formatCode="mmmm\ dd\,\ yy"/>
    <numFmt numFmtId="260" formatCode="0.0\x"/>
    <numFmt numFmtId="261" formatCode="_(* #,##0_);_(* \(#,##0\);_(* \ ?_)"/>
    <numFmt numFmtId="262" formatCode="_(* #,##0.0_);_(* \(#,##0.0\);_(* \ ?_)"/>
    <numFmt numFmtId="263" formatCode="_(* #,##0.00_);_(* \(#,##0.00\);_(* \ ?_)"/>
    <numFmt numFmtId="264" formatCode="_(* #,##0.000_);_(* \(#,##0.000\);_(* \ ?_)"/>
    <numFmt numFmtId="265" formatCode="_(&quot;$&quot;* #,##0_);_(&quot;$&quot;* \(#,##0\);_(&quot;$&quot;* \ ?_)"/>
    <numFmt numFmtId="266" formatCode="_(&quot;$&quot;* #,##0.0_);_(&quot;$&quot;* \(#,##0.0\);_(&quot;$&quot;* \ ?_)"/>
    <numFmt numFmtId="267" formatCode="_(&quot;$&quot;* #,##0.00_);_(&quot;$&quot;* \(#,##0.00\);_(&quot;$&quot;* \ ?_)"/>
    <numFmt numFmtId="268" formatCode="_(&quot;$&quot;* #,##0.000_);_(&quot;$&quot;* \(#,##0.000\);_(&quot;$&quot;* \ ?_)"/>
    <numFmt numFmtId="269" formatCode="0000&quot;A&quot;"/>
    <numFmt numFmtId="270" formatCode="0&quot;E&quot;"/>
    <numFmt numFmtId="271" formatCode="0000&quot;E&quot;"/>
    <numFmt numFmtId="272" formatCode="&quot;$&quot;#,##0.0000"/>
    <numFmt numFmtId="273" formatCode="0.000000%"/>
    <numFmt numFmtId="274" formatCode="0.00000000"/>
    <numFmt numFmtId="275" formatCode="#,##0.00\ ;[Red]\(#,##0.00\)"/>
    <numFmt numFmtId="276" formatCode="_(* #,##0.0_);_(* \(#,##0.0\);_(* &quot;-&quot;?_);@_)"/>
    <numFmt numFmtId="277" formatCode="d\ mmmm\ yyyy"/>
    <numFmt numFmtId="278" formatCode="#,##0_ ;[Red]\(#,##0\)\ "/>
    <numFmt numFmtId="279" formatCode="dd\ mmm\ yyyy"/>
    <numFmt numFmtId="280" formatCode="General_)"/>
  </numFmts>
  <fonts count="236">
    <font>
      <sz val="12"/>
      <name val="Arial MT"/>
    </font>
    <font>
      <sz val="10"/>
      <color theme="1"/>
      <name val="Arial"/>
      <family val="2"/>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name val="Arial MT"/>
    </font>
    <font>
      <sz val="12"/>
      <name val="Times New Roman"/>
      <family val="1"/>
    </font>
    <font>
      <sz val="10"/>
      <name val="Arial MT"/>
    </font>
    <font>
      <sz val="12"/>
      <name val="Arial"/>
      <family val="2"/>
    </font>
    <font>
      <b/>
      <u/>
      <sz val="12"/>
      <name val="Arial"/>
      <family val="2"/>
    </font>
    <font>
      <b/>
      <sz val="12"/>
      <name val="Arial"/>
      <family val="2"/>
    </font>
    <font>
      <sz val="12"/>
      <color indexed="10"/>
      <name val="Arial"/>
      <family val="2"/>
    </font>
    <font>
      <sz val="11"/>
      <name val="Arial"/>
      <family val="2"/>
    </font>
    <font>
      <b/>
      <sz val="12"/>
      <name val="Arial MT"/>
    </font>
    <font>
      <sz val="12"/>
      <color indexed="17"/>
      <name val="Arial MT"/>
    </font>
    <font>
      <sz val="12"/>
      <color indexed="10"/>
      <name val="Arial MT"/>
    </font>
    <font>
      <sz val="10"/>
      <name val="Arial"/>
      <family val="2"/>
    </font>
    <font>
      <b/>
      <u/>
      <sz val="10"/>
      <name val="Arial"/>
      <family val="2"/>
    </font>
    <font>
      <u val="singleAccounting"/>
      <sz val="10"/>
      <name val="Arial"/>
      <family val="2"/>
    </font>
    <font>
      <u val="doubleAccounting"/>
      <sz val="10"/>
      <name val="Arial"/>
      <family val="2"/>
    </font>
    <font>
      <b/>
      <sz val="10"/>
      <name val="Arial"/>
      <family val="2"/>
    </font>
    <font>
      <sz val="10"/>
      <name val="Arial"/>
      <family val="2"/>
    </font>
    <font>
      <sz val="10"/>
      <color indexed="12"/>
      <name val="Arial"/>
      <family val="2"/>
    </font>
    <font>
      <sz val="12"/>
      <color indexed="12"/>
      <name val="Arial"/>
      <family val="2"/>
    </font>
    <font>
      <b/>
      <sz val="12"/>
      <color indexed="12"/>
      <name val="Arial"/>
      <family val="2"/>
    </font>
    <font>
      <b/>
      <u val="double"/>
      <sz val="12"/>
      <name val="Arial"/>
      <family val="2"/>
    </font>
    <font>
      <u/>
      <sz val="10"/>
      <name val="Arial"/>
      <family val="2"/>
    </font>
    <font>
      <b/>
      <u val="singleAccounting"/>
      <sz val="10"/>
      <name val="Arial"/>
      <family val="2"/>
    </font>
    <font>
      <u val="doubleAccounting"/>
      <sz val="10"/>
      <color indexed="12"/>
      <name val="Arial"/>
      <family val="2"/>
    </font>
    <font>
      <sz val="8"/>
      <name val="Arial"/>
      <family val="2"/>
    </font>
    <font>
      <b/>
      <u val="singleAccounting"/>
      <sz val="12"/>
      <name val="Arial"/>
      <family val="2"/>
    </font>
    <font>
      <u val="singleAccounting"/>
      <sz val="12"/>
      <name val="Arial"/>
      <family val="2"/>
    </font>
    <font>
      <b/>
      <sz val="14"/>
      <name val="Arial"/>
      <family val="2"/>
    </font>
    <font>
      <b/>
      <sz val="11"/>
      <name val="Arial"/>
      <family val="2"/>
    </font>
    <font>
      <b/>
      <sz val="16"/>
      <name val="Arial"/>
      <family val="2"/>
    </font>
    <font>
      <sz val="16"/>
      <name val="Arial"/>
      <family val="2"/>
    </font>
    <font>
      <sz val="10"/>
      <name val="Arial Narrow"/>
      <family val="2"/>
    </font>
    <font>
      <sz val="10"/>
      <name val="MS Sans Serif"/>
      <family val="2"/>
    </font>
    <font>
      <u val="doubleAccounting"/>
      <sz val="12"/>
      <name val="Arial"/>
      <family val="2"/>
    </font>
    <font>
      <sz val="12"/>
      <color rgb="FF0000FF"/>
      <name val="Arial MT"/>
    </font>
    <font>
      <sz val="12"/>
      <color rgb="FF0000FF"/>
      <name val="Arial"/>
      <family val="2"/>
    </font>
    <font>
      <u val="singleAccounting"/>
      <sz val="12"/>
      <color rgb="FF0000FF"/>
      <name val="Arial"/>
      <family val="2"/>
    </font>
    <font>
      <u val="doubleAccounting"/>
      <sz val="12"/>
      <color rgb="FF0000FF"/>
      <name val="Arial"/>
      <family val="2"/>
    </font>
    <font>
      <sz val="10"/>
      <color rgb="FF0000FF"/>
      <name val="Arial"/>
      <family val="2"/>
    </font>
    <font>
      <b/>
      <u/>
      <sz val="12"/>
      <name val="Arial MT"/>
    </font>
    <font>
      <sz val="10"/>
      <name val="MS Sans Serif"/>
      <family val="2"/>
    </font>
    <font>
      <sz val="14"/>
      <name val="Arial"/>
      <family val="2"/>
    </font>
    <font>
      <b/>
      <sz val="10"/>
      <color indexed="12"/>
      <name val="Arial"/>
      <family val="2"/>
    </font>
    <font>
      <sz val="9"/>
      <name val="Arial"/>
      <family val="2"/>
    </font>
    <font>
      <sz val="10"/>
      <name val="C Helvetica Condensed"/>
    </font>
    <font>
      <sz val="10"/>
      <color indexed="12"/>
      <name val="Times New Roman"/>
      <family val="1"/>
    </font>
    <font>
      <sz val="10"/>
      <name val="Times New Roman"/>
      <family val="1"/>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4"/>
      <name val="Book Antiqua"/>
      <family val="1"/>
    </font>
    <font>
      <i/>
      <sz val="10"/>
      <name val="Book Antiqua"/>
      <family val="1"/>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MS Sans Serif"/>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u/>
      <sz val="12"/>
      <name val="Arial"/>
      <family val="2"/>
    </font>
    <font>
      <u/>
      <sz val="11"/>
      <name val="Arial"/>
      <family val="2"/>
    </font>
    <font>
      <sz val="10"/>
      <name val="Arial"/>
      <family val="2"/>
    </font>
    <font>
      <u/>
      <sz val="12"/>
      <name val="Arial MT"/>
    </font>
    <font>
      <u val="singleAccounting"/>
      <sz val="12"/>
      <color indexed="12"/>
      <name val="Arial"/>
      <family val="2"/>
    </font>
    <font>
      <vertAlign val="superscript"/>
      <sz val="12"/>
      <name val="Arial"/>
      <family val="2"/>
    </font>
    <font>
      <b/>
      <sz val="10"/>
      <color theme="1"/>
      <name val="Arial"/>
      <family val="2"/>
    </font>
    <font>
      <u/>
      <sz val="10"/>
      <color theme="1"/>
      <name val="Arial"/>
      <family val="2"/>
    </font>
    <font>
      <sz val="12"/>
      <name val="Courier"/>
      <family val="3"/>
    </font>
    <font>
      <vertAlign val="superscript"/>
      <sz val="10"/>
      <color theme="1"/>
      <name val="Arial"/>
      <family val="2"/>
    </font>
    <font>
      <sz val="11"/>
      <color rgb="FF0000FF"/>
      <name val="Arial"/>
      <family val="2"/>
    </font>
    <font>
      <sz val="10"/>
      <color indexed="81"/>
      <name val="Tahoma"/>
      <family val="2"/>
    </font>
    <font>
      <sz val="11"/>
      <color theme="1"/>
      <name val="Calibri"/>
      <family val="2"/>
      <scheme val="minor"/>
    </font>
    <font>
      <u/>
      <sz val="10"/>
      <color rgb="FF0000FF"/>
      <name val="Arial"/>
      <family val="2"/>
    </font>
    <font>
      <sz val="10"/>
      <color indexed="10"/>
      <name val="Arial"/>
      <family val="2"/>
    </font>
    <font>
      <b/>
      <sz val="10"/>
      <color rgb="FF0000FF"/>
      <name val="Arial"/>
      <family val="2"/>
    </font>
    <font>
      <b/>
      <u val="singleAccounting"/>
      <sz val="10"/>
      <color rgb="FFFF0000"/>
      <name val="Arial"/>
      <family val="2"/>
    </font>
    <font>
      <b/>
      <sz val="12"/>
      <color rgb="FF0000FF"/>
      <name val="Arial"/>
      <family val="2"/>
    </font>
    <font>
      <sz val="11"/>
      <name val="Calibri"/>
      <family val="2"/>
    </font>
    <font>
      <sz val="12"/>
      <color rgb="FFFF0000"/>
      <name val="Arial MT"/>
    </font>
    <font>
      <sz val="12"/>
      <color rgb="FF333399"/>
      <name val="Arial MT"/>
    </font>
    <font>
      <sz val="12"/>
      <color rgb="FFFF6600"/>
      <name val="Arial MT"/>
    </font>
    <font>
      <sz val="12"/>
      <color rgb="FF000000"/>
      <name val="Arial MT"/>
    </font>
    <font>
      <sz val="12"/>
      <color rgb="FF993300"/>
      <name val="Arial MT"/>
    </font>
    <font>
      <sz val="12"/>
      <color rgb="FF993366"/>
      <name val="Arial MT"/>
    </font>
    <font>
      <sz val="12"/>
      <color rgb="FF008000"/>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4" tint="-0.249977111117893"/>
      <name val="Arial"/>
      <family val="2"/>
    </font>
    <font>
      <sz val="8"/>
      <color indexed="81"/>
      <name val="Tahoma"/>
      <family val="2"/>
    </font>
    <font>
      <sz val="12"/>
      <color theme="1"/>
      <name val="Calibri"/>
      <family val="2"/>
      <scheme val="minor"/>
    </font>
    <font>
      <vertAlign val="superscript"/>
      <sz val="12"/>
      <color rgb="FF0000FF"/>
      <name val="Arial"/>
      <family val="2"/>
    </font>
    <font>
      <sz val="11"/>
      <color indexed="8"/>
      <name val="Calibri"/>
      <family val="2"/>
    </font>
    <font>
      <sz val="11"/>
      <color indexed="9"/>
      <name val="Calibri"/>
      <family val="2"/>
    </font>
    <font>
      <sz val="11"/>
      <color rgb="FF9C0006"/>
      <name val="Calibri"/>
      <family val="2"/>
    </font>
    <font>
      <b/>
      <sz val="8"/>
      <color indexed="24"/>
      <name val="Arial"/>
      <family val="2"/>
    </font>
    <font>
      <b/>
      <sz val="9"/>
      <color indexed="24"/>
      <name val="Arial"/>
      <family val="2"/>
    </font>
    <font>
      <b/>
      <sz val="11"/>
      <color indexed="24"/>
      <name val="Arial"/>
      <family val="2"/>
    </font>
    <font>
      <b/>
      <sz val="11"/>
      <color rgb="FFFA7D00"/>
      <name val="Calibri"/>
      <family val="2"/>
    </font>
    <font>
      <b/>
      <sz val="11"/>
      <color indexed="52"/>
      <name val="Calibri"/>
      <family val="2"/>
      <scheme val="minor"/>
    </font>
    <font>
      <b/>
      <sz val="11"/>
      <color indexed="9"/>
      <name val="Calibri"/>
      <family val="2"/>
    </font>
    <font>
      <b/>
      <u val="singleAccounting"/>
      <sz val="8"/>
      <color indexed="8"/>
      <name val="Arial"/>
      <family val="2"/>
    </font>
    <font>
      <b/>
      <sz val="10"/>
      <name val="Arial Narrow"/>
      <family val="2"/>
    </font>
    <font>
      <i/>
      <sz val="11"/>
      <color rgb="FF7F7F7F"/>
      <name val="Calibri"/>
      <family val="2"/>
    </font>
    <font>
      <sz val="11"/>
      <color rgb="FF006100"/>
      <name val="Calibri"/>
      <family val="2"/>
    </font>
    <font>
      <b/>
      <u/>
      <sz val="11"/>
      <color indexed="37"/>
      <name val="Arial"/>
      <family val="2"/>
    </font>
    <font>
      <b/>
      <sz val="15"/>
      <color theme="3"/>
      <name val="Calibri"/>
      <family val="2"/>
    </font>
    <font>
      <b/>
      <sz val="15"/>
      <color indexed="56"/>
      <name val="Calibri"/>
      <family val="2"/>
    </font>
    <font>
      <b/>
      <sz val="13"/>
      <color theme="3"/>
      <name val="Calibri"/>
      <family val="2"/>
    </font>
    <font>
      <b/>
      <sz val="13"/>
      <color indexed="56"/>
      <name val="Calibri"/>
      <family val="2"/>
    </font>
    <font>
      <b/>
      <sz val="11"/>
      <color theme="3"/>
      <name val="Calibri"/>
      <family val="2"/>
    </font>
    <font>
      <b/>
      <sz val="11"/>
      <color indexed="56"/>
      <name val="Calibri"/>
      <family val="2"/>
    </font>
    <font>
      <u/>
      <sz val="10"/>
      <color indexed="12"/>
      <name val="Arial"/>
      <family val="2"/>
    </font>
    <font>
      <sz val="12"/>
      <color indexed="8"/>
      <name val="Arial"/>
      <family val="2"/>
    </font>
    <font>
      <sz val="8"/>
      <color indexed="12"/>
      <name val="Arial"/>
      <family val="2"/>
    </font>
    <font>
      <sz val="11"/>
      <color rgb="FF3F3F76"/>
      <name val="Calibri"/>
      <family val="2"/>
    </font>
    <font>
      <sz val="1"/>
      <color indexed="9"/>
      <name val="Symbol"/>
      <family val="1"/>
      <charset val="2"/>
    </font>
    <font>
      <sz val="11"/>
      <color rgb="FFFA7D00"/>
      <name val="Calibri"/>
      <family val="2"/>
    </font>
    <font>
      <sz val="11"/>
      <color indexed="52"/>
      <name val="Calibri"/>
      <family val="2"/>
    </font>
    <font>
      <sz val="11"/>
      <color rgb="FF9C6500"/>
      <name val="Calibri"/>
      <family val="2"/>
    </font>
    <font>
      <sz val="11"/>
      <color indexed="60"/>
      <name val="Calibri"/>
      <family val="2"/>
      <scheme val="minor"/>
    </font>
    <font>
      <b/>
      <u val="singleAccounting"/>
      <sz val="8"/>
      <color indexed="8"/>
      <name val="Verdana"/>
      <family val="2"/>
    </font>
    <font>
      <b/>
      <sz val="10"/>
      <color indexed="9"/>
      <name val="Arial"/>
      <family val="2"/>
    </font>
    <font>
      <b/>
      <sz val="12"/>
      <color indexed="8"/>
      <name val="Verdana"/>
      <family val="2"/>
    </font>
    <font>
      <sz val="10"/>
      <color theme="1"/>
      <name val="Calibri"/>
      <family val="2"/>
      <scheme val="minor"/>
    </font>
    <font>
      <sz val="10"/>
      <color theme="1"/>
      <name val="Times New Roman"/>
      <family val="2"/>
    </font>
    <font>
      <sz val="10"/>
      <color rgb="FF000000"/>
      <name val="Arial"/>
      <family val="2"/>
    </font>
    <font>
      <sz val="10"/>
      <name val="Courier"/>
      <family val="3"/>
    </font>
    <font>
      <sz val="10"/>
      <name val="Arial "/>
    </font>
    <font>
      <sz val="10"/>
      <name val="Arial Unicode MS"/>
      <family val="2"/>
    </font>
    <font>
      <b/>
      <sz val="11"/>
      <color rgb="FF3F3F3F"/>
      <name val="Calibri"/>
      <family val="2"/>
    </font>
    <font>
      <b/>
      <sz val="11"/>
      <color indexed="16"/>
      <name val="Times New Roman"/>
      <family val="1"/>
    </font>
    <font>
      <sz val="10"/>
      <color indexed="18"/>
      <name val="Times New Roman"/>
      <family val="1"/>
    </font>
    <font>
      <sz val="8"/>
      <name val="Arial Narrow"/>
      <family val="2"/>
    </font>
    <font>
      <b/>
      <sz val="8"/>
      <color indexed="9"/>
      <name val="Verdana"/>
      <family val="2"/>
    </font>
    <font>
      <sz val="9"/>
      <color theme="1"/>
      <name val="Calibri"/>
      <family val="2"/>
      <scheme val="minor"/>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theme="3"/>
      <name val="Cambria"/>
      <family val="2"/>
    </font>
    <font>
      <b/>
      <sz val="18"/>
      <color indexed="56"/>
      <name val="Cambria"/>
      <family val="2"/>
    </font>
    <font>
      <b/>
      <sz val="13"/>
      <color indexed="8"/>
      <name val="Verdana"/>
      <family val="2"/>
    </font>
    <font>
      <b/>
      <sz val="11"/>
      <color indexed="8"/>
      <name val="Calibri"/>
      <family val="2"/>
    </font>
    <font>
      <sz val="12"/>
      <color indexed="8"/>
      <name val="Arial MT"/>
    </font>
    <font>
      <sz val="11"/>
      <color indexed="10"/>
      <name val="Calibri"/>
      <family val="2"/>
    </font>
    <font>
      <sz val="12"/>
      <color theme="1"/>
      <name val="Arial"/>
      <family val="2"/>
    </font>
    <font>
      <u/>
      <sz val="11"/>
      <color theme="1"/>
      <name val="Calibri"/>
      <family val="2"/>
      <scheme val="minor"/>
    </font>
    <font>
      <sz val="11"/>
      <color rgb="FF0000FF"/>
      <name val="Calibri"/>
      <family val="2"/>
      <scheme val="minor"/>
    </font>
    <font>
      <b/>
      <u/>
      <sz val="11"/>
      <color theme="1"/>
      <name val="Calibri"/>
      <family val="2"/>
      <scheme val="minor"/>
    </font>
    <font>
      <b/>
      <vertAlign val="superscript"/>
      <sz val="12"/>
      <name val="Arial"/>
      <family val="2"/>
    </font>
    <font>
      <b/>
      <sz val="12"/>
      <color theme="1"/>
      <name val="Arial"/>
      <family val="2"/>
    </font>
    <font>
      <u/>
      <sz val="12"/>
      <color theme="1"/>
      <name val="Arial"/>
      <family val="2"/>
    </font>
    <font>
      <b/>
      <u/>
      <sz val="12"/>
      <color theme="1"/>
      <name val="Arial"/>
      <family val="2"/>
    </font>
    <font>
      <sz val="12"/>
      <color rgb="FF0000CC"/>
      <name val="Arial"/>
      <family val="2"/>
    </font>
    <font>
      <u val="singleAccounting"/>
      <sz val="12"/>
      <color rgb="FF0000FF"/>
      <name val="Arial MT"/>
    </font>
    <font>
      <sz val="12"/>
      <color rgb="FF4D4D4D"/>
      <name val="Arial"/>
      <family val="2"/>
    </font>
    <font>
      <u/>
      <sz val="12"/>
      <color rgb="FF0000FF"/>
      <name val="Arial"/>
      <family val="2"/>
    </font>
    <font>
      <b/>
      <u/>
      <sz val="10"/>
      <color theme="1"/>
      <name val="Arial"/>
      <family val="2"/>
    </font>
    <font>
      <u val="doubleAccounting"/>
      <sz val="12"/>
      <color indexed="12"/>
      <name val="Arial"/>
      <family val="2"/>
    </font>
    <font>
      <u/>
      <sz val="12"/>
      <color rgb="FFFF0000"/>
      <name val="Arial MT"/>
    </font>
    <font>
      <b/>
      <u val="singleAccounting"/>
      <vertAlign val="superscript"/>
      <sz val="12"/>
      <name val="Arial"/>
      <family val="2"/>
    </font>
    <font>
      <u val="singleAccounting"/>
      <sz val="10"/>
      <color rgb="FF0000FF"/>
      <name val="Arial"/>
      <family val="2"/>
    </font>
    <font>
      <u/>
      <sz val="9"/>
      <color indexed="81"/>
      <name val="Tahoma"/>
      <family val="2"/>
    </font>
    <font>
      <sz val="9"/>
      <color indexed="81"/>
      <name val="Tahoma"/>
      <family val="2"/>
    </font>
    <font>
      <b/>
      <u val="singleAccounting"/>
      <vertAlign val="superscript"/>
      <sz val="10"/>
      <name val="Arial"/>
      <family val="2"/>
    </font>
  </fonts>
  <fills count="102">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99"/>
        <bgColor indexed="64"/>
      </patternFill>
    </fill>
    <fill>
      <patternFill patternType="solid">
        <fgColor indexed="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mediumGray">
        <fgColor indexed="22"/>
      </patternFill>
    </fill>
    <fill>
      <patternFill patternType="solid">
        <fgColor indexed="22"/>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indexed="30"/>
      </patternFill>
    </fill>
    <fill>
      <patternFill patternType="solid">
        <fgColor theme="5" tint="0.39997558519241921"/>
        <bgColor indexed="64"/>
      </patternFill>
    </fill>
    <fill>
      <patternFill patternType="solid">
        <fgColor indexed="29"/>
      </patternFill>
    </fill>
    <fill>
      <patternFill patternType="solid">
        <fgColor theme="6" tint="0.39997558519241921"/>
        <bgColor indexed="64"/>
      </patternFill>
    </fill>
    <fill>
      <patternFill patternType="solid">
        <fgColor indexed="11"/>
      </patternFill>
    </fill>
    <fill>
      <patternFill patternType="solid">
        <fgColor theme="7" tint="0.39997558519241921"/>
        <bgColor indexed="64"/>
      </patternFill>
    </fill>
    <fill>
      <patternFill patternType="solid">
        <fgColor indexed="36"/>
      </patternFill>
    </fill>
    <fill>
      <patternFill patternType="solid">
        <fgColor theme="8" tint="0.39997558519241921"/>
        <bgColor indexed="64"/>
      </patternFill>
    </fill>
    <fill>
      <patternFill patternType="solid">
        <fgColor indexed="49"/>
      </patternFill>
    </fill>
    <fill>
      <patternFill patternType="solid">
        <fgColor theme="9" tint="0.39997558519241921"/>
        <bgColor indexed="64"/>
      </patternFill>
    </fill>
    <fill>
      <patternFill patternType="solid">
        <fgColor indexed="52"/>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indexed="44"/>
        <bgColor indexed="64"/>
      </patternFill>
    </fill>
    <fill>
      <patternFill patternType="solid">
        <fgColor rgb="FFFFC7CE"/>
        <bgColor indexed="64"/>
      </patternFill>
    </fill>
    <fill>
      <patternFill patternType="solid">
        <fgColor indexed="45"/>
      </patternFill>
    </fill>
    <fill>
      <patternFill patternType="solid">
        <fgColor rgb="FFF2F2F2"/>
        <bgColor indexed="64"/>
      </patternFill>
    </fill>
    <fill>
      <patternFill patternType="solid">
        <fgColor indexed="22"/>
      </patternFill>
    </fill>
    <fill>
      <patternFill patternType="solid">
        <fgColor rgb="FFA5A5A5"/>
        <bgColor indexed="64"/>
      </patternFill>
    </fill>
    <fill>
      <patternFill patternType="solid">
        <fgColor indexed="60"/>
        <bgColor indexed="64"/>
      </patternFill>
    </fill>
    <fill>
      <patternFill patternType="gray0625"/>
    </fill>
    <fill>
      <patternFill patternType="solid">
        <fgColor rgb="FFC6EFCE"/>
        <bgColor indexed="64"/>
      </patternFill>
    </fill>
    <fill>
      <patternFill patternType="solid">
        <fgColor indexed="42"/>
      </patternFill>
    </fill>
    <fill>
      <patternFill patternType="solid">
        <fgColor indexed="47"/>
        <bgColor indexed="64"/>
      </patternFill>
    </fill>
    <fill>
      <patternFill patternType="solid">
        <fgColor rgb="FFFFEB9C"/>
        <bgColor indexed="64"/>
      </patternFill>
    </fill>
    <fill>
      <patternFill patternType="solid">
        <fgColor indexed="62"/>
        <bgColor indexed="64"/>
      </patternFill>
    </fill>
    <fill>
      <patternFill patternType="solid">
        <fgColor indexed="63"/>
        <bgColor indexed="64"/>
      </patternFill>
    </fill>
    <fill>
      <patternFill patternType="solid">
        <fgColor indexed="26"/>
      </patternFill>
    </fill>
    <fill>
      <patternFill patternType="solid">
        <fgColor indexed="56"/>
        <bgColor indexed="64"/>
      </patternFill>
    </fill>
    <fill>
      <patternFill patternType="solid">
        <fgColor theme="8" tint="-0.249977111117893"/>
        <bgColor indexed="64"/>
      </patternFill>
    </fill>
    <fill>
      <patternFill patternType="solid">
        <fgColor rgb="FFFFC000"/>
        <bgColor indexed="64"/>
      </patternFill>
    </fill>
  </fills>
  <borders count="46">
    <border>
      <left/>
      <right/>
      <top/>
      <bottom/>
      <diagonal/>
    </border>
    <border>
      <left/>
      <right/>
      <top/>
      <bottom style="medium">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hair">
        <color indexed="20"/>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right/>
      <top/>
      <bottom style="medium">
        <color indexed="24"/>
      </bottom>
      <diagonal/>
    </border>
    <border>
      <left style="double">
        <color indexed="64"/>
      </left>
      <right style="double">
        <color indexed="64"/>
      </right>
      <top style="double">
        <color indexed="64"/>
      </top>
      <bottom style="double">
        <color indexed="64"/>
      </bottom>
      <diagonal/>
    </border>
    <border>
      <left/>
      <right/>
      <top/>
      <bottom style="thick">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auto="1"/>
      </top>
      <bottom/>
      <diagonal/>
    </border>
  </borders>
  <cellStyleXfs count="1625">
    <xf numFmtId="173" fontId="0" fillId="0" borderId="0" applyProtection="0"/>
    <xf numFmtId="43" fontId="35" fillId="0" borderId="0" applyFont="0" applyFill="0" applyBorder="0" applyAlignment="0" applyProtection="0"/>
    <xf numFmtId="43" fontId="51" fillId="0" borderId="0" applyFont="0" applyFill="0" applyBorder="0" applyAlignment="0" applyProtection="0"/>
    <xf numFmtId="221" fontId="50" fillId="0" borderId="0">
      <alignment vertical="top"/>
    </xf>
    <xf numFmtId="173" fontId="19" fillId="0" borderId="0" applyProtection="0"/>
    <xf numFmtId="221" fontId="35" fillId="0" borderId="0"/>
    <xf numFmtId="221" fontId="35" fillId="0" borderId="0"/>
    <xf numFmtId="221" fontId="35" fillId="0" borderId="0"/>
    <xf numFmtId="221" fontId="35" fillId="0" borderId="0"/>
    <xf numFmtId="221" fontId="35" fillId="0" borderId="0"/>
    <xf numFmtId="221" fontId="35" fillId="0" borderId="0"/>
    <xf numFmtId="9" fontId="30" fillId="0" borderId="0" applyFont="0" applyFill="0" applyBorder="0" applyAlignment="0" applyProtection="0"/>
    <xf numFmtId="44" fontId="30" fillId="0" borderId="0" applyFont="0" applyFill="0" applyBorder="0" applyAlignment="0" applyProtection="0"/>
    <xf numFmtId="43" fontId="30" fillId="0" borderId="0" applyFont="0" applyFill="0" applyBorder="0" applyAlignment="0" applyProtection="0"/>
    <xf numFmtId="43" fontId="59" fillId="0" borderId="0" applyFont="0" applyFill="0" applyBorder="0" applyAlignment="0" applyProtection="0"/>
    <xf numFmtId="221" fontId="30" fillId="0" borderId="0"/>
    <xf numFmtId="44" fontId="30" fillId="0" borderId="0" applyFont="0" applyFill="0" applyBorder="0" applyAlignment="0" applyProtection="0"/>
    <xf numFmtId="221" fontId="30" fillId="0" borderId="0"/>
    <xf numFmtId="178" fontId="63" fillId="0" borderId="0" applyFont="0" applyFill="0" applyBorder="0" applyAlignment="0" applyProtection="0"/>
    <xf numFmtId="179" fontId="63" fillId="0" borderId="0" applyFont="0" applyFill="0" applyBorder="0" applyAlignment="0" applyProtection="0"/>
    <xf numFmtId="180" fontId="63" fillId="0" borderId="0" applyFont="0" applyFill="0" applyBorder="0" applyAlignment="0" applyProtection="0"/>
    <xf numFmtId="181" fontId="63" fillId="0" borderId="0" applyFont="0" applyFill="0" applyBorder="0" applyAlignment="0" applyProtection="0"/>
    <xf numFmtId="182" fontId="63" fillId="0" borderId="0" applyFont="0" applyFill="0" applyBorder="0" applyAlignment="0" applyProtection="0"/>
    <xf numFmtId="183" fontId="63" fillId="0" borderId="0" applyFont="0" applyFill="0" applyBorder="0" applyAlignment="0" applyProtection="0"/>
    <xf numFmtId="221" fontId="62" fillId="0" borderId="0"/>
    <xf numFmtId="184" fontId="30" fillId="6" borderId="0" applyNumberFormat="0" applyFill="0" applyBorder="0" applyAlignment="0" applyProtection="0">
      <alignment horizontal="right" vertical="center"/>
    </xf>
    <xf numFmtId="184" fontId="36" fillId="0" borderId="0" applyNumberFormat="0" applyFill="0" applyBorder="0" applyAlignment="0" applyProtection="0"/>
    <xf numFmtId="221" fontId="30" fillId="0" borderId="6" applyNumberFormat="0" applyFont="0" applyFill="0" applyAlignment="0" applyProtection="0"/>
    <xf numFmtId="185" fontId="20" fillId="0" borderId="0" applyFont="0" applyFill="0" applyBorder="0" applyAlignment="0" applyProtection="0"/>
    <xf numFmtId="186" fontId="63" fillId="0" borderId="0" applyFont="0" applyFill="0" applyBorder="0" applyProtection="0">
      <alignment horizontal="left"/>
    </xf>
    <xf numFmtId="187" fontId="63" fillId="0" borderId="0" applyFont="0" applyFill="0" applyBorder="0" applyProtection="0">
      <alignment horizontal="left"/>
    </xf>
    <xf numFmtId="188" fontId="63" fillId="0" borderId="0" applyFont="0" applyFill="0" applyBorder="0" applyProtection="0">
      <alignment horizontal="left"/>
    </xf>
    <xf numFmtId="37" fontId="64" fillId="0" borderId="0" applyFont="0" applyFill="0" applyBorder="0" applyAlignment="0" applyProtection="0">
      <alignment vertical="center"/>
      <protection locked="0"/>
    </xf>
    <xf numFmtId="189" fontId="65" fillId="0" borderId="0" applyFont="0" applyFill="0" applyBorder="0" applyAlignment="0" applyProtection="0"/>
    <xf numFmtId="221" fontId="66" fillId="0" borderId="0"/>
    <xf numFmtId="221" fontId="66" fillId="0" borderId="0"/>
    <xf numFmtId="173" fontId="43" fillId="0" borderId="0" applyFill="0"/>
    <xf numFmtId="173" fontId="43" fillId="0" borderId="0">
      <alignment horizontal="center"/>
    </xf>
    <xf numFmtId="221" fontId="43" fillId="0" borderId="0" applyFill="0">
      <alignment horizontal="center"/>
    </xf>
    <xf numFmtId="173" fontId="46" fillId="0" borderId="18" applyFill="0"/>
    <xf numFmtId="221" fontId="30" fillId="0" borderId="0" applyFont="0" applyAlignment="0"/>
    <xf numFmtId="221" fontId="67" fillId="0" borderId="0" applyFill="0">
      <alignment vertical="top"/>
    </xf>
    <xf numFmtId="221" fontId="46" fillId="0" borderId="0" applyFill="0">
      <alignment horizontal="left" vertical="top"/>
    </xf>
    <xf numFmtId="173" fontId="24" fillId="0" borderId="10" applyFill="0"/>
    <xf numFmtId="221" fontId="30" fillId="0" borderId="0" applyNumberFormat="0" applyFont="0" applyAlignment="0"/>
    <xf numFmtId="221" fontId="67" fillId="0" borderId="0" applyFill="0">
      <alignment wrapText="1"/>
    </xf>
    <xf numFmtId="221" fontId="46" fillId="0" borderId="0" applyFill="0">
      <alignment horizontal="left" vertical="top" wrapText="1"/>
    </xf>
    <xf numFmtId="173" fontId="47" fillId="0" borderId="0" applyFill="0"/>
    <xf numFmtId="221" fontId="68" fillId="0" borderId="0" applyNumberFormat="0" applyFont="0" applyAlignment="0">
      <alignment horizontal="center"/>
    </xf>
    <xf numFmtId="221" fontId="69" fillId="0" borderId="0" applyFill="0">
      <alignment vertical="top" wrapText="1"/>
    </xf>
    <xf numFmtId="221" fontId="24" fillId="0" borderId="0" applyFill="0">
      <alignment horizontal="left" vertical="top" wrapText="1"/>
    </xf>
    <xf numFmtId="173" fontId="30" fillId="0" borderId="0" applyFill="0"/>
    <xf numFmtId="221" fontId="68" fillId="0" borderId="0" applyNumberFormat="0" applyFont="0" applyAlignment="0">
      <alignment horizontal="center"/>
    </xf>
    <xf numFmtId="221" fontId="70" fillId="0" borderId="0" applyFill="0">
      <alignment vertical="center" wrapText="1"/>
    </xf>
    <xf numFmtId="221" fontId="22" fillId="0" borderId="0">
      <alignment horizontal="left" vertical="center" wrapText="1"/>
    </xf>
    <xf numFmtId="173" fontId="62" fillId="0" borderId="0" applyFill="0"/>
    <xf numFmtId="221" fontId="68" fillId="0" borderId="0" applyNumberFormat="0" applyFont="0" applyAlignment="0">
      <alignment horizontal="center"/>
    </xf>
    <xf numFmtId="221" fontId="71" fillId="0" borderId="0" applyFill="0">
      <alignment horizontal="center" vertical="center" wrapText="1"/>
    </xf>
    <xf numFmtId="221" fontId="30" fillId="0" borderId="0" applyFill="0">
      <alignment horizontal="center" vertical="center" wrapText="1"/>
    </xf>
    <xf numFmtId="173" fontId="72" fillId="0" borderId="0" applyFill="0"/>
    <xf numFmtId="221" fontId="68" fillId="0" borderId="0" applyNumberFormat="0" applyFont="0" applyAlignment="0">
      <alignment horizontal="center"/>
    </xf>
    <xf numFmtId="221" fontId="73" fillId="0" borderId="0" applyFill="0">
      <alignment horizontal="center" vertical="center" wrapText="1"/>
    </xf>
    <xf numFmtId="221" fontId="74" fillId="0" borderId="0" applyFill="0">
      <alignment horizontal="center" vertical="center" wrapText="1"/>
    </xf>
    <xf numFmtId="173" fontId="75" fillId="0" borderId="0" applyFill="0"/>
    <xf numFmtId="221" fontId="68" fillId="0" borderId="0" applyNumberFormat="0" applyFont="0" applyAlignment="0">
      <alignment horizontal="center"/>
    </xf>
    <xf numFmtId="221" fontId="76" fillId="0" borderId="0">
      <alignment horizontal="center" wrapText="1"/>
    </xf>
    <xf numFmtId="221" fontId="72" fillId="0" borderId="0" applyFill="0">
      <alignment horizontal="center" wrapText="1"/>
    </xf>
    <xf numFmtId="190" fontId="77" fillId="0" borderId="0" applyFont="0" applyFill="0" applyBorder="0" applyAlignment="0" applyProtection="0">
      <protection locked="0"/>
    </xf>
    <xf numFmtId="191" fontId="77" fillId="0" borderId="0" applyFont="0" applyFill="0" applyBorder="0" applyAlignment="0" applyProtection="0">
      <protection locked="0"/>
    </xf>
    <xf numFmtId="39" fontId="30" fillId="0" borderId="0" applyFont="0" applyFill="0" applyBorder="0" applyAlignment="0" applyProtection="0"/>
    <xf numFmtId="192" fontId="78" fillId="0" borderId="0" applyFont="0" applyFill="0" applyBorder="0" applyAlignment="0" applyProtection="0"/>
    <xf numFmtId="193" fontId="65" fillId="0" borderId="0" applyFont="0" applyFill="0" applyBorder="0" applyAlignment="0" applyProtection="0"/>
    <xf numFmtId="221" fontId="30" fillId="0" borderId="6" applyNumberFormat="0" applyFont="0" applyFill="0" applyBorder="0" applyProtection="0">
      <alignment horizontal="centerContinuous" vertical="center"/>
    </xf>
    <xf numFmtId="221" fontId="79" fillId="0" borderId="0" applyFill="0" applyBorder="0" applyProtection="0">
      <alignment horizontal="center"/>
      <protection locked="0"/>
    </xf>
    <xf numFmtId="221" fontId="30" fillId="0" borderId="0"/>
    <xf numFmtId="221" fontId="80" fillId="0" borderId="0"/>
    <xf numFmtId="221" fontId="80" fillId="0" borderId="0"/>
    <xf numFmtId="221" fontId="80" fillId="0" borderId="0"/>
    <xf numFmtId="221" fontId="80" fillId="0" borderId="0"/>
    <xf numFmtId="221" fontId="80" fillId="0" borderId="0"/>
    <xf numFmtId="221" fontId="80" fillId="0" borderId="0"/>
    <xf numFmtId="221" fontId="80" fillId="0" borderId="0"/>
    <xf numFmtId="194" fontId="63" fillId="0" borderId="0" applyFont="0" applyFill="0" applyBorder="0" applyAlignment="0" applyProtection="0"/>
    <xf numFmtId="195" fontId="63" fillId="0" borderId="0" applyFont="0" applyFill="0" applyBorder="0" applyAlignment="0" applyProtection="0"/>
    <xf numFmtId="196" fontId="63" fillId="0" borderId="0" applyFont="0" applyFill="0" applyBorder="0" applyAlignment="0" applyProtection="0"/>
    <xf numFmtId="197" fontId="81" fillId="0" borderId="0" applyFont="0" applyFill="0" applyBorder="0" applyAlignment="0" applyProtection="0"/>
    <xf numFmtId="198" fontId="82" fillId="0" borderId="0" applyFont="0" applyFill="0" applyBorder="0" applyAlignment="0" applyProtection="0"/>
    <xf numFmtId="199" fontId="82" fillId="0" borderId="0" applyFont="0" applyFill="0" applyBorder="0" applyAlignment="0" applyProtection="0"/>
    <xf numFmtId="200" fontId="47" fillId="0" borderId="0" applyFont="0" applyFill="0" applyBorder="0" applyAlignment="0" applyProtection="0">
      <protection locked="0"/>
    </xf>
    <xf numFmtId="43" fontId="30" fillId="0" borderId="0" applyFont="0" applyFill="0" applyBorder="0" applyAlignment="0" applyProtection="0"/>
    <xf numFmtId="43" fontId="30" fillId="0" borderId="0" applyFont="0" applyFill="0" applyBorder="0" applyAlignment="0" applyProtection="0"/>
    <xf numFmtId="43" fontId="51" fillId="0" borderId="0" applyFont="0" applyFill="0" applyBorder="0" applyAlignment="0" applyProtection="0"/>
    <xf numFmtId="43" fontId="30" fillId="0" borderId="0" applyFont="0" applyFill="0" applyBorder="0" applyAlignment="0" applyProtection="0"/>
    <xf numFmtId="37" fontId="83" fillId="0" borderId="0" applyFill="0" applyBorder="0" applyAlignment="0" applyProtection="0"/>
    <xf numFmtId="3" fontId="30" fillId="0" borderId="0" applyFont="0" applyFill="0" applyBorder="0" applyAlignment="0" applyProtection="0"/>
    <xf numFmtId="221" fontId="46" fillId="0" borderId="0" applyFill="0" applyBorder="0" applyAlignment="0" applyProtection="0">
      <protection locked="0"/>
    </xf>
    <xf numFmtId="201" fontId="63" fillId="0" borderId="0" applyFont="0" applyFill="0" applyBorder="0" applyAlignment="0" applyProtection="0"/>
    <xf numFmtId="202" fontId="63" fillId="0" borderId="0" applyFont="0" applyFill="0" applyBorder="0" applyAlignment="0" applyProtection="0"/>
    <xf numFmtId="203" fontId="63" fillId="0" borderId="0" applyFont="0" applyFill="0" applyBorder="0" applyAlignment="0" applyProtection="0"/>
    <xf numFmtId="204" fontId="82" fillId="0" borderId="0" applyFont="0" applyFill="0" applyBorder="0" applyAlignment="0" applyProtection="0"/>
    <xf numFmtId="205" fontId="82" fillId="0" borderId="0" applyFont="0" applyFill="0" applyBorder="0" applyAlignment="0" applyProtection="0"/>
    <xf numFmtId="206" fontId="82" fillId="0" borderId="0" applyFont="0" applyFill="0" applyBorder="0" applyAlignment="0" applyProtection="0"/>
    <xf numFmtId="207" fontId="47" fillId="0" borderId="0" applyFont="0" applyFill="0" applyBorder="0" applyAlignment="0" applyProtection="0">
      <protection locked="0"/>
    </xf>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5" fontId="83" fillId="0" borderId="0" applyFill="0" applyBorder="0" applyAlignment="0" applyProtection="0"/>
    <xf numFmtId="5" fontId="30" fillId="0" borderId="0" applyFont="0" applyFill="0" applyBorder="0" applyAlignment="0" applyProtection="0"/>
    <xf numFmtId="5" fontId="30" fillId="0" borderId="0" applyFont="0" applyFill="0" applyBorder="0" applyAlignment="0" applyProtection="0"/>
    <xf numFmtId="208" fontId="65" fillId="0" borderId="0" applyFont="0" applyFill="0" applyBorder="0" applyAlignment="0" applyProtection="0"/>
    <xf numFmtId="209" fontId="30" fillId="0" borderId="0" applyFont="0" applyFill="0" applyBorder="0" applyAlignment="0" applyProtection="0"/>
    <xf numFmtId="210" fontId="77" fillId="0" borderId="0" applyFont="0" applyFill="0" applyBorder="0" applyAlignment="0" applyProtection="0">
      <protection locked="0"/>
    </xf>
    <xf numFmtId="7" fontId="43" fillId="0" borderId="0" applyFont="0" applyFill="0" applyBorder="0" applyAlignment="0" applyProtection="0"/>
    <xf numFmtId="211" fontId="78" fillId="0" borderId="0" applyFont="0" applyFill="0" applyBorder="0" applyAlignment="0" applyProtection="0"/>
    <xf numFmtId="212" fontId="84" fillId="0" borderId="0" applyFont="0" applyFill="0" applyBorder="0" applyAlignment="0" applyProtection="0"/>
    <xf numFmtId="221" fontId="85" fillId="7" borderId="19" applyNumberFormat="0" applyFont="0" applyFill="0" applyAlignment="0" applyProtection="0">
      <alignment horizontal="left" indent="1"/>
    </xf>
    <xf numFmtId="14" fontId="30" fillId="0" borderId="0" applyFont="0" applyFill="0" applyBorder="0" applyAlignment="0" applyProtection="0"/>
    <xf numFmtId="213" fontId="63" fillId="0" borderId="0" applyFont="0" applyFill="0" applyBorder="0" applyProtection="0"/>
    <xf numFmtId="214" fontId="63" fillId="0" borderId="0" applyFont="0" applyFill="0" applyBorder="0" applyProtection="0"/>
    <xf numFmtId="215" fontId="63" fillId="0" borderId="0" applyFont="0" applyFill="0" applyBorder="0" applyAlignment="0" applyProtection="0"/>
    <xf numFmtId="216" fontId="63" fillId="0" borderId="0" applyFont="0" applyFill="0" applyBorder="0" applyAlignment="0" applyProtection="0"/>
    <xf numFmtId="217" fontId="63" fillId="0" borderId="0" applyFont="0" applyFill="0" applyBorder="0" applyAlignment="0" applyProtection="0"/>
    <xf numFmtId="218" fontId="86" fillId="0" borderId="0" applyFont="0" applyFill="0" applyBorder="0" applyAlignment="0" applyProtection="0"/>
    <xf numFmtId="5" fontId="87" fillId="0" borderId="0" applyBorder="0"/>
    <xf numFmtId="209" fontId="87" fillId="0" borderId="0" applyBorder="0"/>
    <xf numFmtId="7" fontId="87" fillId="0" borderId="0" applyBorder="0"/>
    <xf numFmtId="37" fontId="87" fillId="0" borderId="0" applyBorder="0"/>
    <xf numFmtId="190" fontId="87" fillId="0" borderId="0" applyBorder="0"/>
    <xf numFmtId="219" fontId="87" fillId="0" borderId="0" applyBorder="0"/>
    <xf numFmtId="39" fontId="87" fillId="0" borderId="0" applyBorder="0"/>
    <xf numFmtId="220" fontId="87" fillId="0" borderId="0" applyBorder="0"/>
    <xf numFmtId="7" fontId="30" fillId="0" borderId="0" applyFont="0" applyFill="0" applyBorder="0" applyAlignment="0" applyProtection="0"/>
    <xf numFmtId="221" fontId="65" fillId="0" borderId="0" applyFont="0" applyFill="0" applyBorder="0" applyAlignment="0" applyProtection="0"/>
    <xf numFmtId="221" fontId="65" fillId="0" borderId="0" applyFont="0" applyFill="0" applyAlignment="0" applyProtection="0"/>
    <xf numFmtId="221" fontId="65" fillId="0" borderId="0" applyFont="0" applyFill="0" applyBorder="0" applyAlignment="0" applyProtection="0"/>
    <xf numFmtId="221" fontId="43" fillId="0" borderId="0" applyFont="0" applyFill="0" applyBorder="0" applyAlignment="0" applyProtection="0"/>
    <xf numFmtId="2" fontId="30" fillId="0" borderId="0" applyFont="0" applyFill="0" applyBorder="0" applyAlignment="0" applyProtection="0"/>
    <xf numFmtId="221" fontId="88" fillId="0" borderId="0"/>
    <xf numFmtId="190" fontId="89" fillId="0" borderId="0" applyNumberFormat="0" applyFill="0" applyBorder="0" applyAlignment="0" applyProtection="0"/>
    <xf numFmtId="221" fontId="43" fillId="0" borderId="0" applyFont="0" applyFill="0" applyBorder="0" applyAlignment="0" applyProtection="0"/>
    <xf numFmtId="221" fontId="63" fillId="0" borderId="0" applyFont="0" applyFill="0" applyBorder="0" applyProtection="0">
      <alignment horizontal="center" wrapText="1"/>
    </xf>
    <xf numFmtId="222" fontId="63" fillId="0" borderId="0" applyFont="0" applyFill="0" applyBorder="0" applyProtection="0">
      <alignment horizontal="right"/>
    </xf>
    <xf numFmtId="221" fontId="89" fillId="0" borderId="0" applyNumberFormat="0" applyFill="0" applyBorder="0" applyAlignment="0" applyProtection="0"/>
    <xf numFmtId="221" fontId="90" fillId="8" borderId="0" applyNumberFormat="0" applyFill="0" applyBorder="0" applyAlignment="0" applyProtection="0"/>
    <xf numFmtId="221" fontId="24" fillId="0" borderId="20" applyNumberFormat="0" applyAlignment="0" applyProtection="0">
      <alignment horizontal="left" vertical="center"/>
    </xf>
    <xf numFmtId="221" fontId="24" fillId="0" borderId="16">
      <alignment horizontal="left" vertical="center"/>
    </xf>
    <xf numFmtId="14" fontId="34" fillId="9" borderId="1">
      <alignment horizontal="center" vertical="center" wrapText="1"/>
    </xf>
    <xf numFmtId="221" fontId="79" fillId="0" borderId="0" applyFill="0" applyAlignment="0" applyProtection="0">
      <protection locked="0"/>
    </xf>
    <xf numFmtId="221" fontId="79" fillId="0" borderId="6" applyFill="0" applyAlignment="0" applyProtection="0">
      <protection locked="0"/>
    </xf>
    <xf numFmtId="221" fontId="91" fillId="0" borderId="1"/>
    <xf numFmtId="221" fontId="92" fillId="0" borderId="0"/>
    <xf numFmtId="221" fontId="93" fillId="0" borderId="6" applyNumberFormat="0" applyFill="0" applyAlignment="0" applyProtection="0"/>
    <xf numFmtId="221" fontId="86" fillId="10" borderId="0" applyNumberFormat="0" applyFont="0" applyBorder="0" applyAlignment="0" applyProtection="0"/>
    <xf numFmtId="221" fontId="61" fillId="3" borderId="14" applyNumberFormat="0" applyAlignment="0" applyProtection="0"/>
    <xf numFmtId="223" fontId="63" fillId="0" borderId="0" applyFont="0" applyFill="0" applyBorder="0" applyProtection="0">
      <alignment horizontal="left"/>
    </xf>
    <xf numFmtId="224" fontId="63" fillId="0" borderId="0" applyFont="0" applyFill="0" applyBorder="0" applyProtection="0">
      <alignment horizontal="left"/>
    </xf>
    <xf numFmtId="225" fontId="63" fillId="0" borderId="0" applyFont="0" applyFill="0" applyBorder="0" applyProtection="0">
      <alignment horizontal="left"/>
    </xf>
    <xf numFmtId="226" fontId="63" fillId="0" borderId="0" applyFont="0" applyFill="0" applyBorder="0" applyProtection="0">
      <alignment horizontal="left"/>
    </xf>
    <xf numFmtId="10" fontId="43" fillId="11" borderId="14" applyNumberFormat="0" applyBorder="0" applyAlignment="0" applyProtection="0"/>
    <xf numFmtId="5" fontId="94" fillId="0" borderId="0" applyBorder="0"/>
    <xf numFmtId="209" fontId="94" fillId="0" borderId="0" applyBorder="0"/>
    <xf numFmtId="7" fontId="94" fillId="0" borderId="0" applyBorder="0"/>
    <xf numFmtId="37" fontId="94" fillId="0" borderId="0" applyBorder="0"/>
    <xf numFmtId="190" fontId="94" fillId="0" borderId="0" applyBorder="0"/>
    <xf numFmtId="219" fontId="94" fillId="0" borderId="0" applyBorder="0"/>
    <xf numFmtId="39" fontId="94" fillId="0" borderId="0" applyBorder="0"/>
    <xf numFmtId="220" fontId="94" fillId="0" borderId="0" applyBorder="0"/>
    <xf numFmtId="221" fontId="86" fillId="0" borderId="3" applyNumberFormat="0" applyFont="0" applyFill="0" applyAlignment="0" applyProtection="0"/>
    <xf numFmtId="221" fontId="95" fillId="0" borderId="0"/>
    <xf numFmtId="227" fontId="30" fillId="0" borderId="0" applyFont="0" applyFill="0" applyBorder="0" applyAlignment="0" applyProtection="0"/>
    <xf numFmtId="228" fontId="30" fillId="0" borderId="0" applyFont="0" applyFill="0" applyBorder="0" applyAlignment="0" applyProtection="0"/>
    <xf numFmtId="229" fontId="30" fillId="0" borderId="0" applyFont="0" applyFill="0" applyBorder="0" applyAlignment="0" applyProtection="0"/>
    <xf numFmtId="230" fontId="30" fillId="0" borderId="0" applyFont="0" applyFill="0" applyBorder="0" applyAlignment="0" applyProtection="0"/>
    <xf numFmtId="221" fontId="30" fillId="0" borderId="0" applyFont="0" applyFill="0" applyBorder="0" applyAlignment="0" applyProtection="0">
      <alignment horizontal="right"/>
    </xf>
    <xf numFmtId="231" fontId="30" fillId="0" borderId="0" applyFont="0" applyFill="0" applyBorder="0" applyAlignment="0" applyProtection="0"/>
    <xf numFmtId="37" fontId="96" fillId="0" borderId="0"/>
    <xf numFmtId="221" fontId="65" fillId="0" borderId="0"/>
    <xf numFmtId="221" fontId="30" fillId="0" borderId="0"/>
    <xf numFmtId="221" fontId="30" fillId="0" borderId="0"/>
    <xf numFmtId="173" fontId="19" fillId="0" borderId="0" applyProtection="0"/>
    <xf numFmtId="221" fontId="30" fillId="0" borderId="0"/>
    <xf numFmtId="221" fontId="30" fillId="0" borderId="0"/>
    <xf numFmtId="221" fontId="30" fillId="0" borderId="0"/>
    <xf numFmtId="221" fontId="20" fillId="12" borderId="0" applyNumberFormat="0" applyFont="0" applyBorder="0" applyAlignment="0"/>
    <xf numFmtId="232" fontId="30" fillId="0" borderId="0" applyFont="0" applyFill="0" applyBorder="0" applyAlignment="0" applyProtection="0"/>
    <xf numFmtId="233" fontId="97" fillId="0" borderId="0"/>
    <xf numFmtId="232" fontId="30" fillId="0" borderId="0" applyFont="0" applyFill="0" applyBorder="0" applyAlignment="0" applyProtection="0"/>
    <xf numFmtId="232" fontId="30" fillId="0" borderId="0" applyFont="0" applyFill="0" applyBorder="0" applyAlignment="0" applyProtection="0"/>
    <xf numFmtId="232" fontId="30" fillId="0" borderId="0" applyFont="0" applyFill="0" applyBorder="0" applyAlignment="0" applyProtection="0"/>
    <xf numFmtId="234" fontId="30" fillId="0" borderId="0"/>
    <xf numFmtId="235" fontId="65" fillId="0" borderId="0"/>
    <xf numFmtId="235" fontId="65" fillId="0" borderId="0"/>
    <xf numFmtId="233" fontId="97" fillId="0" borderId="0"/>
    <xf numFmtId="221" fontId="65" fillId="0" borderId="0"/>
    <xf numFmtId="233" fontId="83" fillId="0" borderId="0"/>
    <xf numFmtId="234" fontId="30" fillId="0" borderId="0"/>
    <xf numFmtId="235" fontId="65" fillId="0" borderId="0"/>
    <xf numFmtId="235" fontId="65" fillId="0" borderId="0"/>
    <xf numFmtId="221" fontId="65" fillId="0" borderId="0"/>
    <xf numFmtId="221" fontId="65" fillId="0" borderId="0"/>
    <xf numFmtId="236" fontId="65" fillId="0" borderId="0"/>
    <xf numFmtId="170" fontId="65" fillId="0" borderId="0"/>
    <xf numFmtId="237" fontId="65" fillId="0" borderId="0"/>
    <xf numFmtId="236" fontId="65" fillId="0" borderId="0"/>
    <xf numFmtId="170" fontId="65" fillId="0" borderId="0"/>
    <xf numFmtId="238" fontId="65" fillId="0" borderId="0"/>
    <xf numFmtId="238" fontId="65" fillId="0" borderId="0"/>
    <xf numFmtId="239" fontId="65" fillId="0" borderId="0"/>
    <xf numFmtId="237" fontId="65" fillId="0" borderId="0"/>
    <xf numFmtId="169" fontId="65" fillId="0" borderId="0"/>
    <xf numFmtId="239" fontId="65" fillId="0" borderId="0"/>
    <xf numFmtId="239" fontId="65" fillId="0" borderId="0"/>
    <xf numFmtId="221" fontId="65" fillId="0" borderId="0"/>
    <xf numFmtId="232" fontId="30" fillId="0" borderId="0" applyFont="0" applyFill="0" applyBorder="0" applyAlignment="0" applyProtection="0"/>
    <xf numFmtId="232" fontId="30" fillId="0" borderId="0" applyFont="0" applyFill="0" applyBorder="0" applyAlignment="0" applyProtection="0"/>
    <xf numFmtId="232" fontId="30" fillId="0" borderId="0" applyFont="0" applyFill="0" applyBorder="0" applyAlignment="0" applyProtection="0"/>
    <xf numFmtId="233" fontId="97" fillId="0" borderId="0"/>
    <xf numFmtId="233" fontId="97" fillId="0" borderId="0"/>
    <xf numFmtId="232" fontId="30" fillId="0" borderId="0" applyFont="0" applyFill="0" applyBorder="0" applyAlignment="0" applyProtection="0"/>
    <xf numFmtId="233" fontId="97" fillId="0" borderId="0"/>
    <xf numFmtId="233" fontId="97" fillId="0" borderId="0"/>
    <xf numFmtId="236" fontId="65" fillId="0" borderId="0"/>
    <xf numFmtId="170" fontId="65" fillId="0" borderId="0"/>
    <xf numFmtId="237" fontId="65" fillId="0" borderId="0"/>
    <xf numFmtId="236" fontId="65" fillId="0" borderId="0"/>
    <xf numFmtId="170" fontId="65" fillId="0" borderId="0"/>
    <xf numFmtId="238" fontId="65" fillId="0" borderId="0"/>
    <xf numFmtId="238" fontId="65" fillId="0" borderId="0"/>
    <xf numFmtId="239" fontId="65" fillId="0" borderId="0"/>
    <xf numFmtId="237" fontId="65" fillId="0" borderId="0"/>
    <xf numFmtId="169" fontId="65" fillId="0" borderId="0"/>
    <xf numFmtId="239" fontId="65" fillId="0" borderId="0"/>
    <xf numFmtId="239" fontId="65" fillId="0" borderId="0"/>
    <xf numFmtId="240" fontId="62" fillId="5" borderId="0" applyFont="0" applyFill="0" applyBorder="0" applyAlignment="0" applyProtection="0"/>
    <xf numFmtId="241" fontId="62" fillId="5" borderId="0" applyFont="0" applyFill="0" applyBorder="0" applyAlignment="0" applyProtection="0"/>
    <xf numFmtId="242" fontId="30" fillId="0" borderId="0" applyFont="0" applyFill="0" applyBorder="0" applyAlignment="0" applyProtection="0"/>
    <xf numFmtId="243" fontId="82" fillId="0" borderId="0" applyFont="0" applyFill="0" applyBorder="0" applyAlignment="0" applyProtection="0"/>
    <xf numFmtId="244" fontId="81" fillId="0" borderId="0" applyFont="0" applyFill="0" applyBorder="0" applyAlignment="0" applyProtection="0"/>
    <xf numFmtId="245" fontId="30" fillId="0" borderId="0" applyFont="0" applyFill="0" applyBorder="0" applyAlignment="0" applyProtection="0"/>
    <xf numFmtId="246" fontId="63" fillId="0" borderId="0" applyFont="0" applyFill="0" applyBorder="0" applyAlignment="0" applyProtection="0"/>
    <xf numFmtId="247" fontId="63" fillId="0" borderId="0" applyFont="0" applyFill="0" applyBorder="0" applyAlignment="0" applyProtection="0"/>
    <xf numFmtId="248" fontId="63" fillId="0" borderId="0" applyFont="0" applyFill="0" applyBorder="0" applyAlignment="0" applyProtection="0"/>
    <xf numFmtId="249" fontId="63" fillId="0" borderId="0" applyFont="0" applyFill="0" applyBorder="0" applyAlignment="0" applyProtection="0"/>
    <xf numFmtId="250" fontId="82" fillId="0" borderId="0" applyFont="0" applyFill="0" applyBorder="0" applyAlignment="0" applyProtection="0"/>
    <xf numFmtId="251" fontId="81" fillId="0" borderId="0" applyFont="0" applyFill="0" applyBorder="0" applyAlignment="0" applyProtection="0"/>
    <xf numFmtId="252" fontId="82" fillId="0" borderId="0" applyFont="0" applyFill="0" applyBorder="0" applyAlignment="0" applyProtection="0"/>
    <xf numFmtId="253" fontId="81" fillId="0" borderId="0" applyFont="0" applyFill="0" applyBorder="0" applyAlignment="0" applyProtection="0"/>
    <xf numFmtId="254" fontId="82" fillId="0" borderId="0" applyFont="0" applyFill="0" applyBorder="0" applyAlignment="0" applyProtection="0"/>
    <xf numFmtId="255" fontId="81" fillId="0" borderId="0" applyFont="0" applyFill="0" applyBorder="0" applyAlignment="0" applyProtection="0"/>
    <xf numFmtId="256" fontId="47" fillId="0" borderId="0" applyFont="0" applyFill="0" applyBorder="0" applyAlignment="0" applyProtection="0">
      <protection locked="0"/>
    </xf>
    <xf numFmtId="257" fontId="8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84" fontId="83" fillId="0" borderId="0" applyFill="0" applyBorder="0" applyAlignment="0" applyProtection="0"/>
    <xf numFmtId="9" fontId="87" fillId="0" borderId="0" applyBorder="0"/>
    <xf numFmtId="258" fontId="87" fillId="0" borderId="0" applyBorder="0"/>
    <xf numFmtId="10" fontId="87" fillId="0" borderId="0" applyBorder="0"/>
    <xf numFmtId="221"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3" fontId="30" fillId="0" borderId="0">
      <alignment horizontal="left" vertical="top"/>
    </xf>
    <xf numFmtId="221" fontId="98" fillId="0" borderId="1">
      <alignment horizontal="center"/>
    </xf>
    <xf numFmtId="3" fontId="51" fillId="0" borderId="0" applyFont="0" applyFill="0" applyBorder="0" applyAlignment="0" applyProtection="0"/>
    <xf numFmtId="221" fontId="51" fillId="13" borderId="0" applyNumberFormat="0" applyFont="0" applyBorder="0" applyAlignment="0" applyProtection="0"/>
    <xf numFmtId="3" fontId="30" fillId="0" borderId="0">
      <alignment horizontal="right" vertical="top"/>
    </xf>
    <xf numFmtId="41" fontId="22" fillId="14" borderId="17" applyFill="0"/>
    <xf numFmtId="221" fontId="99" fillId="0" borderId="0">
      <alignment horizontal="left" indent="7"/>
    </xf>
    <xf numFmtId="41" fontId="22" fillId="0" borderId="17" applyFill="0">
      <alignment horizontal="left" indent="2"/>
    </xf>
    <xf numFmtId="173" fontId="79" fillId="0" borderId="6" applyFill="0">
      <alignment horizontal="right"/>
    </xf>
    <xf numFmtId="221" fontId="34" fillId="0" borderId="14" applyNumberFormat="0" applyFont="0" applyBorder="0">
      <alignment horizontal="right"/>
    </xf>
    <xf numFmtId="221" fontId="100" fillId="0" borderId="0" applyFill="0"/>
    <xf numFmtId="221" fontId="24" fillId="0" borderId="0" applyFill="0"/>
    <xf numFmtId="4" fontId="79" fillId="0" borderId="6" applyFill="0"/>
    <xf numFmtId="221" fontId="30" fillId="0" borderId="0" applyNumberFormat="0" applyFont="0" applyBorder="0" applyAlignment="0"/>
    <xf numFmtId="221" fontId="69" fillId="0" borderId="0" applyFill="0">
      <alignment horizontal="left" indent="1"/>
    </xf>
    <xf numFmtId="221" fontId="101" fillId="0" borderId="0" applyFill="0">
      <alignment horizontal="left" indent="1"/>
    </xf>
    <xf numFmtId="4" fontId="62" fillId="0" borderId="0" applyFill="0"/>
    <xf numFmtId="221" fontId="30" fillId="0" borderId="0" applyNumberFormat="0" applyFont="0" applyFill="0" applyBorder="0" applyAlignment="0"/>
    <xf numFmtId="221" fontId="69" fillId="0" borderId="0" applyFill="0">
      <alignment horizontal="left" indent="2"/>
    </xf>
    <xf numFmtId="221" fontId="24" fillId="0" borderId="0" applyFill="0">
      <alignment horizontal="left" indent="2"/>
    </xf>
    <xf numFmtId="4" fontId="62" fillId="0" borderId="0" applyFill="0"/>
    <xf numFmtId="221" fontId="30" fillId="0" borderId="0" applyNumberFormat="0" applyFont="0" applyBorder="0" applyAlignment="0"/>
    <xf numFmtId="221" fontId="102" fillId="0" borderId="0">
      <alignment horizontal="left" indent="3"/>
    </xf>
    <xf numFmtId="221" fontId="26" fillId="0" borderId="0" applyFill="0">
      <alignment horizontal="left" indent="3"/>
    </xf>
    <xf numFmtId="4" fontId="62" fillId="0" borderId="0" applyFill="0"/>
    <xf numFmtId="221" fontId="30" fillId="0" borderId="0" applyNumberFormat="0" applyFont="0" applyBorder="0" applyAlignment="0"/>
    <xf numFmtId="221" fontId="71" fillId="0" borderId="0">
      <alignment horizontal="left" indent="4"/>
    </xf>
    <xf numFmtId="221" fontId="30" fillId="0" borderId="0" applyFill="0">
      <alignment horizontal="left" indent="4"/>
    </xf>
    <xf numFmtId="4" fontId="72" fillId="0" borderId="0" applyFill="0"/>
    <xf numFmtId="221" fontId="30" fillId="0" borderId="0" applyNumberFormat="0" applyFont="0" applyBorder="0" applyAlignment="0"/>
    <xf numFmtId="221" fontId="73" fillId="0" borderId="0">
      <alignment horizontal="left" indent="5"/>
    </xf>
    <xf numFmtId="221" fontId="74" fillId="0" borderId="0" applyFill="0">
      <alignment horizontal="left" indent="5"/>
    </xf>
    <xf numFmtId="4" fontId="75" fillId="0" borderId="0" applyFill="0"/>
    <xf numFmtId="221" fontId="30" fillId="0" borderId="0" applyNumberFormat="0" applyFont="0" applyFill="0" applyBorder="0" applyAlignment="0"/>
    <xf numFmtId="221" fontId="76" fillId="0" borderId="0" applyFill="0">
      <alignment horizontal="left" indent="6"/>
    </xf>
    <xf numFmtId="221" fontId="72" fillId="0" borderId="0" applyFill="0">
      <alignment horizontal="left" indent="6"/>
    </xf>
    <xf numFmtId="221" fontId="86" fillId="0" borderId="4" applyNumberFormat="0" applyFont="0" applyFill="0" applyAlignment="0" applyProtection="0"/>
    <xf numFmtId="221" fontId="103" fillId="0" borderId="0" applyNumberFormat="0" applyFill="0" applyBorder="0" applyAlignment="0" applyProtection="0"/>
    <xf numFmtId="221" fontId="104" fillId="0" borderId="0"/>
    <xf numFmtId="221" fontId="104" fillId="0" borderId="0"/>
    <xf numFmtId="221" fontId="105" fillId="0" borderId="1">
      <alignment horizontal="right"/>
    </xf>
    <xf numFmtId="259" fontId="84" fillId="0" borderId="0">
      <alignment horizontal="center"/>
    </xf>
    <xf numFmtId="260" fontId="106" fillId="0" borderId="0">
      <alignment horizontal="center"/>
    </xf>
    <xf numFmtId="221" fontId="107" fillId="0" borderId="0" applyNumberFormat="0" applyFill="0" applyBorder="0" applyAlignment="0" applyProtection="0"/>
    <xf numFmtId="221" fontId="108" fillId="0" borderId="0" applyNumberFormat="0" applyBorder="0" applyAlignment="0"/>
    <xf numFmtId="221" fontId="109" fillId="0" borderId="0" applyNumberFormat="0" applyBorder="0" applyAlignment="0"/>
    <xf numFmtId="221" fontId="86" fillId="7" borderId="0" applyNumberFormat="0" applyFont="0" applyBorder="0" applyAlignment="0" applyProtection="0"/>
    <xf numFmtId="240" fontId="110" fillId="0" borderId="16" applyNumberFormat="0" applyFont="0" applyFill="0" applyAlignment="0" applyProtection="0"/>
    <xf numFmtId="221" fontId="111" fillId="0" borderId="0" applyFill="0" applyBorder="0" applyProtection="0">
      <alignment horizontal="left" vertical="top"/>
    </xf>
    <xf numFmtId="221" fontId="112" fillId="0" borderId="0" applyAlignment="0">
      <alignment horizontal="centerContinuous"/>
    </xf>
    <xf numFmtId="221" fontId="30" fillId="0" borderId="10" applyNumberFormat="0" applyFont="0" applyFill="0" applyAlignment="0" applyProtection="0"/>
    <xf numFmtId="221" fontId="113" fillId="0" borderId="0" applyNumberFormat="0" applyFill="0" applyBorder="0" applyAlignment="0" applyProtection="0"/>
    <xf numFmtId="261" fontId="81" fillId="0" borderId="0" applyFont="0" applyFill="0" applyBorder="0" applyAlignment="0" applyProtection="0"/>
    <xf numFmtId="262" fontId="81" fillId="0" borderId="0" applyFont="0" applyFill="0" applyBorder="0" applyAlignment="0" applyProtection="0"/>
    <xf numFmtId="263" fontId="81" fillId="0" borderId="0" applyFont="0" applyFill="0" applyBorder="0" applyAlignment="0" applyProtection="0"/>
    <xf numFmtId="264" fontId="81" fillId="0" borderId="0" applyFont="0" applyFill="0" applyBorder="0" applyAlignment="0" applyProtection="0"/>
    <xf numFmtId="265" fontId="81" fillId="0" borderId="0" applyFont="0" applyFill="0" applyBorder="0" applyAlignment="0" applyProtection="0"/>
    <xf numFmtId="266" fontId="81" fillId="0" borderId="0" applyFont="0" applyFill="0" applyBorder="0" applyAlignment="0" applyProtection="0"/>
    <xf numFmtId="267" fontId="81" fillId="0" borderId="0" applyFont="0" applyFill="0" applyBorder="0" applyAlignment="0" applyProtection="0"/>
    <xf numFmtId="268" fontId="81" fillId="0" borderId="0" applyFont="0" applyFill="0" applyBorder="0" applyAlignment="0" applyProtection="0"/>
    <xf numFmtId="269" fontId="114" fillId="7" borderId="21" applyFont="0" applyFill="0" applyBorder="0" applyAlignment="0" applyProtection="0"/>
    <xf numFmtId="269" fontId="65" fillId="0" borderId="0" applyFont="0" applyFill="0" applyBorder="0" applyAlignment="0" applyProtection="0"/>
    <xf numFmtId="270" fontId="78" fillId="0" borderId="0" applyFont="0" applyFill="0" applyBorder="0" applyAlignment="0" applyProtection="0"/>
    <xf numFmtId="271" fontId="84" fillId="0" borderId="16" applyFont="0" applyFill="0" applyBorder="0" applyAlignment="0" applyProtection="0">
      <alignment horizontal="right"/>
      <protection locked="0"/>
    </xf>
    <xf numFmtId="173" fontId="19" fillId="0" borderId="0" applyProtection="0"/>
    <xf numFmtId="221" fontId="117" fillId="0" borderId="0"/>
    <xf numFmtId="43" fontId="19" fillId="0" borderId="0" applyFont="0" applyFill="0" applyBorder="0" applyAlignment="0" applyProtection="0"/>
    <xf numFmtId="221" fontId="18" fillId="0" borderId="0"/>
    <xf numFmtId="221" fontId="123" fillId="0" borderId="0"/>
    <xf numFmtId="221" fontId="127"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44" fontId="30" fillId="0" borderId="0" applyFont="0" applyFill="0" applyBorder="0" applyAlignment="0" applyProtection="0"/>
    <xf numFmtId="43" fontId="30" fillId="0" borderId="0" applyFont="0" applyFill="0" applyBorder="0" applyAlignment="0" applyProtection="0"/>
    <xf numFmtId="221" fontId="30" fillId="0" borderId="0"/>
    <xf numFmtId="221" fontId="17" fillId="0" borderId="0"/>
    <xf numFmtId="221" fontId="127" fillId="0" borderId="0"/>
    <xf numFmtId="221" fontId="127" fillId="0" borderId="0"/>
    <xf numFmtId="221" fontId="30" fillId="0" borderId="0"/>
    <xf numFmtId="44" fontId="30" fillId="0" borderId="0" applyFont="0" applyFill="0" applyBorder="0" applyAlignment="0" applyProtection="0"/>
    <xf numFmtId="221" fontId="30" fillId="0" borderId="0"/>
    <xf numFmtId="44" fontId="30" fillId="0" borderId="0" applyFont="0" applyFill="0" applyBorder="0" applyAlignment="0" applyProtection="0"/>
    <xf numFmtId="221" fontId="30" fillId="0" borderId="0"/>
    <xf numFmtId="44" fontId="30" fillId="0" borderId="0" applyFont="0" applyFill="0" applyBorder="0" applyAlignment="0" applyProtection="0"/>
    <xf numFmtId="221" fontId="30" fillId="0" borderId="0"/>
    <xf numFmtId="44" fontId="30" fillId="0" borderId="0" applyFont="0" applyFill="0" applyBorder="0" applyAlignment="0" applyProtection="0"/>
    <xf numFmtId="221" fontId="30" fillId="0" borderId="0"/>
    <xf numFmtId="44" fontId="30" fillId="0" borderId="0" applyFont="0" applyFill="0" applyBorder="0" applyAlignment="0" applyProtection="0"/>
    <xf numFmtId="221" fontId="30" fillId="0" borderId="0"/>
    <xf numFmtId="44" fontId="30" fillId="0" borderId="0" applyFont="0" applyFill="0" applyBorder="0" applyAlignment="0" applyProtection="0"/>
    <xf numFmtId="43" fontId="30" fillId="0" borderId="0" applyFont="0" applyFill="0" applyBorder="0" applyAlignment="0" applyProtection="0"/>
    <xf numFmtId="221" fontId="30" fillId="0" borderId="0"/>
    <xf numFmtId="43" fontId="30" fillId="0" borderId="0" applyFont="0" applyFill="0" applyBorder="0" applyAlignment="0" applyProtection="0"/>
    <xf numFmtId="221" fontId="16" fillId="0" borderId="0"/>
    <xf numFmtId="221" fontId="15" fillId="0" borderId="0"/>
    <xf numFmtId="221" fontId="127" fillId="0" borderId="0"/>
    <xf numFmtId="43" fontId="12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21" fontId="15" fillId="0" borderId="0"/>
    <xf numFmtId="43" fontId="30" fillId="0" borderId="0" applyFont="0" applyFill="0" applyBorder="0" applyAlignment="0" applyProtection="0"/>
    <xf numFmtId="221" fontId="30" fillId="0" borderId="0"/>
    <xf numFmtId="221" fontId="30" fillId="0" borderId="0"/>
    <xf numFmtId="221"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21" fontId="14"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21" fontId="13" fillId="0" borderId="0"/>
    <xf numFmtId="43" fontId="30" fillId="0" borderId="0" applyFont="0" applyFill="0" applyBorder="0" applyAlignment="0" applyProtection="0"/>
    <xf numFmtId="221" fontId="12" fillId="0" borderId="0"/>
    <xf numFmtId="43" fontId="30" fillId="0" borderId="0" applyFont="0" applyFill="0" applyBorder="0" applyAlignment="0" applyProtection="0"/>
    <xf numFmtId="221"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21" fontId="30" fillId="0" borderId="0"/>
    <xf numFmtId="43" fontId="30" fillId="0" borderId="0" applyFont="0" applyFill="0" applyBorder="0" applyAlignment="0" applyProtection="0"/>
    <xf numFmtId="44" fontId="30" fillId="0" borderId="0" applyFont="0" applyFill="0" applyBorder="0" applyAlignment="0" applyProtection="0"/>
    <xf numFmtId="43" fontId="30" fillId="0" borderId="0" applyFont="0" applyFill="0" applyBorder="0" applyAlignment="0" applyProtection="0"/>
    <xf numFmtId="43" fontId="127" fillId="0" borderId="0" applyFont="0" applyFill="0" applyBorder="0" applyAlignment="0" applyProtection="0"/>
    <xf numFmtId="221" fontId="51"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221" fontId="11" fillId="0" borderId="0"/>
    <xf numFmtId="221" fontId="30" fillId="0" borderId="0"/>
    <xf numFmtId="221" fontId="11" fillId="0" borderId="0"/>
    <xf numFmtId="43" fontId="30" fillId="0" borderId="0" applyFont="0" applyFill="0" applyBorder="0" applyAlignment="0" applyProtection="0"/>
    <xf numFmtId="221" fontId="11" fillId="0" borderId="0"/>
    <xf numFmtId="221" fontId="11" fillId="0" borderId="0"/>
    <xf numFmtId="43" fontId="30" fillId="0" borderId="0" applyFont="0" applyFill="0" applyBorder="0" applyAlignment="0" applyProtection="0"/>
    <xf numFmtId="221" fontId="11" fillId="0" borderId="0"/>
    <xf numFmtId="43" fontId="30" fillId="0" borderId="0" applyFont="0" applyFill="0" applyBorder="0" applyAlignment="0" applyProtection="0"/>
    <xf numFmtId="221" fontId="11" fillId="0" borderId="0"/>
    <xf numFmtId="221" fontId="11" fillId="0" borderId="0"/>
    <xf numFmtId="221" fontId="11" fillId="0" borderId="0"/>
    <xf numFmtId="221" fontId="11" fillId="0" borderId="0"/>
    <xf numFmtId="221" fontId="11" fillId="0" borderId="0"/>
    <xf numFmtId="43" fontId="30" fillId="0" borderId="0" applyFont="0" applyFill="0" applyBorder="0" applyAlignment="0" applyProtection="0"/>
    <xf numFmtId="221" fontId="11" fillId="0" borderId="0"/>
    <xf numFmtId="43" fontId="30" fillId="0" borderId="0" applyFont="0" applyFill="0" applyBorder="0" applyAlignment="0" applyProtection="0"/>
    <xf numFmtId="221" fontId="11" fillId="0" borderId="0"/>
    <xf numFmtId="221" fontId="11" fillId="0" borderId="0"/>
    <xf numFmtId="221" fontId="11" fillId="0" borderId="0"/>
    <xf numFmtId="221" fontId="11" fillId="0" borderId="0"/>
    <xf numFmtId="221" fontId="11" fillId="0" borderId="0"/>
    <xf numFmtId="43" fontId="30" fillId="0" borderId="0" applyFont="0" applyFill="0" applyBorder="0" applyAlignment="0" applyProtection="0"/>
    <xf numFmtId="221" fontId="11" fillId="0" borderId="0"/>
    <xf numFmtId="221" fontId="11" fillId="0" borderId="0"/>
    <xf numFmtId="221" fontId="11" fillId="0" borderId="0"/>
    <xf numFmtId="221" fontId="11" fillId="0" borderId="0"/>
    <xf numFmtId="221" fontId="11" fillId="0" borderId="0"/>
    <xf numFmtId="221" fontId="11" fillId="0" borderId="0"/>
    <xf numFmtId="221" fontId="11" fillId="0" borderId="0"/>
    <xf numFmtId="221" fontId="11" fillId="0" borderId="0"/>
    <xf numFmtId="43" fontId="30" fillId="0" borderId="0" applyFont="0" applyFill="0" applyBorder="0" applyAlignment="0" applyProtection="0"/>
    <xf numFmtId="43" fontId="30" fillId="0" borderId="0" applyFont="0" applyFill="0" applyBorder="0" applyAlignment="0" applyProtection="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221" fontId="10" fillId="0" borderId="0"/>
    <xf numFmtId="43" fontId="30"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141" fillId="0" borderId="0" applyNumberFormat="0" applyFill="0" applyBorder="0" applyAlignment="0" applyProtection="0"/>
    <xf numFmtId="221" fontId="142" fillId="0" borderId="26" applyNumberFormat="0" applyFill="0" applyAlignment="0" applyProtection="0"/>
    <xf numFmtId="221" fontId="143" fillId="0" borderId="27" applyNumberFormat="0" applyFill="0" applyAlignment="0" applyProtection="0"/>
    <xf numFmtId="221" fontId="144" fillId="0" borderId="28" applyNumberFormat="0" applyFill="0" applyAlignment="0" applyProtection="0"/>
    <xf numFmtId="221" fontId="144" fillId="0" borderId="0" applyNumberFormat="0" applyFill="0" applyBorder="0" applyAlignment="0" applyProtection="0"/>
    <xf numFmtId="221" fontId="145" fillId="18" borderId="0" applyNumberFormat="0" applyBorder="0" applyAlignment="0" applyProtection="0"/>
    <xf numFmtId="221" fontId="146" fillId="19" borderId="0" applyNumberFormat="0" applyBorder="0" applyAlignment="0" applyProtection="0"/>
    <xf numFmtId="221" fontId="147" fillId="20" borderId="0" applyNumberFormat="0" applyBorder="0" applyAlignment="0" applyProtection="0"/>
    <xf numFmtId="221" fontId="148" fillId="21" borderId="29" applyNumberFormat="0" applyAlignment="0" applyProtection="0"/>
    <xf numFmtId="221" fontId="149" fillId="22" borderId="30" applyNumberFormat="0" applyAlignment="0" applyProtection="0"/>
    <xf numFmtId="221" fontId="150" fillId="22" borderId="29" applyNumberFormat="0" applyAlignment="0" applyProtection="0"/>
    <xf numFmtId="221" fontId="151" fillId="0" borderId="31" applyNumberFormat="0" applyFill="0" applyAlignment="0" applyProtection="0"/>
    <xf numFmtId="221" fontId="152" fillId="23" borderId="32" applyNumberFormat="0" applyAlignment="0" applyProtection="0"/>
    <xf numFmtId="221" fontId="153" fillId="0" borderId="0" applyNumberFormat="0" applyFill="0" applyBorder="0" applyAlignment="0" applyProtection="0"/>
    <xf numFmtId="221" fontId="154" fillId="0" borderId="0" applyNumberFormat="0" applyFill="0" applyBorder="0" applyAlignment="0" applyProtection="0"/>
    <xf numFmtId="221" fontId="155" fillId="0" borderId="34" applyNumberFormat="0" applyFill="0" applyAlignment="0" applyProtection="0"/>
    <xf numFmtId="221" fontId="156" fillId="25" borderId="0" applyNumberFormat="0" applyBorder="0" applyAlignment="0" applyProtection="0"/>
    <xf numFmtId="221" fontId="8" fillId="26" borderId="0" applyNumberFormat="0" applyBorder="0" applyAlignment="0" applyProtection="0"/>
    <xf numFmtId="221" fontId="8" fillId="27" borderId="0" applyNumberFormat="0" applyBorder="0" applyAlignment="0" applyProtection="0"/>
    <xf numFmtId="221" fontId="156" fillId="28" borderId="0" applyNumberFormat="0" applyBorder="0" applyAlignment="0" applyProtection="0"/>
    <xf numFmtId="221" fontId="156" fillId="29" borderId="0" applyNumberFormat="0" applyBorder="0" applyAlignment="0" applyProtection="0"/>
    <xf numFmtId="221" fontId="8" fillId="30" borderId="0" applyNumberFormat="0" applyBorder="0" applyAlignment="0" applyProtection="0"/>
    <xf numFmtId="221" fontId="8" fillId="31" borderId="0" applyNumberFormat="0" applyBorder="0" applyAlignment="0" applyProtection="0"/>
    <xf numFmtId="221" fontId="156" fillId="32" borderId="0" applyNumberFormat="0" applyBorder="0" applyAlignment="0" applyProtection="0"/>
    <xf numFmtId="221" fontId="156" fillId="33" borderId="0" applyNumberFormat="0" applyBorder="0" applyAlignment="0" applyProtection="0"/>
    <xf numFmtId="221" fontId="8" fillId="34" borderId="0" applyNumberFormat="0" applyBorder="0" applyAlignment="0" applyProtection="0"/>
    <xf numFmtId="221" fontId="8" fillId="35" borderId="0" applyNumberFormat="0" applyBorder="0" applyAlignment="0" applyProtection="0"/>
    <xf numFmtId="221" fontId="156" fillId="36" borderId="0" applyNumberFormat="0" applyBorder="0" applyAlignment="0" applyProtection="0"/>
    <xf numFmtId="221" fontId="156" fillId="37" borderId="0" applyNumberFormat="0" applyBorder="0" applyAlignment="0" applyProtection="0"/>
    <xf numFmtId="221" fontId="8" fillId="38" borderId="0" applyNumberFormat="0" applyBorder="0" applyAlignment="0" applyProtection="0"/>
    <xf numFmtId="221" fontId="8" fillId="39" borderId="0" applyNumberFormat="0" applyBorder="0" applyAlignment="0" applyProtection="0"/>
    <xf numFmtId="221" fontId="156" fillId="40" borderId="0" applyNumberFormat="0" applyBorder="0" applyAlignment="0" applyProtection="0"/>
    <xf numFmtId="221" fontId="156" fillId="41" borderId="0" applyNumberFormat="0" applyBorder="0" applyAlignment="0" applyProtection="0"/>
    <xf numFmtId="221" fontId="8" fillId="42" borderId="0" applyNumberFormat="0" applyBorder="0" applyAlignment="0" applyProtection="0"/>
    <xf numFmtId="221" fontId="8" fillId="43" borderId="0" applyNumberFormat="0" applyBorder="0" applyAlignment="0" applyProtection="0"/>
    <xf numFmtId="221" fontId="156" fillId="44" borderId="0" applyNumberFormat="0" applyBorder="0" applyAlignment="0" applyProtection="0"/>
    <xf numFmtId="221" fontId="156" fillId="45" borderId="0" applyNumberFormat="0" applyBorder="0" applyAlignment="0" applyProtection="0"/>
    <xf numFmtId="221" fontId="8" fillId="46" borderId="0" applyNumberFormat="0" applyBorder="0" applyAlignment="0" applyProtection="0"/>
    <xf numFmtId="221" fontId="8" fillId="47" borderId="0" applyNumberFormat="0" applyBorder="0" applyAlignment="0" applyProtection="0"/>
    <xf numFmtId="221" fontId="156" fillId="48" borderId="0" applyNumberFormat="0" applyBorder="0" applyAlignment="0" applyProtection="0"/>
    <xf numFmtId="221" fontId="8" fillId="0" borderId="0"/>
    <xf numFmtId="221" fontId="8" fillId="0" borderId="0"/>
    <xf numFmtId="221" fontId="8" fillId="0" borderId="0"/>
    <xf numFmtId="221" fontId="8" fillId="0" borderId="0"/>
    <xf numFmtId="221" fontId="8" fillId="24" borderId="33" applyNumberFormat="0" applyFont="0" applyAlignment="0" applyProtection="0"/>
    <xf numFmtId="221" fontId="8" fillId="0" borderId="0"/>
    <xf numFmtId="221" fontId="8" fillId="0" borderId="0"/>
    <xf numFmtId="221" fontId="8" fillId="0" borderId="0"/>
    <xf numFmtId="221" fontId="8" fillId="0" borderId="0"/>
    <xf numFmtId="221" fontId="8" fillId="0" borderId="0"/>
    <xf numFmtId="221" fontId="8" fillId="0" borderId="0"/>
    <xf numFmtId="221"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21" fontId="7" fillId="0" borderId="0"/>
    <xf numFmtId="0" fontId="8" fillId="0" borderId="0"/>
    <xf numFmtId="0" fontId="30" fillId="0" borderId="0"/>
    <xf numFmtId="44" fontId="8" fillId="0" borderId="0" applyFont="0" applyFill="0" applyBorder="0" applyAlignment="0" applyProtection="0"/>
    <xf numFmtId="9" fontId="8" fillId="0" borderId="0" applyFont="0" applyFill="0" applyBorder="0" applyAlignment="0" applyProtection="0"/>
    <xf numFmtId="0" fontId="30" fillId="0" borderId="0"/>
    <xf numFmtId="0" fontId="161" fillId="54" borderId="0" applyNumberFormat="0" applyBorder="0" applyAlignment="0" applyProtection="0"/>
    <xf numFmtId="0" fontId="161" fillId="54"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61" fillId="54" borderId="0" applyNumberFormat="0" applyBorder="0" applyAlignment="0" applyProtection="0"/>
    <xf numFmtId="0" fontId="161" fillId="54"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61" fillId="55" borderId="0" applyNumberFormat="0" applyBorder="0" applyAlignment="0" applyProtection="0"/>
    <xf numFmtId="0" fontId="161" fillId="55"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61" fillId="55" borderId="0" applyNumberFormat="0" applyBorder="0" applyAlignment="0" applyProtection="0"/>
    <xf numFmtId="0" fontId="161" fillId="55"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61" fillId="56" borderId="0" applyNumberFormat="0" applyBorder="0" applyAlignment="0" applyProtection="0"/>
    <xf numFmtId="0" fontId="161" fillId="56"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61" fillId="56" borderId="0" applyNumberFormat="0" applyBorder="0" applyAlignment="0" applyProtection="0"/>
    <xf numFmtId="0" fontId="161" fillId="56"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61" fillId="57" borderId="0" applyNumberFormat="0" applyBorder="0" applyAlignment="0" applyProtection="0"/>
    <xf numFmtId="0" fontId="161" fillId="57"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161" fillId="57" borderId="0" applyNumberFormat="0" applyBorder="0" applyAlignment="0" applyProtection="0"/>
    <xf numFmtId="0" fontId="161" fillId="57"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8" fillId="38" borderId="0" applyNumberFormat="0" applyBorder="0" applyAlignment="0" applyProtection="0"/>
    <xf numFmtId="0" fontId="161" fillId="58" borderId="0" applyNumberFormat="0" applyBorder="0" applyAlignment="0" applyProtection="0"/>
    <xf numFmtId="0" fontId="161" fillId="58"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161" fillId="58" borderId="0" applyNumberFormat="0" applyBorder="0" applyAlignment="0" applyProtection="0"/>
    <xf numFmtId="0" fontId="161" fillId="58"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161" fillId="59" borderId="0" applyNumberFormat="0" applyBorder="0" applyAlignment="0" applyProtection="0"/>
    <xf numFmtId="0" fontId="161" fillId="59"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161" fillId="59" borderId="0" applyNumberFormat="0" applyBorder="0" applyAlignment="0" applyProtection="0"/>
    <xf numFmtId="0" fontId="161" fillId="59"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161" fillId="49" borderId="0" applyNumberFormat="0" applyBorder="0" applyAlignment="0" applyProtection="0"/>
    <xf numFmtId="0" fontId="161" fillId="49"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61" fillId="49" borderId="0" applyNumberFormat="0" applyBorder="0" applyAlignment="0" applyProtection="0"/>
    <xf numFmtId="0" fontId="161" fillId="49"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61" fillId="60" borderId="0" applyNumberFormat="0" applyBorder="0" applyAlignment="0" applyProtection="0"/>
    <xf numFmtId="0" fontId="161" fillId="6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61" fillId="60" borderId="0" applyNumberFormat="0" applyBorder="0" applyAlignment="0" applyProtection="0"/>
    <xf numFmtId="0" fontId="161" fillId="6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61" fillId="50" borderId="0" applyNumberFormat="0" applyBorder="0" applyAlignment="0" applyProtection="0"/>
    <xf numFmtId="0" fontId="161" fillId="50"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61" fillId="50" borderId="0" applyNumberFormat="0" applyBorder="0" applyAlignment="0" applyProtection="0"/>
    <xf numFmtId="0" fontId="161" fillId="50"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61" fillId="51" borderId="0" applyNumberFormat="0" applyBorder="0" applyAlignment="0" applyProtection="0"/>
    <xf numFmtId="0" fontId="161" fillId="5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61" fillId="51" borderId="0" applyNumberFormat="0" applyBorder="0" applyAlignment="0" applyProtection="0"/>
    <xf numFmtId="0" fontId="161" fillId="51"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8" fillId="39" borderId="0" applyNumberFormat="0" applyBorder="0" applyAlignment="0" applyProtection="0"/>
    <xf numFmtId="0" fontId="161" fillId="61" borderId="0" applyNumberFormat="0" applyBorder="0" applyAlignment="0" applyProtection="0"/>
    <xf numFmtId="0" fontId="161" fillId="61"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161" fillId="61" borderId="0" applyNumberFormat="0" applyBorder="0" applyAlignment="0" applyProtection="0"/>
    <xf numFmtId="0" fontId="161" fillId="61"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161" fillId="52" borderId="0" applyNumberFormat="0" applyBorder="0" applyAlignment="0" applyProtection="0"/>
    <xf numFmtId="0" fontId="161" fillId="52"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161" fillId="52" borderId="0" applyNumberFormat="0" applyBorder="0" applyAlignment="0" applyProtection="0"/>
    <xf numFmtId="0" fontId="161" fillId="52"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162" fillId="62" borderId="0" applyNumberFormat="0" applyBorder="0" applyAlignment="0" applyProtection="0"/>
    <xf numFmtId="0" fontId="162" fillId="62" borderId="0" applyNumberFormat="0" applyBorder="0" applyAlignment="0" applyProtection="0"/>
    <xf numFmtId="0" fontId="162" fillId="62" borderId="0" applyNumberFormat="0" applyBorder="0" applyAlignment="0" applyProtection="0"/>
    <xf numFmtId="0" fontId="162" fillId="62" borderId="0" applyNumberFormat="0" applyBorder="0" applyAlignment="0" applyProtection="0"/>
    <xf numFmtId="0" fontId="156" fillId="63" borderId="0" applyNumberFormat="0" applyBorder="0" applyAlignment="0" applyProtection="0"/>
    <xf numFmtId="0" fontId="162" fillId="64" borderId="0" applyNumberFormat="0" applyBorder="0" applyAlignment="0" applyProtection="0"/>
    <xf numFmtId="0" fontId="162" fillId="64" borderId="0" applyNumberFormat="0" applyBorder="0" applyAlignment="0" applyProtection="0"/>
    <xf numFmtId="0" fontId="162" fillId="64" borderId="0" applyNumberFormat="0" applyBorder="0" applyAlignment="0" applyProtection="0"/>
    <xf numFmtId="0" fontId="162" fillId="64" borderId="0" applyNumberFormat="0" applyBorder="0" applyAlignment="0" applyProtection="0"/>
    <xf numFmtId="0" fontId="156" fillId="65" borderId="0" applyNumberFormat="0" applyBorder="0" applyAlignment="0" applyProtection="0"/>
    <xf numFmtId="0" fontId="162" fillId="66" borderId="0" applyNumberFormat="0" applyBorder="0" applyAlignment="0" applyProtection="0"/>
    <xf numFmtId="0" fontId="162" fillId="66" borderId="0" applyNumberFormat="0" applyBorder="0" applyAlignment="0" applyProtection="0"/>
    <xf numFmtId="0" fontId="162" fillId="66" borderId="0" applyNumberFormat="0" applyBorder="0" applyAlignment="0" applyProtection="0"/>
    <xf numFmtId="0" fontId="162" fillId="66" borderId="0" applyNumberFormat="0" applyBorder="0" applyAlignment="0" applyProtection="0"/>
    <xf numFmtId="0" fontId="156" fillId="67" borderId="0" applyNumberFormat="0" applyBorder="0" applyAlignment="0" applyProtection="0"/>
    <xf numFmtId="0" fontId="162" fillId="68" borderId="0" applyNumberFormat="0" applyBorder="0" applyAlignment="0" applyProtection="0"/>
    <xf numFmtId="0" fontId="162" fillId="68" borderId="0" applyNumberFormat="0" applyBorder="0" applyAlignment="0" applyProtection="0"/>
    <xf numFmtId="0" fontId="162" fillId="68" borderId="0" applyNumberFormat="0" applyBorder="0" applyAlignment="0" applyProtection="0"/>
    <xf numFmtId="0" fontId="162" fillId="68" borderId="0" applyNumberFormat="0" applyBorder="0" applyAlignment="0" applyProtection="0"/>
    <xf numFmtId="0" fontId="156" fillId="69" borderId="0" applyNumberFormat="0" applyBorder="0" applyAlignment="0" applyProtection="0"/>
    <xf numFmtId="0" fontId="162" fillId="70" borderId="0" applyNumberFormat="0" applyBorder="0" applyAlignment="0" applyProtection="0"/>
    <xf numFmtId="0" fontId="162" fillId="70" borderId="0" applyNumberFormat="0" applyBorder="0" applyAlignment="0" applyProtection="0"/>
    <xf numFmtId="0" fontId="162" fillId="70" borderId="0" applyNumberFormat="0" applyBorder="0" applyAlignment="0" applyProtection="0"/>
    <xf numFmtId="0" fontId="162" fillId="70" borderId="0" applyNumberFormat="0" applyBorder="0" applyAlignment="0" applyProtection="0"/>
    <xf numFmtId="0" fontId="156" fillId="71" borderId="0" applyNumberFormat="0" applyBorder="0" applyAlignment="0" applyProtection="0"/>
    <xf numFmtId="0" fontId="162" fillId="72" borderId="0" applyNumberFormat="0" applyBorder="0" applyAlignment="0" applyProtection="0"/>
    <xf numFmtId="0" fontId="162" fillId="72" borderId="0" applyNumberFormat="0" applyBorder="0" applyAlignment="0" applyProtection="0"/>
    <xf numFmtId="0" fontId="162" fillId="72" borderId="0" applyNumberFormat="0" applyBorder="0" applyAlignment="0" applyProtection="0"/>
    <xf numFmtId="0" fontId="162" fillId="72" borderId="0" applyNumberFormat="0" applyBorder="0" applyAlignment="0" applyProtection="0"/>
    <xf numFmtId="0" fontId="156" fillId="73" borderId="0" applyNumberFormat="0" applyBorder="0" applyAlignment="0" applyProtection="0"/>
    <xf numFmtId="0" fontId="162" fillId="74" borderId="0" applyNumberFormat="0" applyBorder="0" applyAlignment="0" applyProtection="0"/>
    <xf numFmtId="0" fontId="162" fillId="74" borderId="0" applyNumberFormat="0" applyBorder="0" applyAlignment="0" applyProtection="0"/>
    <xf numFmtId="0" fontId="162" fillId="74" borderId="0" applyNumberFormat="0" applyBorder="0" applyAlignment="0" applyProtection="0"/>
    <xf numFmtId="0" fontId="162" fillId="74" borderId="0" applyNumberFormat="0" applyBorder="0" applyAlignment="0" applyProtection="0"/>
    <xf numFmtId="0" fontId="156" fillId="75" borderId="0" applyNumberFormat="0" applyBorder="0" applyAlignment="0" applyProtection="0"/>
    <xf numFmtId="0" fontId="162" fillId="76" borderId="0" applyNumberFormat="0" applyBorder="0" applyAlignment="0" applyProtection="0"/>
    <xf numFmtId="0" fontId="162" fillId="76" borderId="0" applyNumberFormat="0" applyBorder="0" applyAlignment="0" applyProtection="0"/>
    <xf numFmtId="0" fontId="162" fillId="76" borderId="0" applyNumberFormat="0" applyBorder="0" applyAlignment="0" applyProtection="0"/>
    <xf numFmtId="0" fontId="162" fillId="76" borderId="0" applyNumberFormat="0" applyBorder="0" applyAlignment="0" applyProtection="0"/>
    <xf numFmtId="0" fontId="156" fillId="77" borderId="0" applyNumberFormat="0" applyBorder="0" applyAlignment="0" applyProtection="0"/>
    <xf numFmtId="0" fontId="162" fillId="78" borderId="0" applyNumberFormat="0" applyBorder="0" applyAlignment="0" applyProtection="0"/>
    <xf numFmtId="0" fontId="162" fillId="78" borderId="0" applyNumberFormat="0" applyBorder="0" applyAlignment="0" applyProtection="0"/>
    <xf numFmtId="0" fontId="162" fillId="78" borderId="0" applyNumberFormat="0" applyBorder="0" applyAlignment="0" applyProtection="0"/>
    <xf numFmtId="0" fontId="162" fillId="78" borderId="0" applyNumberFormat="0" applyBorder="0" applyAlignment="0" applyProtection="0"/>
    <xf numFmtId="0" fontId="156" fillId="79" borderId="0" applyNumberFormat="0" applyBorder="0" applyAlignment="0" applyProtection="0"/>
    <xf numFmtId="0" fontId="162" fillId="80" borderId="0" applyNumberFormat="0" applyBorder="0" applyAlignment="0" applyProtection="0"/>
    <xf numFmtId="0" fontId="162" fillId="80" borderId="0" applyNumberFormat="0" applyBorder="0" applyAlignment="0" applyProtection="0"/>
    <xf numFmtId="0" fontId="162" fillId="80" borderId="0" applyNumberFormat="0" applyBorder="0" applyAlignment="0" applyProtection="0"/>
    <xf numFmtId="0" fontId="162" fillId="80" borderId="0" applyNumberFormat="0" applyBorder="0" applyAlignment="0" applyProtection="0"/>
    <xf numFmtId="0" fontId="156" fillId="69" borderId="0" applyNumberFormat="0" applyBorder="0" applyAlignment="0" applyProtection="0"/>
    <xf numFmtId="0" fontId="162" fillId="81" borderId="0" applyNumberFormat="0" applyBorder="0" applyAlignment="0" applyProtection="0"/>
    <xf numFmtId="0" fontId="162" fillId="81" borderId="0" applyNumberFormat="0" applyBorder="0" applyAlignment="0" applyProtection="0"/>
    <xf numFmtId="0" fontId="162" fillId="81" borderId="0" applyNumberFormat="0" applyBorder="0" applyAlignment="0" applyProtection="0"/>
    <xf numFmtId="0" fontId="162" fillId="81" borderId="0" applyNumberFormat="0" applyBorder="0" applyAlignment="0" applyProtection="0"/>
    <xf numFmtId="0" fontId="162" fillId="82" borderId="0" applyNumberFormat="0" applyBorder="0" applyAlignment="0" applyProtection="0"/>
    <xf numFmtId="0" fontId="162" fillId="82" borderId="0" applyNumberFormat="0" applyBorder="0" applyAlignment="0" applyProtection="0"/>
    <xf numFmtId="0" fontId="162" fillId="82" borderId="0" applyNumberFormat="0" applyBorder="0" applyAlignment="0" applyProtection="0"/>
    <xf numFmtId="0" fontId="162" fillId="82" borderId="0" applyNumberFormat="0" applyBorder="0" applyAlignment="0" applyProtection="0"/>
    <xf numFmtId="0" fontId="156" fillId="83" borderId="0" applyNumberFormat="0" applyBorder="0" applyAlignment="0" applyProtection="0"/>
    <xf numFmtId="275" fontId="30" fillId="84" borderId="35">
      <alignment horizontal="center" vertical="center"/>
    </xf>
    <xf numFmtId="0" fontId="163" fillId="85" borderId="0" applyNumberFormat="0" applyBorder="0" applyAlignment="0" applyProtection="0"/>
    <xf numFmtId="0" fontId="163" fillId="85" borderId="0" applyNumberFormat="0" applyBorder="0" applyAlignment="0" applyProtection="0"/>
    <xf numFmtId="0" fontId="163" fillId="85" borderId="0" applyNumberFormat="0" applyBorder="0" applyAlignment="0" applyProtection="0"/>
    <xf numFmtId="0" fontId="163" fillId="85" borderId="0" applyNumberFormat="0" applyBorder="0" applyAlignment="0" applyProtection="0"/>
    <xf numFmtId="0" fontId="146" fillId="86" borderId="0" applyNumberFormat="0" applyBorder="0" applyAlignment="0" applyProtection="0"/>
    <xf numFmtId="49" fontId="164" fillId="0" borderId="0" applyFont="0" applyFill="0" applyBorder="0" applyAlignment="0" applyProtection="0">
      <alignment horizontal="left"/>
    </xf>
    <xf numFmtId="276" fontId="62" fillId="0" borderId="0" applyAlignment="0" applyProtection="0"/>
    <xf numFmtId="258" fontId="43" fillId="0" borderId="0" applyFill="0" applyBorder="0" applyAlignment="0" applyProtection="0"/>
    <xf numFmtId="49" fontId="43" fillId="0" borderId="0" applyNumberFormat="0" applyAlignment="0" applyProtection="0">
      <alignment horizontal="left"/>
    </xf>
    <xf numFmtId="49" fontId="165" fillId="0" borderId="36" applyNumberFormat="0" applyAlignment="0" applyProtection="0">
      <alignment horizontal="left" wrapText="1"/>
    </xf>
    <xf numFmtId="49" fontId="165" fillId="0" borderId="0" applyNumberFormat="0" applyAlignment="0" applyProtection="0">
      <alignment horizontal="left" wrapText="1"/>
    </xf>
    <xf numFmtId="49" fontId="166" fillId="0" borderId="0" applyAlignment="0" applyProtection="0">
      <alignment horizontal="left"/>
    </xf>
    <xf numFmtId="0" fontId="167" fillId="87" borderId="14" applyNumberFormat="0" applyAlignment="0" applyProtection="0"/>
    <xf numFmtId="0" fontId="167" fillId="87" borderId="14" applyNumberFormat="0" applyAlignment="0" applyProtection="0"/>
    <xf numFmtId="0" fontId="167" fillId="87" borderId="14" applyNumberFormat="0" applyAlignment="0" applyProtection="0"/>
    <xf numFmtId="0" fontId="167" fillId="87" borderId="14" applyNumberFormat="0" applyAlignment="0" applyProtection="0"/>
    <xf numFmtId="0" fontId="168" fillId="88" borderId="29" applyNumberFormat="0" applyAlignment="0" applyProtection="0"/>
    <xf numFmtId="0" fontId="108" fillId="0" borderId="0" applyAlignment="0"/>
    <xf numFmtId="0" fontId="169" fillId="89" borderId="37" applyNumberFormat="0" applyAlignment="0" applyProtection="0"/>
    <xf numFmtId="0" fontId="169" fillId="89" borderId="37" applyNumberFormat="0" applyAlignment="0" applyProtection="0"/>
    <xf numFmtId="0" fontId="169" fillId="89" borderId="37" applyNumberFormat="0" applyAlignment="0" applyProtection="0"/>
    <xf numFmtId="0" fontId="169" fillId="89" borderId="37" applyNumberFormat="0" applyAlignment="0" applyProtection="0"/>
    <xf numFmtId="0" fontId="43" fillId="0" borderId="0" applyBorder="0"/>
    <xf numFmtId="0" fontId="170" fillId="90" borderId="0" applyAlignment="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2" fillId="0" borderId="0" applyNumberFormat="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0" fillId="0" borderId="0" applyFont="0" applyFill="0" applyBorder="0" applyAlignment="0" applyProtection="0"/>
    <xf numFmtId="40" fontId="171" fillId="91" borderId="0">
      <alignment horizontal="right"/>
    </xf>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0" fontId="172" fillId="0" borderId="0" applyNumberFormat="0" applyFill="0" applyBorder="0" applyAlignment="0" applyProtection="0"/>
    <xf numFmtId="175" fontId="30" fillId="0" borderId="0"/>
    <xf numFmtId="0" fontId="173" fillId="92" borderId="0" applyNumberFormat="0" applyBorder="0" applyAlignment="0" applyProtection="0"/>
    <xf numFmtId="0" fontId="173" fillId="92" borderId="0" applyNumberFormat="0" applyBorder="0" applyAlignment="0" applyProtection="0"/>
    <xf numFmtId="0" fontId="173" fillId="92" borderId="0" applyNumberFormat="0" applyBorder="0" applyAlignment="0" applyProtection="0"/>
    <xf numFmtId="0" fontId="173" fillId="92" borderId="0" applyNumberFormat="0" applyBorder="0" applyAlignment="0" applyProtection="0"/>
    <xf numFmtId="0" fontId="145" fillId="93" borderId="0" applyNumberFormat="0" applyBorder="0" applyAlignment="0" applyProtection="0"/>
    <xf numFmtId="0" fontId="174" fillId="0" borderId="0" applyNumberFormat="0" applyFill="0" applyBorder="0" applyAlignment="0" applyProtection="0"/>
    <xf numFmtId="0" fontId="175" fillId="0" borderId="38" applyNumberFormat="0" applyFill="0" applyAlignment="0" applyProtection="0"/>
    <xf numFmtId="0" fontId="175" fillId="0" borderId="38" applyNumberFormat="0" applyFill="0" applyAlignment="0" applyProtection="0"/>
    <xf numFmtId="0" fontId="175" fillId="0" borderId="38" applyNumberFormat="0" applyFill="0" applyAlignment="0" applyProtection="0"/>
    <xf numFmtId="0" fontId="175" fillId="0" borderId="38" applyNumberFormat="0" applyFill="0" applyAlignment="0" applyProtection="0"/>
    <xf numFmtId="0" fontId="176" fillId="0" borderId="39" applyNumberFormat="0" applyFill="0" applyAlignment="0" applyProtection="0"/>
    <xf numFmtId="0" fontId="177" fillId="0" borderId="38" applyNumberFormat="0" applyFill="0" applyAlignment="0" applyProtection="0"/>
    <xf numFmtId="0" fontId="177" fillId="0" borderId="38" applyNumberFormat="0" applyFill="0" applyAlignment="0" applyProtection="0"/>
    <xf numFmtId="0" fontId="177" fillId="0" borderId="38" applyNumberFormat="0" applyFill="0" applyAlignment="0" applyProtection="0"/>
    <xf numFmtId="0" fontId="177" fillId="0" borderId="38" applyNumberFormat="0" applyFill="0" applyAlignment="0" applyProtection="0"/>
    <xf numFmtId="0" fontId="178" fillId="0" borderId="40" applyNumberFormat="0" applyFill="0" applyAlignment="0" applyProtection="0"/>
    <xf numFmtId="0" fontId="179" fillId="0" borderId="1" applyNumberFormat="0" applyFill="0" applyAlignment="0" applyProtection="0"/>
    <xf numFmtId="0" fontId="179" fillId="0" borderId="1" applyNumberFormat="0" applyFill="0" applyAlignment="0" applyProtection="0"/>
    <xf numFmtId="0" fontId="179" fillId="0" borderId="1" applyNumberFormat="0" applyFill="0" applyAlignment="0" applyProtection="0"/>
    <xf numFmtId="0" fontId="179" fillId="0" borderId="1" applyNumberFormat="0" applyFill="0" applyAlignment="0" applyProtection="0"/>
    <xf numFmtId="0" fontId="180" fillId="0" borderId="41" applyNumberFormat="0" applyFill="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1" fillId="0" borderId="0" applyNumberFormat="0" applyFill="0" applyBorder="0" applyAlignment="0" applyProtection="0">
      <alignment vertical="top"/>
      <protection locked="0"/>
    </xf>
    <xf numFmtId="0" fontId="182" fillId="5" borderId="0"/>
    <xf numFmtId="0" fontId="183" fillId="0" borderId="14" applyNumberFormat="0" applyFill="0" applyBorder="0" applyAlignment="0" applyProtection="0">
      <alignment horizontal="left" indent="3"/>
    </xf>
    <xf numFmtId="0" fontId="184" fillId="94" borderId="14" applyNumberFormat="0" applyAlignment="0" applyProtection="0"/>
    <xf numFmtId="0" fontId="184" fillId="94" borderId="14" applyNumberFormat="0" applyAlignment="0" applyProtection="0"/>
    <xf numFmtId="0" fontId="184" fillId="94" borderId="14" applyNumberFormat="0" applyAlignment="0" applyProtection="0"/>
    <xf numFmtId="0" fontId="148" fillId="88" borderId="29" applyNumberFormat="0" applyAlignment="0" applyProtection="0"/>
    <xf numFmtId="0" fontId="185" fillId="0" borderId="0" applyAlignment="0"/>
    <xf numFmtId="0" fontId="43" fillId="14" borderId="0"/>
    <xf numFmtId="0" fontId="186" fillId="0" borderId="2" applyNumberFormat="0" applyFill="0" applyAlignment="0" applyProtection="0"/>
    <xf numFmtId="0" fontId="186" fillId="0" borderId="2" applyNumberFormat="0" applyFill="0" applyAlignment="0" applyProtection="0"/>
    <xf numFmtId="0" fontId="186" fillId="0" borderId="2" applyNumberFormat="0" applyFill="0" applyAlignment="0" applyProtection="0"/>
    <xf numFmtId="0" fontId="186" fillId="0" borderId="2" applyNumberFormat="0" applyFill="0" applyAlignment="0" applyProtection="0"/>
    <xf numFmtId="0" fontId="187" fillId="0" borderId="42" applyNumberFormat="0" applyFill="0" applyAlignment="0" applyProtection="0"/>
    <xf numFmtId="277" fontId="43" fillId="0" borderId="0" applyFont="0" applyFill="0" applyBorder="0" applyAlignment="0" applyProtection="0"/>
    <xf numFmtId="277" fontId="43" fillId="0" borderId="0" applyFont="0" applyFill="0" applyBorder="0" applyAlignment="0" applyProtection="0"/>
    <xf numFmtId="0" fontId="188" fillId="95" borderId="0" applyNumberFormat="0" applyBorder="0" applyAlignment="0" applyProtection="0"/>
    <xf numFmtId="0" fontId="188" fillId="95" borderId="0" applyNumberFormat="0" applyBorder="0" applyAlignment="0" applyProtection="0"/>
    <xf numFmtId="0" fontId="188" fillId="95" borderId="0" applyNumberFormat="0" applyBorder="0" applyAlignment="0" applyProtection="0"/>
    <xf numFmtId="0" fontId="188" fillId="95" borderId="0" applyNumberFormat="0" applyBorder="0" applyAlignment="0" applyProtection="0"/>
    <xf numFmtId="0" fontId="189" fillId="20" borderId="0" applyNumberFormat="0" applyBorder="0" applyAlignment="0" applyProtection="0"/>
    <xf numFmtId="0" fontId="190" fillId="96" borderId="0" applyAlignment="0"/>
    <xf numFmtId="0" fontId="191" fillId="97" borderId="0" applyAlignment="0"/>
    <xf numFmtId="0" fontId="192" fillId="0" borderId="0" applyAlignment="0"/>
    <xf numFmtId="0" fontId="30"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193"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3" fillId="0" borderId="0"/>
    <xf numFmtId="0" fontId="6" fillId="0" borderId="0"/>
    <xf numFmtId="0" fontId="6" fillId="0" borderId="0"/>
    <xf numFmtId="0" fontId="161" fillId="0" borderId="0"/>
    <xf numFmtId="0" fontId="6" fillId="0" borderId="0"/>
    <xf numFmtId="0" fontId="161"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3" fillId="0" borderId="0"/>
    <xf numFmtId="0" fontId="8" fillId="0" borderId="0"/>
    <xf numFmtId="0" fontId="8" fillId="0" borderId="0"/>
    <xf numFmtId="0" fontId="8" fillId="0" borderId="0"/>
    <xf numFmtId="0" fontId="43" fillId="0" borderId="0"/>
    <xf numFmtId="0" fontId="8" fillId="0" borderId="0"/>
    <xf numFmtId="0" fontId="8" fillId="0" borderId="0"/>
    <xf numFmtId="0" fontId="8" fillId="0" borderId="0"/>
    <xf numFmtId="0" fontId="8" fillId="0" borderId="0"/>
    <xf numFmtId="0" fontId="8" fillId="0" borderId="0"/>
    <xf numFmtId="0" fontId="43" fillId="0" borderId="0"/>
    <xf numFmtId="0" fontId="30" fillId="0" borderId="0"/>
    <xf numFmtId="37" fontId="196"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30" fillId="0" borderId="0"/>
    <xf numFmtId="0" fontId="19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8" fillId="0" borderId="0"/>
    <xf numFmtId="0" fontId="8" fillId="0" borderId="0"/>
    <xf numFmtId="0" fontId="8" fillId="0" borderId="0"/>
    <xf numFmtId="0" fontId="30" fillId="0" borderId="0"/>
    <xf numFmtId="0" fontId="30" fillId="0" borderId="0"/>
    <xf numFmtId="0" fontId="30" fillId="0" borderId="0"/>
    <xf numFmtId="0" fontId="30" fillId="0" borderId="0"/>
    <xf numFmtId="0" fontId="30" fillId="0" borderId="0"/>
    <xf numFmtId="0" fontId="30" fillId="0" borderId="0"/>
    <xf numFmtId="0" fontId="194" fillId="0" borderId="0"/>
    <xf numFmtId="0" fontId="194" fillId="0" borderId="0"/>
    <xf numFmtId="0" fontId="194" fillId="0" borderId="0"/>
    <xf numFmtId="0" fontId="43" fillId="0" borderId="0"/>
    <xf numFmtId="0" fontId="194" fillId="0" borderId="0"/>
    <xf numFmtId="0" fontId="194" fillId="0" borderId="0"/>
    <xf numFmtId="0" fontId="194"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194" fillId="0" borderId="0"/>
    <xf numFmtId="0" fontId="8" fillId="0" borderId="0"/>
    <xf numFmtId="0" fontId="6" fillId="0" borderId="0"/>
    <xf numFmtId="0" fontId="194" fillId="0" borderId="0"/>
    <xf numFmtId="0" fontId="194" fillId="0" borderId="0"/>
    <xf numFmtId="0" fontId="19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8" fillId="0" borderId="0"/>
    <xf numFmtId="0" fontId="19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7" fillId="0" borderId="0"/>
    <xf numFmtId="0" fontId="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8" fillId="0" borderId="0"/>
    <xf numFmtId="0" fontId="198" fillId="0" borderId="0"/>
    <xf numFmtId="0" fontId="8" fillId="0" borderId="0"/>
    <xf numFmtId="0" fontId="8" fillId="0" borderId="0"/>
    <xf numFmtId="0" fontId="198" fillId="0" borderId="0"/>
    <xf numFmtId="0" fontId="19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4"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161" fillId="11" borderId="14"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161" fillId="11" borderId="14"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108" fillId="24" borderId="33" applyNumberFormat="0" applyFont="0" applyAlignment="0" applyProtection="0"/>
    <xf numFmtId="0" fontId="6" fillId="24" borderId="33" applyNumberFormat="0" applyFont="0" applyAlignment="0" applyProtection="0"/>
    <xf numFmtId="0" fontId="6" fillId="24" borderId="33" applyNumberFormat="0" applyFont="0" applyAlignment="0" applyProtection="0"/>
    <xf numFmtId="0" fontId="161" fillId="24" borderId="33" applyNumberFormat="0" applyFont="0" applyAlignment="0" applyProtection="0"/>
    <xf numFmtId="0" fontId="161" fillId="11" borderId="14"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8" fillId="24" borderId="3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30" fillId="98" borderId="43" applyNumberFormat="0" applyFont="0" applyAlignment="0" applyProtection="0"/>
    <xf numFmtId="0" fontId="199" fillId="87" borderId="14" applyNumberFormat="0" applyAlignment="0" applyProtection="0"/>
    <xf numFmtId="0" fontId="199" fillId="87" borderId="14" applyNumberFormat="0" applyAlignment="0" applyProtection="0"/>
    <xf numFmtId="0" fontId="199" fillId="87" borderId="14" applyNumberFormat="0" applyAlignment="0" applyProtection="0"/>
    <xf numFmtId="0" fontId="199" fillId="87" borderId="14" applyNumberFormat="0" applyAlignment="0" applyProtection="0"/>
    <xf numFmtId="0" fontId="149" fillId="88" borderId="30" applyNumberFormat="0" applyAlignment="0" applyProtection="0"/>
    <xf numFmtId="0" fontId="200" fillId="0" borderId="0" applyBorder="0">
      <alignment horizontal="centerContinuous"/>
    </xf>
    <xf numFmtId="9" fontId="8" fillId="0" borderId="0" applyFont="0" applyFill="0" applyBorder="0" applyAlignment="0" applyProtection="0"/>
    <xf numFmtId="9" fontId="8"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3" fillId="0" borderId="0" applyFont="0" applyFill="0" applyBorder="0" applyAlignment="0" applyProtection="0"/>
    <xf numFmtId="278" fontId="201" fillId="0" borderId="17"/>
    <xf numFmtId="39" fontId="202" fillId="0" borderId="0"/>
    <xf numFmtId="0" fontId="203" fillId="99" borderId="0" applyAlignment="0"/>
    <xf numFmtId="279" fontId="43" fillId="0" borderId="0" applyFont="0" applyFill="0" applyBorder="0" applyAlignment="0" applyProtection="0"/>
    <xf numFmtId="279" fontId="43" fillId="0" borderId="0" applyFont="0" applyFill="0" applyBorder="0" applyAlignment="0" applyProtection="0"/>
    <xf numFmtId="0" fontId="204" fillId="0" borderId="0" applyFill="0" applyBorder="0" applyProtection="0"/>
    <xf numFmtId="0" fontId="205" fillId="0" borderId="0" applyAlignment="0"/>
    <xf numFmtId="0" fontId="206" fillId="0" borderId="0" applyAlignment="0"/>
    <xf numFmtId="0" fontId="207" fillId="0" borderId="0" applyAlignment="0"/>
    <xf numFmtId="0" fontId="208" fillId="0" borderId="0" applyAlignment="0"/>
    <xf numFmtId="0" fontId="209" fillId="0" borderId="0" applyAlignment="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0" fontId="212" fillId="0" borderId="0" applyAlignment="0"/>
    <xf numFmtId="0" fontId="213" fillId="0" borderId="13" applyNumberFormat="0" applyFill="0" applyAlignment="0" applyProtection="0"/>
    <xf numFmtId="0" fontId="213" fillId="0" borderId="13" applyNumberFormat="0" applyFill="0" applyAlignment="0" applyProtection="0"/>
    <xf numFmtId="0" fontId="213" fillId="0" borderId="13" applyNumberFormat="0" applyFill="0" applyAlignment="0" applyProtection="0"/>
    <xf numFmtId="0" fontId="213" fillId="0" borderId="13" applyNumberFormat="0" applyFill="0" applyAlignment="0" applyProtection="0"/>
    <xf numFmtId="0" fontId="155" fillId="0" borderId="44" applyNumberFormat="0" applyFill="0" applyAlignment="0" applyProtection="0"/>
    <xf numFmtId="280" fontId="214" fillId="0" borderId="0"/>
    <xf numFmtId="37" fontId="43" fillId="2" borderId="0" applyNumberFormat="0" applyBorder="0" applyAlignment="0" applyProtection="0"/>
    <xf numFmtId="37" fontId="43" fillId="0" borderId="0"/>
    <xf numFmtId="3" fontId="183" fillId="0" borderId="37" applyProtection="0"/>
    <xf numFmtId="0" fontId="215" fillId="0" borderId="0" applyNumberFormat="0" applyFill="0" applyBorder="0" applyAlignment="0" applyProtection="0"/>
    <xf numFmtId="0" fontId="215" fillId="0" borderId="0" applyNumberFormat="0" applyFill="0" applyBorder="0" applyAlignment="0" applyProtection="0"/>
    <xf numFmtId="0" fontId="215" fillId="0" borderId="0" applyNumberFormat="0" applyFill="0" applyBorder="0" applyAlignment="0" applyProtection="0"/>
    <xf numFmtId="0" fontId="215" fillId="0" borderId="0" applyNumberFormat="0" applyFill="0" applyBorder="0" applyAlignment="0" applyProtection="0"/>
    <xf numFmtId="0" fontId="5" fillId="0" borderId="0"/>
    <xf numFmtId="0" fontId="30" fillId="0" borderId="0"/>
  </cellStyleXfs>
  <cellXfs count="1194">
    <xf numFmtId="173" fontId="0" fillId="0" borderId="0" xfId="0" applyAlignment="1"/>
    <xf numFmtId="221" fontId="22" fillId="0" borderId="0" xfId="0" applyNumberFormat="1" applyFont="1"/>
    <xf numFmtId="3" fontId="22" fillId="0" borderId="0" xfId="0" applyNumberFormat="1" applyFont="1"/>
    <xf numFmtId="221" fontId="22" fillId="0" borderId="0" xfId="0" applyNumberFormat="1" applyFont="1" applyAlignment="1"/>
    <xf numFmtId="221" fontId="22" fillId="0" borderId="0" xfId="0" applyNumberFormat="1" applyFont="1" applyAlignment="1">
      <alignment horizontal="center"/>
    </xf>
    <xf numFmtId="3" fontId="22" fillId="0" borderId="0" xfId="0" applyNumberFormat="1" applyFont="1" applyAlignment="1"/>
    <xf numFmtId="3" fontId="22" fillId="0" borderId="0" xfId="0" applyNumberFormat="1" applyFont="1" applyAlignment="1">
      <alignment horizontal="center"/>
    </xf>
    <xf numFmtId="49" fontId="22" fillId="0" borderId="0" xfId="0" applyNumberFormat="1" applyFont="1" applyAlignment="1">
      <alignment horizontal="center"/>
    </xf>
    <xf numFmtId="221" fontId="23" fillId="0" borderId="0" xfId="0" applyNumberFormat="1" applyFont="1" applyAlignment="1">
      <alignment horizontal="center"/>
    </xf>
    <xf numFmtId="3" fontId="23" fillId="0" borderId="0" xfId="0" applyNumberFormat="1" applyFont="1" applyAlignment="1"/>
    <xf numFmtId="221" fontId="24" fillId="0" borderId="0" xfId="0" applyNumberFormat="1" applyFont="1" applyAlignment="1">
      <alignment horizontal="center"/>
    </xf>
    <xf numFmtId="173" fontId="22" fillId="0" borderId="0" xfId="0" applyFont="1" applyAlignment="1"/>
    <xf numFmtId="221" fontId="24" fillId="0" borderId="0" xfId="0" applyNumberFormat="1" applyFont="1" applyAlignment="1"/>
    <xf numFmtId="165" fontId="22" fillId="0" borderId="0" xfId="0" applyNumberFormat="1" applyFont="1" applyAlignment="1"/>
    <xf numFmtId="3" fontId="22" fillId="0" borderId="0" xfId="0" applyNumberFormat="1" applyFont="1" applyAlignment="1">
      <alignment horizontal="left"/>
    </xf>
    <xf numFmtId="166" fontId="22" fillId="0" borderId="0" xfId="0" applyNumberFormat="1" applyFont="1" applyAlignment="1">
      <alignment horizontal="center"/>
    </xf>
    <xf numFmtId="3" fontId="22" fillId="0" borderId="0" xfId="0" applyNumberFormat="1" applyFont="1" applyAlignment="1">
      <alignment horizontal="fill"/>
    </xf>
    <xf numFmtId="164" fontId="22" fillId="0" borderId="0" xfId="0" applyNumberFormat="1" applyFont="1" applyAlignment="1">
      <alignment horizontal="center"/>
    </xf>
    <xf numFmtId="166" fontId="22" fillId="0" borderId="0" xfId="0" applyNumberFormat="1" applyFont="1" applyAlignment="1"/>
    <xf numFmtId="49" fontId="22" fillId="0" borderId="0" xfId="0" applyNumberFormat="1" applyFont="1"/>
    <xf numFmtId="4" fontId="22" fillId="0" borderId="0" xfId="0" applyNumberFormat="1" applyFont="1" applyAlignment="1"/>
    <xf numFmtId="169" fontId="22" fillId="0" borderId="0" xfId="0" applyNumberFormat="1" applyFont="1" applyAlignment="1"/>
    <xf numFmtId="3" fontId="22" fillId="0" borderId="0" xfId="0" quotePrefix="1" applyNumberFormat="1" applyFont="1" applyAlignment="1"/>
    <xf numFmtId="172" fontId="22" fillId="0" borderId="0" xfId="0" applyNumberFormat="1" applyFont="1" applyAlignment="1"/>
    <xf numFmtId="164" fontId="22" fillId="0" borderId="0" xfId="0" applyNumberFormat="1" applyFont="1" applyAlignment="1">
      <alignment horizontal="left"/>
    </xf>
    <xf numFmtId="173" fontId="25" fillId="0" borderId="0" xfId="0" applyFont="1" applyAlignment="1"/>
    <xf numFmtId="221" fontId="22" fillId="0" borderId="0" xfId="0" applyNumberFormat="1" applyFont="1" applyAlignment="1" applyProtection="1">
      <protection locked="0"/>
    </xf>
    <xf numFmtId="221" fontId="22" fillId="0" borderId="0" xfId="0" applyNumberFormat="1" applyFont="1" applyAlignment="1" applyProtection="1">
      <alignment horizontal="left"/>
      <protection locked="0"/>
    </xf>
    <xf numFmtId="221" fontId="22" fillId="0" borderId="0" xfId="0" applyNumberFormat="1" applyFont="1" applyProtection="1">
      <protection locked="0"/>
    </xf>
    <xf numFmtId="221" fontId="22" fillId="0" borderId="0" xfId="0" applyNumberFormat="1" applyFont="1" applyAlignment="1" applyProtection="1">
      <alignment horizontal="center"/>
      <protection locked="0"/>
    </xf>
    <xf numFmtId="221" fontId="24" fillId="0" borderId="0" xfId="0" applyNumberFormat="1" applyFont="1" applyAlignment="1" applyProtection="1">
      <alignment horizontal="center"/>
      <protection locked="0"/>
    </xf>
    <xf numFmtId="166" fontId="22" fillId="0" borderId="0" xfId="0" applyNumberFormat="1" applyFont="1" applyAlignment="1" applyProtection="1">
      <alignment horizontal="center"/>
      <protection locked="0"/>
    </xf>
    <xf numFmtId="221" fontId="25" fillId="0" borderId="0" xfId="0" applyNumberFormat="1" applyFont="1" applyProtection="1">
      <protection locked="0"/>
    </xf>
    <xf numFmtId="42" fontId="22" fillId="0" borderId="0" xfId="0" applyNumberFormat="1" applyFont="1"/>
    <xf numFmtId="3" fontId="22" fillId="0" borderId="0" xfId="0" applyNumberFormat="1" applyFont="1" applyFill="1" applyAlignment="1"/>
    <xf numFmtId="3" fontId="22" fillId="0" borderId="0" xfId="0" applyNumberFormat="1" applyFont="1" applyFill="1" applyBorder="1"/>
    <xf numFmtId="173" fontId="22" fillId="0" borderId="0" xfId="0" applyNumberFormat="1" applyFont="1" applyAlignment="1" applyProtection="1">
      <protection locked="0"/>
    </xf>
    <xf numFmtId="221" fontId="22" fillId="0" borderId="1" xfId="0" applyNumberFormat="1" applyFont="1" applyBorder="1" applyAlignment="1" applyProtection="1">
      <alignment horizontal="center"/>
      <protection locked="0"/>
    </xf>
    <xf numFmtId="170" fontId="22" fillId="0" borderId="0" xfId="0" applyNumberFormat="1" applyFont="1" applyFill="1" applyBorder="1" applyProtection="1"/>
    <xf numFmtId="1" fontId="22" fillId="0" borderId="0" xfId="0" applyNumberFormat="1" applyFont="1" applyFill="1" applyProtection="1"/>
    <xf numFmtId="1" fontId="22" fillId="0" borderId="0" xfId="0" applyNumberFormat="1" applyFont="1" applyFill="1" applyAlignment="1" applyProtection="1"/>
    <xf numFmtId="3" fontId="22" fillId="0" borderId="1" xfId="0" applyNumberFormat="1" applyFont="1" applyBorder="1" applyAlignment="1"/>
    <xf numFmtId="3" fontId="22" fillId="0" borderId="1" xfId="0" applyNumberFormat="1" applyFont="1" applyBorder="1" applyAlignment="1">
      <alignment horizontal="center"/>
    </xf>
    <xf numFmtId="172" fontId="22" fillId="0" borderId="0" xfId="0" applyNumberFormat="1" applyFont="1" applyProtection="1">
      <protection locked="0"/>
    </xf>
    <xf numFmtId="3" fontId="22" fillId="0" borderId="0" xfId="0" applyNumberFormat="1" applyFont="1" applyBorder="1" applyAlignment="1">
      <alignment horizontal="center"/>
    </xf>
    <xf numFmtId="221" fontId="22" fillId="0" borderId="1" xfId="0" applyNumberFormat="1" applyFont="1" applyBorder="1" applyAlignment="1" applyProtection="1">
      <alignment horizontal="centerContinuous"/>
      <protection locked="0"/>
    </xf>
    <xf numFmtId="42" fontId="22" fillId="0" borderId="2" xfId="0" applyNumberFormat="1" applyFont="1" applyBorder="1" applyAlignment="1" applyProtection="1">
      <alignment horizontal="right"/>
      <protection locked="0"/>
    </xf>
    <xf numFmtId="221" fontId="24" fillId="0" borderId="0" xfId="0" applyNumberFormat="1" applyFont="1" applyProtection="1">
      <protection locked="0"/>
    </xf>
    <xf numFmtId="221" fontId="22" fillId="0" borderId="1" xfId="0" applyNumberFormat="1" applyFont="1" applyBorder="1" applyProtection="1">
      <protection locked="0"/>
    </xf>
    <xf numFmtId="221" fontId="22" fillId="0" borderId="1" xfId="0" applyNumberFormat="1" applyFont="1" applyBorder="1"/>
    <xf numFmtId="221" fontId="22" fillId="0" borderId="1" xfId="0" applyNumberFormat="1" applyFont="1" applyBorder="1" applyAlignment="1"/>
    <xf numFmtId="9" fontId="22" fillId="0" borderId="0" xfId="0" applyNumberFormat="1" applyFont="1" applyAlignment="1"/>
    <xf numFmtId="173" fontId="22" fillId="0" borderId="1" xfId="0" applyFont="1" applyBorder="1" applyAlignment="1"/>
    <xf numFmtId="168" fontId="22" fillId="0" borderId="0" xfId="0" applyNumberFormat="1" applyFont="1" applyProtection="1">
      <protection locked="0"/>
    </xf>
    <xf numFmtId="221" fontId="22" fillId="0" borderId="0" xfId="0" applyNumberFormat="1" applyFont="1" applyBorder="1" applyAlignment="1" applyProtection="1">
      <alignment horizontal="center"/>
      <protection locked="0"/>
    </xf>
    <xf numFmtId="38" fontId="22" fillId="0" borderId="0" xfId="0" applyNumberFormat="1" applyFont="1" applyFill="1" applyBorder="1" applyProtection="1"/>
    <xf numFmtId="221" fontId="22" fillId="0" borderId="0" xfId="0" applyNumberFormat="1" applyFont="1" applyFill="1" applyProtection="1">
      <protection locked="0"/>
    </xf>
    <xf numFmtId="169" fontId="22" fillId="0" borderId="1" xfId="0" applyNumberFormat="1" applyFont="1" applyBorder="1" applyAlignment="1"/>
    <xf numFmtId="165" fontId="22" fillId="0" borderId="0" xfId="0" applyNumberFormat="1" applyFont="1" applyFill="1" applyAlignment="1">
      <alignment horizontal="right"/>
    </xf>
    <xf numFmtId="171" fontId="22" fillId="0" borderId="0" xfId="0" applyNumberFormat="1" applyFont="1" applyFill="1" applyAlignment="1">
      <alignment horizontal="left"/>
    </xf>
    <xf numFmtId="165" fontId="22" fillId="0" borderId="0" xfId="0" applyNumberFormat="1" applyFont="1" applyFill="1" applyAlignment="1"/>
    <xf numFmtId="221" fontId="22" fillId="0" borderId="0" xfId="0" applyNumberFormat="1" applyFont="1" applyFill="1" applyAlignment="1" applyProtection="1">
      <protection locked="0"/>
    </xf>
    <xf numFmtId="221" fontId="22" fillId="0" borderId="0" xfId="0" applyNumberFormat="1" applyFont="1" applyFill="1"/>
    <xf numFmtId="173" fontId="22" fillId="0" borderId="0" xfId="0" applyFont="1" applyFill="1" applyAlignment="1"/>
    <xf numFmtId="221" fontId="22" fillId="0" borderId="1" xfId="0" applyNumberFormat="1" applyFont="1" applyFill="1" applyBorder="1"/>
    <xf numFmtId="3" fontId="22" fillId="0" borderId="1" xfId="0" applyNumberFormat="1" applyFont="1" applyFill="1" applyBorder="1" applyAlignment="1"/>
    <xf numFmtId="3" fontId="22" fillId="0" borderId="0" xfId="0" applyNumberFormat="1" applyFont="1" applyFill="1" applyAlignment="1">
      <alignment horizontal="center"/>
    </xf>
    <xf numFmtId="49" fontId="22" fillId="0" borderId="0" xfId="0" applyNumberFormat="1" applyFont="1" applyFill="1"/>
    <xf numFmtId="49" fontId="22" fillId="0" borderId="0" xfId="0" applyNumberFormat="1" applyFont="1" applyFill="1" applyAlignment="1"/>
    <xf numFmtId="49" fontId="22" fillId="0" borderId="0" xfId="0" applyNumberFormat="1" applyFont="1" applyFill="1" applyAlignment="1">
      <alignment horizontal="center"/>
    </xf>
    <xf numFmtId="221" fontId="22" fillId="0" borderId="0" xfId="0" applyNumberFormat="1" applyFont="1" applyFill="1" applyAlignment="1">
      <alignment horizontal="center"/>
    </xf>
    <xf numFmtId="165" fontId="22" fillId="0" borderId="0" xfId="0" applyNumberFormat="1" applyFont="1" applyFill="1"/>
    <xf numFmtId="166" fontId="22" fillId="0" borderId="0" xfId="0" applyNumberFormat="1" applyFont="1" applyFill="1"/>
    <xf numFmtId="221" fontId="22" fillId="0" borderId="0" xfId="0" applyNumberFormat="1" applyFont="1" applyAlignment="1">
      <alignment horizontal="right"/>
    </xf>
    <xf numFmtId="170" fontId="25" fillId="0" borderId="0" xfId="0" applyNumberFormat="1" applyFont="1" applyFill="1" applyBorder="1" applyProtection="1"/>
    <xf numFmtId="173" fontId="30" fillId="0" borderId="0" xfId="0" applyFont="1" applyAlignment="1"/>
    <xf numFmtId="165" fontId="37" fillId="0" borderId="0" xfId="0" applyNumberFormat="1" applyFont="1" applyFill="1" applyAlignment="1">
      <alignment horizontal="right"/>
    </xf>
    <xf numFmtId="166" fontId="37" fillId="0" borderId="0" xfId="0" applyNumberFormat="1" applyFont="1" applyFill="1" applyAlignment="1">
      <alignment horizontal="right"/>
    </xf>
    <xf numFmtId="4" fontId="37" fillId="0" borderId="0" xfId="0" applyNumberFormat="1" applyFont="1" applyAlignment="1"/>
    <xf numFmtId="42" fontId="22" fillId="0" borderId="0" xfId="0" applyNumberFormat="1" applyFont="1" applyFill="1" applyAlignment="1"/>
    <xf numFmtId="221" fontId="30" fillId="0" borderId="0" xfId="8" applyFont="1"/>
    <xf numFmtId="221" fontId="35" fillId="0" borderId="0" xfId="10"/>
    <xf numFmtId="221" fontId="40" fillId="0" borderId="0" xfId="10" applyFont="1" applyAlignment="1">
      <alignment horizontal="center"/>
    </xf>
    <xf numFmtId="221" fontId="41" fillId="0" borderId="0" xfId="10" applyFont="1" applyAlignment="1">
      <alignment horizontal="center"/>
    </xf>
    <xf numFmtId="221" fontId="37" fillId="0" borderId="0" xfId="0" applyNumberFormat="1" applyFont="1" applyAlignment="1" applyProtection="1">
      <alignment horizontal="right"/>
      <protection locked="0"/>
    </xf>
    <xf numFmtId="221" fontId="22" fillId="0" borderId="0" xfId="0" applyNumberFormat="1" applyFont="1" applyAlignment="1" applyProtection="1">
      <alignment horizontal="right"/>
      <protection locked="0"/>
    </xf>
    <xf numFmtId="3" fontId="22" fillId="0" borderId="0" xfId="0" applyNumberFormat="1" applyFont="1" applyBorder="1" applyAlignment="1"/>
    <xf numFmtId="221" fontId="39" fillId="0" borderId="0" xfId="10" applyFont="1" applyAlignment="1">
      <alignment horizontal="centerContinuous"/>
    </xf>
    <xf numFmtId="221" fontId="31" fillId="0" borderId="0" xfId="10" applyFont="1" applyAlignment="1">
      <alignment horizontal="centerContinuous"/>
    </xf>
    <xf numFmtId="173" fontId="30" fillId="0" borderId="0" xfId="0" applyFont="1" applyFill="1" applyBorder="1" applyAlignment="1"/>
    <xf numFmtId="221" fontId="35" fillId="0" borderId="0" xfId="6"/>
    <xf numFmtId="173" fontId="30" fillId="0" borderId="0" xfId="0" applyFont="1" applyAlignment="1">
      <alignment horizontal="centerContinuous"/>
    </xf>
    <xf numFmtId="173" fontId="30" fillId="0" borderId="0" xfId="0" applyFont="1"/>
    <xf numFmtId="173" fontId="22" fillId="0" borderId="0" xfId="0" applyFont="1"/>
    <xf numFmtId="173" fontId="22" fillId="0" borderId="0" xfId="0" applyFont="1" applyFill="1" applyBorder="1" applyAlignment="1"/>
    <xf numFmtId="221" fontId="22" fillId="0" borderId="0" xfId="0" applyNumberFormat="1" applyFont="1" applyFill="1" applyBorder="1" applyAlignment="1"/>
    <xf numFmtId="221" fontId="22" fillId="0" borderId="0" xfId="0" applyNumberFormat="1" applyFont="1" applyFill="1" applyBorder="1" applyAlignment="1">
      <alignment horizontal="center"/>
    </xf>
    <xf numFmtId="173" fontId="19" fillId="0" borderId="0" xfId="0" applyFont="1" applyFill="1" applyBorder="1" applyAlignment="1"/>
    <xf numFmtId="221" fontId="22" fillId="0" borderId="0" xfId="0" applyNumberFormat="1" applyFont="1" applyFill="1" applyBorder="1"/>
    <xf numFmtId="3" fontId="22" fillId="0" borderId="0" xfId="0" applyNumberFormat="1" applyFont="1" applyFill="1" applyBorder="1" applyAlignment="1"/>
    <xf numFmtId="221" fontId="22" fillId="0" borderId="0" xfId="0" applyNumberFormat="1" applyFont="1" applyFill="1" applyBorder="1" applyAlignment="1" applyProtection="1">
      <protection locked="0"/>
    </xf>
    <xf numFmtId="173" fontId="22" fillId="0" borderId="0" xfId="0" applyFont="1" applyFill="1" applyBorder="1" applyAlignment="1">
      <alignment horizontal="center"/>
    </xf>
    <xf numFmtId="41" fontId="36" fillId="0" borderId="0" xfId="7" applyNumberFormat="1" applyFont="1"/>
    <xf numFmtId="42" fontId="22" fillId="2" borderId="0" xfId="0" applyNumberFormat="1" applyFont="1" applyFill="1" applyBorder="1" applyProtection="1"/>
    <xf numFmtId="173" fontId="24" fillId="0" borderId="0" xfId="0" applyFont="1" applyAlignment="1">
      <alignment horizontal="centerContinuous"/>
    </xf>
    <xf numFmtId="173" fontId="22" fillId="0" borderId="0" xfId="0" applyFont="1" applyAlignment="1">
      <alignment horizontal="centerContinuous"/>
    </xf>
    <xf numFmtId="221" fontId="22" fillId="0" borderId="0" xfId="7" applyFont="1"/>
    <xf numFmtId="221" fontId="24" fillId="0" borderId="0" xfId="5" applyFont="1" applyBorder="1" applyAlignment="1">
      <alignment horizontal="center"/>
    </xf>
    <xf numFmtId="221" fontId="44" fillId="0" borderId="0" xfId="5" applyFont="1" applyAlignment="1">
      <alignment horizontal="centerContinuous"/>
    </xf>
    <xf numFmtId="221" fontId="22" fillId="0" borderId="0" xfId="5" applyFont="1" applyAlignment="1">
      <alignment horizontal="centerContinuous"/>
    </xf>
    <xf numFmtId="221" fontId="44" fillId="0" borderId="0" xfId="7" applyFont="1" applyAlignment="1">
      <alignment horizontal="center"/>
    </xf>
    <xf numFmtId="221" fontId="22" fillId="0" borderId="0" xfId="5" applyFont="1" applyBorder="1" applyAlignment="1">
      <alignment horizontal="left"/>
    </xf>
    <xf numFmtId="221" fontId="22" fillId="0" borderId="0" xfId="7" applyFont="1" applyAlignment="1">
      <alignment horizontal="left"/>
    </xf>
    <xf numFmtId="41" fontId="55" fillId="0" borderId="0" xfId="6" applyNumberFormat="1" applyFont="1" applyFill="1"/>
    <xf numFmtId="221" fontId="22" fillId="0" borderId="0" xfId="7" applyFont="1" applyAlignment="1">
      <alignment horizontal="left" vertical="center"/>
    </xf>
    <xf numFmtId="42" fontId="52" fillId="0" borderId="0" xfId="7" applyNumberFormat="1" applyFont="1" applyAlignment="1">
      <alignment horizontal="left" vertical="center"/>
    </xf>
    <xf numFmtId="173" fontId="46" fillId="0" borderId="0" xfId="0" applyFont="1" applyAlignment="1">
      <alignment horizontal="centerContinuous"/>
    </xf>
    <xf numFmtId="41" fontId="45" fillId="0" borderId="0" xfId="6" applyNumberFormat="1" applyFont="1" applyFill="1"/>
    <xf numFmtId="221" fontId="22" fillId="0" borderId="0" xfId="6" applyFont="1" applyAlignment="1">
      <alignment horizontal="left" vertical="center"/>
    </xf>
    <xf numFmtId="221" fontId="22" fillId="0" borderId="0" xfId="6" applyFont="1"/>
    <xf numFmtId="41" fontId="37" fillId="0" borderId="0" xfId="7" applyNumberFormat="1" applyFont="1"/>
    <xf numFmtId="42" fontId="52" fillId="0" borderId="0" xfId="7" applyNumberFormat="1" applyFont="1" applyAlignment="1">
      <alignment vertical="center"/>
    </xf>
    <xf numFmtId="173" fontId="0" fillId="0" borderId="0" xfId="0" applyFill="1" applyBorder="1" applyAlignment="1"/>
    <xf numFmtId="221" fontId="0" fillId="0" borderId="0" xfId="0" applyNumberFormat="1" applyFont="1" applyFill="1" applyBorder="1"/>
    <xf numFmtId="221" fontId="28" fillId="0" borderId="0" xfId="0" applyNumberFormat="1" applyFont="1" applyFill="1" applyBorder="1"/>
    <xf numFmtId="173" fontId="0" fillId="0" borderId="0" xfId="0" applyFont="1" applyFill="1" applyBorder="1" applyAlignment="1"/>
    <xf numFmtId="221" fontId="0" fillId="0" borderId="0" xfId="0" applyNumberFormat="1" applyFill="1" applyBorder="1" applyAlignment="1" applyProtection="1">
      <alignment horizontal="center"/>
      <protection locked="0"/>
    </xf>
    <xf numFmtId="49" fontId="22" fillId="0" borderId="0" xfId="0" applyNumberFormat="1" applyFont="1" applyFill="1" applyBorder="1"/>
    <xf numFmtId="49" fontId="22" fillId="0" borderId="0" xfId="0" applyNumberFormat="1" applyFont="1" applyFill="1" applyBorder="1" applyAlignment="1">
      <alignment horizontal="center"/>
    </xf>
    <xf numFmtId="3" fontId="0" fillId="0" borderId="0" xfId="0" applyNumberFormat="1" applyFont="1" applyFill="1" applyBorder="1" applyAlignment="1"/>
    <xf numFmtId="221" fontId="0" fillId="0" borderId="0" xfId="0" applyNumberFormat="1" applyFont="1" applyFill="1" applyBorder="1" applyAlignment="1"/>
    <xf numFmtId="3" fontId="24" fillId="0" borderId="0" xfId="0" applyNumberFormat="1" applyFont="1" applyFill="1" applyBorder="1" applyAlignment="1">
      <alignment horizontal="center"/>
    </xf>
    <xf numFmtId="221" fontId="0" fillId="0" borderId="0" xfId="0" applyNumberFormat="1" applyFont="1" applyFill="1" applyBorder="1" applyAlignment="1">
      <alignment horizontal="center"/>
    </xf>
    <xf numFmtId="221" fontId="24" fillId="0" borderId="0" xfId="0" applyNumberFormat="1" applyFont="1" applyFill="1" applyBorder="1" applyAlignment="1" applyProtection="1">
      <alignment horizontal="center"/>
      <protection locked="0"/>
    </xf>
    <xf numFmtId="221" fontId="24" fillId="0" borderId="0" xfId="0" applyNumberFormat="1" applyFont="1" applyFill="1" applyBorder="1" applyAlignment="1"/>
    <xf numFmtId="221" fontId="58" fillId="0" borderId="0" xfId="0" applyNumberFormat="1" applyFont="1" applyFill="1" applyBorder="1" applyAlignment="1" applyProtection="1">
      <alignment horizontal="center"/>
      <protection locked="0"/>
    </xf>
    <xf numFmtId="3" fontId="0" fillId="0" borderId="0" xfId="0" applyNumberFormat="1" applyFill="1" applyBorder="1" applyAlignment="1">
      <alignment horizontal="center"/>
    </xf>
    <xf numFmtId="3" fontId="22" fillId="0" borderId="0" xfId="0" applyNumberFormat="1" applyFont="1" applyFill="1" applyBorder="1" applyAlignment="1">
      <alignment horizontal="center"/>
    </xf>
    <xf numFmtId="41" fontId="22" fillId="2" borderId="0" xfId="0" applyNumberFormat="1" applyFont="1" applyFill="1" applyBorder="1" applyAlignment="1"/>
    <xf numFmtId="10" fontId="22" fillId="0" borderId="0" xfId="0" applyNumberFormat="1" applyFont="1" applyFill="1" applyBorder="1" applyAlignment="1"/>
    <xf numFmtId="10" fontId="0" fillId="0" borderId="0" xfId="11" applyNumberFormat="1" applyFont="1" applyFill="1" applyBorder="1" applyAlignment="1"/>
    <xf numFmtId="10" fontId="24" fillId="0" borderId="0" xfId="0" applyNumberFormat="1" applyFont="1" applyFill="1" applyBorder="1" applyAlignment="1"/>
    <xf numFmtId="3" fontId="27" fillId="0" borderId="0" xfId="0" applyNumberFormat="1" applyFont="1" applyFill="1" applyBorder="1" applyAlignment="1"/>
    <xf numFmtId="49" fontId="0" fillId="0" borderId="0" xfId="0" applyNumberFormat="1" applyFill="1" applyBorder="1" applyAlignment="1">
      <alignment horizontal="center"/>
    </xf>
    <xf numFmtId="3" fontId="0" fillId="0" borderId="0" xfId="0" applyNumberFormat="1" applyFont="1" applyFill="1" applyBorder="1" applyAlignment="1">
      <alignment horizontal="center"/>
    </xf>
    <xf numFmtId="49" fontId="27" fillId="0" borderId="0" xfId="0" applyNumberFormat="1" applyFont="1" applyFill="1" applyBorder="1" applyAlignment="1">
      <alignment horizontal="center"/>
    </xf>
    <xf numFmtId="173" fontId="27" fillId="0" borderId="0" xfId="0" applyFont="1" applyFill="1" applyBorder="1" applyAlignment="1"/>
    <xf numFmtId="3" fontId="24" fillId="0" borderId="0" xfId="0" applyNumberFormat="1" applyFont="1" applyFill="1" applyBorder="1" applyAlignment="1"/>
    <xf numFmtId="10" fontId="24" fillId="0" borderId="0" xfId="11" applyNumberFormat="1" applyFont="1" applyFill="1" applyBorder="1" applyAlignment="1"/>
    <xf numFmtId="49" fontId="0" fillId="0" borderId="0" xfId="0" applyNumberFormat="1" applyFont="1" applyFill="1" applyBorder="1" applyAlignment="1">
      <alignment horizontal="center"/>
    </xf>
    <xf numFmtId="173" fontId="29" fillId="0" borderId="0" xfId="0" applyFont="1" applyFill="1" applyBorder="1" applyAlignment="1"/>
    <xf numFmtId="164" fontId="22" fillId="0" borderId="0" xfId="0" applyNumberFormat="1" applyFont="1" applyFill="1" applyBorder="1" applyAlignment="1">
      <alignment horizontal="center"/>
    </xf>
    <xf numFmtId="10" fontId="22" fillId="0" borderId="0" xfId="11" applyNumberFormat="1" applyFont="1" applyFill="1" applyBorder="1" applyAlignment="1"/>
    <xf numFmtId="49" fontId="20" fillId="0" borderId="0" xfId="0" applyNumberFormat="1" applyFont="1" applyFill="1" applyBorder="1" applyAlignment="1">
      <alignment horizontal="left"/>
    </xf>
    <xf numFmtId="221" fontId="20" fillId="0" borderId="0" xfId="0" applyNumberFormat="1" applyFont="1" applyFill="1" applyBorder="1" applyAlignment="1">
      <alignment horizontal="right"/>
    </xf>
    <xf numFmtId="49" fontId="0" fillId="0" borderId="0" xfId="0" applyNumberFormat="1" applyFill="1" applyBorder="1" applyAlignment="1">
      <alignment horizontal="left"/>
    </xf>
    <xf numFmtId="173" fontId="22" fillId="0" borderId="0" xfId="0" applyFont="1" applyFill="1" applyBorder="1" applyAlignment="1">
      <alignment horizontal="right"/>
    </xf>
    <xf numFmtId="177" fontId="24" fillId="0" borderId="0" xfId="0" applyNumberFormat="1" applyFont="1" applyFill="1" applyBorder="1" applyAlignment="1">
      <alignment horizontal="center"/>
    </xf>
    <xf numFmtId="173" fontId="27" fillId="0" borderId="15" xfId="0" applyFont="1" applyFill="1" applyBorder="1" applyAlignment="1">
      <alignment horizontal="center" wrapText="1"/>
    </xf>
    <xf numFmtId="173" fontId="27" fillId="0" borderId="16" xfId="0" applyFont="1" applyFill="1" applyBorder="1" applyAlignment="1"/>
    <xf numFmtId="173" fontId="27" fillId="0" borderId="16" xfId="0" applyFont="1" applyFill="1" applyBorder="1" applyAlignment="1">
      <alignment horizontal="center" wrapText="1"/>
    </xf>
    <xf numFmtId="221" fontId="24" fillId="0" borderId="16" xfId="0" applyNumberFormat="1" applyFont="1" applyFill="1" applyBorder="1" applyAlignment="1">
      <alignment horizontal="center" wrapText="1"/>
    </xf>
    <xf numFmtId="173" fontId="27" fillId="0" borderId="14" xfId="0" applyFont="1" applyFill="1" applyBorder="1" applyAlignment="1">
      <alignment horizontal="center" wrapText="1"/>
    </xf>
    <xf numFmtId="3" fontId="24" fillId="0" borderId="14" xfId="0" applyNumberFormat="1" applyFont="1" applyFill="1" applyBorder="1" applyAlignment="1">
      <alignment horizontal="center" wrapText="1"/>
    </xf>
    <xf numFmtId="3" fontId="24" fillId="0" borderId="16" xfId="0" applyNumberFormat="1" applyFont="1" applyFill="1" applyBorder="1" applyAlignment="1">
      <alignment horizontal="center" wrapText="1"/>
    </xf>
    <xf numFmtId="221" fontId="22" fillId="0" borderId="15" xfId="0" applyNumberFormat="1" applyFont="1" applyFill="1" applyBorder="1"/>
    <xf numFmtId="221" fontId="22" fillId="0" borderId="16" xfId="0" applyNumberFormat="1" applyFont="1" applyFill="1" applyBorder="1"/>
    <xf numFmtId="221" fontId="22" fillId="0" borderId="16" xfId="0" applyNumberFormat="1" applyFont="1" applyFill="1" applyBorder="1" applyAlignment="1">
      <alignment horizontal="center"/>
    </xf>
    <xf numFmtId="221" fontId="22" fillId="0" borderId="14" xfId="0" applyNumberFormat="1" applyFont="1" applyFill="1" applyBorder="1" applyAlignment="1">
      <alignment horizontal="center"/>
    </xf>
    <xf numFmtId="3" fontId="22" fillId="0" borderId="16" xfId="0" applyNumberFormat="1" applyFont="1" applyFill="1" applyBorder="1" applyAlignment="1">
      <alignment horizontal="center"/>
    </xf>
    <xf numFmtId="3" fontId="22" fillId="0" borderId="14" xfId="0" applyNumberFormat="1" applyFont="1" applyFill="1" applyBorder="1" applyAlignment="1">
      <alignment horizontal="center" wrapText="1"/>
    </xf>
    <xf numFmtId="221" fontId="22" fillId="0" borderId="3" xfId="0" applyNumberFormat="1" applyFont="1" applyFill="1" applyBorder="1"/>
    <xf numFmtId="221" fontId="22" fillId="0" borderId="17" xfId="0" applyNumberFormat="1" applyFont="1" applyFill="1" applyBorder="1"/>
    <xf numFmtId="3" fontId="22" fillId="0" borderId="17" xfId="0" applyNumberFormat="1" applyFont="1" applyFill="1" applyBorder="1" applyAlignment="1"/>
    <xf numFmtId="173" fontId="0" fillId="0" borderId="3" xfId="0" applyFill="1" applyBorder="1" applyAlignment="1"/>
    <xf numFmtId="175" fontId="0" fillId="2" borderId="0" xfId="12" applyNumberFormat="1" applyFont="1" applyFill="1" applyBorder="1" applyAlignment="1"/>
    <xf numFmtId="173" fontId="0" fillId="0" borderId="17" xfId="0" applyFill="1" applyBorder="1" applyAlignment="1"/>
    <xf numFmtId="175" fontId="22" fillId="2" borderId="0" xfId="12" applyNumberFormat="1" applyFont="1" applyFill="1" applyBorder="1" applyAlignment="1"/>
    <xf numFmtId="173" fontId="21" fillId="0" borderId="0" xfId="0" applyFont="1" applyFill="1" applyBorder="1" applyAlignment="1"/>
    <xf numFmtId="173" fontId="21" fillId="0" borderId="17" xfId="0" applyFont="1" applyFill="1" applyBorder="1" applyAlignment="1"/>
    <xf numFmtId="173" fontId="0" fillId="0" borderId="5" xfId="0" applyFill="1" applyBorder="1" applyAlignment="1"/>
    <xf numFmtId="173" fontId="0" fillId="0" borderId="6" xfId="0" applyFill="1" applyBorder="1" applyAlignment="1"/>
    <xf numFmtId="173" fontId="21" fillId="0" borderId="6" xfId="0" applyFont="1" applyFill="1" applyBorder="1" applyAlignment="1"/>
    <xf numFmtId="173" fontId="21" fillId="0" borderId="12" xfId="0" applyFont="1" applyFill="1" applyBorder="1" applyAlignment="1"/>
    <xf numFmtId="1" fontId="22" fillId="0" borderId="0" xfId="13" applyNumberFormat="1" applyFont="1" applyFill="1" applyBorder="1" applyAlignment="1">
      <alignment horizontal="center"/>
    </xf>
    <xf numFmtId="173" fontId="19" fillId="0" borderId="0" xfId="0" applyFont="1" applyFill="1" applyBorder="1" applyAlignment="1">
      <alignment horizontal="center"/>
    </xf>
    <xf numFmtId="173" fontId="19" fillId="0" borderId="0" xfId="0" applyFont="1" applyFill="1" applyBorder="1" applyAlignment="1">
      <alignment horizontal="center" vertical="top"/>
    </xf>
    <xf numFmtId="173" fontId="20" fillId="0" borderId="0" xfId="0" applyFont="1" applyFill="1" applyBorder="1" applyAlignment="1"/>
    <xf numFmtId="49" fontId="20" fillId="0" borderId="0" xfId="0" applyNumberFormat="1" applyFont="1" applyFill="1" applyBorder="1" applyAlignment="1">
      <alignment horizontal="center"/>
    </xf>
    <xf numFmtId="173" fontId="30" fillId="0" borderId="0" xfId="0" applyFont="1" applyFill="1"/>
    <xf numFmtId="169" fontId="24" fillId="2" borderId="0" xfId="0" applyNumberFormat="1" applyFont="1" applyFill="1" applyAlignment="1"/>
    <xf numFmtId="221" fontId="54" fillId="0" borderId="0" xfId="7" applyFont="1"/>
    <xf numFmtId="221" fontId="24" fillId="0" borderId="0" xfId="7" applyFont="1" applyBorder="1" applyAlignment="1">
      <alignment horizontal="center"/>
    </xf>
    <xf numFmtId="221" fontId="44" fillId="0" borderId="0" xfId="5" applyFont="1" applyFill="1" applyAlignment="1">
      <alignment horizontal="centerContinuous"/>
    </xf>
    <xf numFmtId="221" fontId="44" fillId="0" borderId="0" xfId="7" applyFont="1" applyFill="1" applyAlignment="1">
      <alignment horizontal="center"/>
    </xf>
    <xf numFmtId="42" fontId="22" fillId="0" borderId="0" xfId="7" applyNumberFormat="1" applyFont="1" applyFill="1"/>
    <xf numFmtId="221" fontId="22" fillId="0" borderId="0" xfId="7" applyFont="1" applyFill="1"/>
    <xf numFmtId="42" fontId="52" fillId="0" borderId="0" xfId="7" applyNumberFormat="1" applyFont="1" applyFill="1" applyAlignment="1">
      <alignment vertical="center"/>
    </xf>
    <xf numFmtId="221" fontId="22" fillId="0" borderId="0" xfId="0" applyNumberFormat="1" applyFont="1" applyFill="1" applyBorder="1" applyAlignment="1" applyProtection="1">
      <alignment horizontal="centerContinuous"/>
      <protection locked="0"/>
    </xf>
    <xf numFmtId="3" fontId="22" fillId="0" borderId="0" xfId="0" applyNumberFormat="1" applyFont="1" applyFill="1" applyBorder="1" applyAlignment="1">
      <alignment horizontal="centerContinuous"/>
    </xf>
    <xf numFmtId="221" fontId="22" fillId="0" borderId="0" xfId="0" applyNumberFormat="1" applyFont="1" applyFill="1" applyBorder="1" applyAlignment="1">
      <alignment horizontal="centerContinuous"/>
    </xf>
    <xf numFmtId="173" fontId="22" fillId="0" borderId="0" xfId="0" applyFont="1" applyFill="1" applyBorder="1" applyAlignment="1">
      <alignment horizontal="centerContinuous"/>
    </xf>
    <xf numFmtId="37" fontId="22" fillId="0" borderId="0" xfId="0" applyNumberFormat="1" applyFont="1" applyFill="1" applyAlignment="1"/>
    <xf numFmtId="37" fontId="22" fillId="0" borderId="1" xfId="0" applyNumberFormat="1" applyFont="1" applyFill="1" applyBorder="1" applyAlignment="1"/>
    <xf numFmtId="37" fontId="22" fillId="0" borderId="0" xfId="0" applyNumberFormat="1" applyFont="1" applyAlignment="1"/>
    <xf numFmtId="37" fontId="22" fillId="0" borderId="1" xfId="0" applyNumberFormat="1" applyFont="1" applyBorder="1" applyAlignment="1"/>
    <xf numFmtId="37" fontId="37" fillId="0" borderId="0" xfId="0" applyNumberFormat="1" applyFont="1" applyAlignment="1"/>
    <xf numFmtId="37" fontId="22" fillId="0" borderId="0" xfId="0" applyNumberFormat="1" applyFont="1" applyBorder="1" applyAlignment="1"/>
    <xf numFmtId="37" fontId="22" fillId="0" borderId="0" xfId="0" applyNumberFormat="1" applyFont="1" applyFill="1"/>
    <xf numFmtId="37" fontId="22" fillId="0" borderId="0" xfId="0" applyNumberFormat="1" applyFont="1"/>
    <xf numFmtId="37" fontId="37" fillId="2" borderId="0" xfId="0" applyNumberFormat="1" applyFont="1" applyFill="1" applyAlignment="1"/>
    <xf numFmtId="37" fontId="22" fillId="2" borderId="1" xfId="0" applyNumberFormat="1" applyFont="1" applyFill="1" applyBorder="1" applyAlignment="1"/>
    <xf numFmtId="173" fontId="22" fillId="0" borderId="0" xfId="0" applyFont="1" applyBorder="1" applyAlignment="1"/>
    <xf numFmtId="173" fontId="22" fillId="0" borderId="0" xfId="0" applyFont="1" applyFill="1" applyAlignment="1" applyProtection="1"/>
    <xf numFmtId="38" fontId="22" fillId="0" borderId="0" xfId="0" applyNumberFormat="1" applyFont="1" applyAlignment="1" applyProtection="1"/>
    <xf numFmtId="38" fontId="22" fillId="0" borderId="0" xfId="0" applyNumberFormat="1" applyFont="1" applyAlignment="1"/>
    <xf numFmtId="3" fontId="22" fillId="0" borderId="0" xfId="0" applyNumberFormat="1" applyFont="1" applyFill="1" applyAlignment="1" applyProtection="1"/>
    <xf numFmtId="170" fontId="22" fillId="0" borderId="0" xfId="0" applyNumberFormat="1" applyFont="1" applyProtection="1">
      <protection locked="0"/>
    </xf>
    <xf numFmtId="221" fontId="49" fillId="0" borderId="0" xfId="0" applyNumberFormat="1" applyFont="1" applyProtection="1">
      <protection locked="0"/>
    </xf>
    <xf numFmtId="221" fontId="49" fillId="0" borderId="0" xfId="0" applyNumberFormat="1" applyFont="1" applyFill="1" applyProtection="1">
      <protection locked="0"/>
    </xf>
    <xf numFmtId="173" fontId="60" fillId="0" borderId="0" xfId="0" applyFont="1" applyAlignment="1"/>
    <xf numFmtId="10" fontId="22" fillId="0" borderId="0" xfId="0" applyNumberFormat="1" applyFont="1" applyFill="1"/>
    <xf numFmtId="221" fontId="30" fillId="0" borderId="0" xfId="0" applyNumberFormat="1" applyFont="1" applyFill="1"/>
    <xf numFmtId="221" fontId="30" fillId="0" borderId="0" xfId="0" applyNumberFormat="1" applyFont="1"/>
    <xf numFmtId="37" fontId="22" fillId="0" borderId="0" xfId="0" applyNumberFormat="1" applyFont="1" applyFill="1" applyBorder="1" applyProtection="1"/>
    <xf numFmtId="175" fontId="53" fillId="2" borderId="0" xfId="12" applyNumberFormat="1" applyFont="1" applyFill="1" applyBorder="1" applyAlignment="1"/>
    <xf numFmtId="221" fontId="30" fillId="0" borderId="0" xfId="8" applyFont="1" applyAlignment="1">
      <alignment horizontal="right"/>
    </xf>
    <xf numFmtId="221" fontId="30" fillId="0" borderId="0" xfId="8" applyFont="1" applyBorder="1"/>
    <xf numFmtId="41" fontId="30" fillId="0" borderId="0" xfId="8" applyNumberFormat="1" applyFont="1" applyBorder="1"/>
    <xf numFmtId="221" fontId="30" fillId="0" borderId="0" xfId="8" applyFont="1" applyFill="1" applyBorder="1"/>
    <xf numFmtId="221" fontId="30" fillId="0" borderId="0" xfId="8" applyFont="1" applyFill="1" applyBorder="1" applyAlignment="1">
      <alignment horizontal="left"/>
    </xf>
    <xf numFmtId="221" fontId="32" fillId="0" borderId="0" xfId="8" applyFont="1" applyFill="1" applyBorder="1" applyAlignment="1">
      <alignment horizontal="center"/>
    </xf>
    <xf numFmtId="41" fontId="30" fillId="0" borderId="0" xfId="8" applyNumberFormat="1" applyFont="1" applyFill="1" applyBorder="1"/>
    <xf numFmtId="41" fontId="32" fillId="0" borderId="0" xfId="8" applyNumberFormat="1" applyFont="1" applyFill="1" applyBorder="1"/>
    <xf numFmtId="41" fontId="42" fillId="0" borderId="0" xfId="8" applyNumberFormat="1" applyFont="1" applyFill="1" applyBorder="1" applyAlignment="1">
      <alignment vertical="center"/>
    </xf>
    <xf numFmtId="221" fontId="30" fillId="0" borderId="0" xfId="8" applyFont="1" applyFill="1" applyBorder="1" applyAlignment="1">
      <alignment horizontal="center"/>
    </xf>
    <xf numFmtId="37" fontId="30" fillId="0" borderId="0" xfId="8" applyNumberFormat="1" applyFont="1" applyFill="1" applyBorder="1"/>
    <xf numFmtId="41" fontId="30" fillId="0" borderId="0" xfId="13" applyNumberFormat="1" applyFont="1" applyFill="1" applyBorder="1"/>
    <xf numFmtId="221" fontId="26" fillId="0" borderId="0" xfId="15" applyFont="1" applyFill="1"/>
    <xf numFmtId="221" fontId="47" fillId="0" borderId="0" xfId="15" applyFont="1" applyFill="1"/>
    <xf numFmtId="221" fontId="22" fillId="0" borderId="0" xfId="0" applyNumberFormat="1" applyFont="1" applyAlignment="1" applyProtection="1">
      <alignment horizontal="centerContinuous"/>
      <protection locked="0"/>
    </xf>
    <xf numFmtId="221" fontId="22" fillId="0" borderId="0" xfId="0" applyNumberFormat="1" applyFont="1" applyFill="1" applyAlignment="1">
      <alignment horizontal="centerContinuous"/>
    </xf>
    <xf numFmtId="3" fontId="22" fillId="0" borderId="0" xfId="0" applyNumberFormat="1" applyFont="1" applyAlignment="1">
      <alignment horizontal="centerContinuous"/>
    </xf>
    <xf numFmtId="221" fontId="22" fillId="0" borderId="0" xfId="0" applyNumberFormat="1" applyFont="1" applyAlignment="1">
      <alignment horizontal="centerContinuous"/>
    </xf>
    <xf numFmtId="221" fontId="22" fillId="0" borderId="0" xfId="0" applyNumberFormat="1" applyFont="1" applyFill="1" applyAlignment="1" applyProtection="1">
      <alignment horizontal="centerContinuous"/>
      <protection locked="0"/>
    </xf>
    <xf numFmtId="173" fontId="54" fillId="0" borderId="0" xfId="0" applyFont="1" applyFill="1" applyAlignment="1">
      <alignment horizontal="centerContinuous"/>
    </xf>
    <xf numFmtId="173" fontId="22" fillId="0" borderId="0" xfId="0" applyFont="1" applyFill="1" applyAlignment="1">
      <alignment horizontal="centerContinuous"/>
    </xf>
    <xf numFmtId="3" fontId="22" fillId="0" borderId="0" xfId="0" applyNumberFormat="1" applyFont="1" applyFill="1" applyAlignment="1">
      <alignment horizontal="centerContinuous"/>
    </xf>
    <xf numFmtId="173" fontId="22" fillId="0" borderId="0" xfId="0" applyFont="1" applyFill="1" applyBorder="1" applyAlignment="1">
      <alignment horizontal="left"/>
    </xf>
    <xf numFmtId="173" fontId="0" fillId="0" borderId="0" xfId="0" applyFill="1" applyBorder="1" applyAlignment="1">
      <alignment horizontal="centerContinuous"/>
    </xf>
    <xf numFmtId="221" fontId="24" fillId="0" borderId="0" xfId="0" applyNumberFormat="1" applyFont="1" applyFill="1" applyBorder="1" applyAlignment="1">
      <alignment horizontal="centerContinuous"/>
    </xf>
    <xf numFmtId="49" fontId="54" fillId="0" borderId="0" xfId="0" applyNumberFormat="1" applyFont="1" applyFill="1" applyBorder="1" applyAlignment="1">
      <alignment horizontal="centerContinuous"/>
    </xf>
    <xf numFmtId="49" fontId="22" fillId="0" borderId="0" xfId="0" applyNumberFormat="1" applyFont="1" applyFill="1" applyBorder="1" applyAlignment="1">
      <alignment horizontal="centerContinuous"/>
    </xf>
    <xf numFmtId="37" fontId="54" fillId="4" borderId="0" xfId="0" applyNumberFormat="1" applyFont="1" applyFill="1" applyAlignment="1"/>
    <xf numFmtId="221" fontId="30" fillId="0" borderId="0" xfId="10" applyFont="1"/>
    <xf numFmtId="221" fontId="22" fillId="0" borderId="0" xfId="0" applyNumberFormat="1" applyFont="1" applyBorder="1"/>
    <xf numFmtId="221" fontId="115" fillId="0" borderId="0" xfId="0" applyNumberFormat="1" applyFont="1" applyBorder="1" applyAlignment="1" applyProtection="1">
      <alignment horizontal="center"/>
      <protection locked="0"/>
    </xf>
    <xf numFmtId="173" fontId="115" fillId="0" borderId="0" xfId="0" applyFont="1" applyAlignment="1"/>
    <xf numFmtId="221" fontId="116" fillId="0" borderId="0" xfId="0" applyNumberFormat="1" applyFont="1" applyAlignment="1" applyProtection="1">
      <alignment horizontal="center"/>
      <protection locked="0"/>
    </xf>
    <xf numFmtId="173" fontId="115" fillId="0" borderId="0" xfId="0" applyFont="1" applyAlignment="1">
      <alignment horizontal="centerContinuous"/>
    </xf>
    <xf numFmtId="221" fontId="115" fillId="0" borderId="0" xfId="0" applyNumberFormat="1" applyFont="1" applyAlignment="1"/>
    <xf numFmtId="221" fontId="22" fillId="0" borderId="0" xfId="0" applyNumberFormat="1" applyFont="1" applyFill="1" applyAlignment="1" applyProtection="1">
      <alignment horizontal="right"/>
      <protection locked="0"/>
    </xf>
    <xf numFmtId="173" fontId="115" fillId="0" borderId="0" xfId="0" applyFont="1" applyBorder="1" applyAlignment="1"/>
    <xf numFmtId="221" fontId="115" fillId="0" borderId="0" xfId="0" applyNumberFormat="1" applyFont="1" applyBorder="1"/>
    <xf numFmtId="221" fontId="115" fillId="0" borderId="0" xfId="0" applyNumberFormat="1" applyFont="1" applyBorder="1" applyAlignment="1"/>
    <xf numFmtId="173" fontId="115" fillId="0" borderId="0" xfId="0" applyFont="1" applyBorder="1" applyAlignment="1">
      <alignment horizontal="centerContinuous"/>
    </xf>
    <xf numFmtId="221" fontId="54" fillId="0" borderId="0" xfId="0" applyNumberFormat="1" applyFont="1" applyFill="1" applyAlignment="1" applyProtection="1">
      <alignment horizontal="centerContinuous"/>
      <protection locked="0"/>
    </xf>
    <xf numFmtId="221" fontId="30" fillId="0" borderId="0" xfId="6" applyFont="1"/>
    <xf numFmtId="173" fontId="22" fillId="0" borderId="0" xfId="325" applyFont="1" applyAlignment="1"/>
    <xf numFmtId="173" fontId="19" fillId="0" borderId="0" xfId="325" applyFont="1" applyAlignment="1"/>
    <xf numFmtId="173" fontId="22" fillId="0" borderId="0" xfId="325" applyFont="1" applyFill="1" applyAlignment="1"/>
    <xf numFmtId="173" fontId="19" fillId="0" borderId="0" xfId="325" applyFont="1" applyFill="1" applyAlignment="1"/>
    <xf numFmtId="221" fontId="22" fillId="0" borderId="0" xfId="325" applyNumberFormat="1" applyFont="1" applyFill="1"/>
    <xf numFmtId="221" fontId="19" fillId="0" borderId="0" xfId="325" applyNumberFormat="1" applyFont="1" applyFill="1"/>
    <xf numFmtId="221" fontId="117" fillId="0" borderId="0" xfId="326"/>
    <xf numFmtId="221" fontId="22" fillId="0" borderId="0" xfId="325" applyNumberFormat="1" applyFont="1" applyFill="1" applyProtection="1">
      <protection locked="0"/>
    </xf>
    <xf numFmtId="221" fontId="19" fillId="0" borderId="0" xfId="325" applyNumberFormat="1" applyFont="1" applyFill="1" applyProtection="1">
      <protection locked="0"/>
    </xf>
    <xf numFmtId="221" fontId="22" fillId="0" borderId="0" xfId="326" applyFont="1"/>
    <xf numFmtId="173" fontId="22" fillId="0" borderId="0" xfId="325" applyFont="1" applyAlignment="1" applyProtection="1">
      <protection locked="0"/>
    </xf>
    <xf numFmtId="221" fontId="22" fillId="0" borderId="0" xfId="326" applyNumberFormat="1" applyFont="1" applyFill="1"/>
    <xf numFmtId="221" fontId="22" fillId="0" borderId="0" xfId="326" applyFont="1" applyFill="1"/>
    <xf numFmtId="221" fontId="19" fillId="0" borderId="0" xfId="325" applyNumberFormat="1" applyFont="1" applyFill="1" applyAlignment="1" applyProtection="1">
      <alignment horizontal="center"/>
      <protection locked="0"/>
    </xf>
    <xf numFmtId="272" fontId="22" fillId="0" borderId="0" xfId="325" applyNumberFormat="1" applyFont="1" applyAlignment="1"/>
    <xf numFmtId="221" fontId="22" fillId="0" borderId="0" xfId="326" quotePrefix="1" applyFont="1"/>
    <xf numFmtId="221" fontId="22" fillId="0" borderId="0" xfId="326" applyFont="1" applyAlignment="1">
      <alignment horizontal="center"/>
    </xf>
    <xf numFmtId="221" fontId="22" fillId="0" borderId="0" xfId="325" applyNumberFormat="1" applyFont="1" applyProtection="1">
      <protection locked="0"/>
    </xf>
    <xf numFmtId="43" fontId="22" fillId="0" borderId="0" xfId="89" applyFont="1" applyAlignment="1"/>
    <xf numFmtId="1" fontId="22" fillId="0" borderId="0" xfId="325" applyNumberFormat="1" applyFont="1" applyAlignment="1" applyProtection="1">
      <alignment horizontal="center"/>
      <protection locked="0"/>
    </xf>
    <xf numFmtId="221" fontId="22" fillId="0" borderId="0" xfId="325" applyNumberFormat="1" applyFont="1" applyAlignment="1" applyProtection="1">
      <alignment horizontal="center"/>
      <protection locked="0"/>
    </xf>
    <xf numFmtId="221" fontId="19" fillId="0" borderId="0" xfId="325" applyNumberFormat="1" applyFont="1" applyAlignment="1" applyProtection="1">
      <alignment horizontal="center"/>
      <protection locked="0"/>
    </xf>
    <xf numFmtId="221" fontId="22" fillId="0" borderId="0" xfId="325" applyNumberFormat="1" applyFont="1" applyBorder="1" applyAlignment="1" applyProtection="1">
      <alignment horizontal="center"/>
      <protection locked="0"/>
    </xf>
    <xf numFmtId="173" fontId="24" fillId="0" borderId="0" xfId="325" applyFont="1" applyAlignment="1">
      <alignment horizontal="center"/>
    </xf>
    <xf numFmtId="170" fontId="22" fillId="0" borderId="0" xfId="325" applyNumberFormat="1" applyFont="1" applyFill="1" applyBorder="1" applyAlignment="1" applyProtection="1">
      <protection locked="0"/>
    </xf>
    <xf numFmtId="221" fontId="22" fillId="0" borderId="0" xfId="326" applyNumberFormat="1" applyFont="1"/>
    <xf numFmtId="42" fontId="22" fillId="0" borderId="0" xfId="325" applyNumberFormat="1" applyFont="1" applyFill="1" applyBorder="1" applyAlignment="1" applyProtection="1">
      <protection locked="0"/>
    </xf>
    <xf numFmtId="42" fontId="22" fillId="0" borderId="22" xfId="325" applyNumberFormat="1" applyFont="1" applyFill="1" applyBorder="1" applyAlignment="1" applyProtection="1">
      <protection locked="0"/>
    </xf>
    <xf numFmtId="1" fontId="22" fillId="0" borderId="20" xfId="325" applyNumberFormat="1" applyFont="1" applyBorder="1" applyAlignment="1" applyProtection="1">
      <alignment horizontal="center"/>
      <protection locked="0"/>
    </xf>
    <xf numFmtId="221" fontId="22" fillId="0" borderId="20" xfId="325" applyNumberFormat="1" applyFont="1" applyBorder="1" applyProtection="1">
      <protection locked="0"/>
    </xf>
    <xf numFmtId="221" fontId="22" fillId="0" borderId="23" xfId="326" applyNumberFormat="1" applyFont="1" applyBorder="1"/>
    <xf numFmtId="42" fontId="22" fillId="0" borderId="0" xfId="325" applyNumberFormat="1" applyFont="1" applyFill="1" applyAlignment="1"/>
    <xf numFmtId="42" fontId="22" fillId="0" borderId="0" xfId="325" applyNumberFormat="1" applyFont="1" applyBorder="1" applyAlignment="1" applyProtection="1">
      <protection locked="0"/>
    </xf>
    <xf numFmtId="42" fontId="22" fillId="0" borderId="0" xfId="325" applyNumberFormat="1" applyFont="1" applyBorder="1" applyProtection="1">
      <protection locked="0"/>
    </xf>
    <xf numFmtId="221" fontId="19" fillId="0" borderId="0" xfId="325" applyNumberFormat="1" applyFont="1" applyBorder="1" applyAlignment="1" applyProtection="1">
      <alignment horizontal="center"/>
      <protection locked="0"/>
    </xf>
    <xf numFmtId="221" fontId="24" fillId="0" borderId="0" xfId="325" applyNumberFormat="1" applyFont="1" applyAlignment="1" applyProtection="1">
      <alignment horizontal="center"/>
      <protection locked="0"/>
    </xf>
    <xf numFmtId="49" fontId="22" fillId="0" borderId="0" xfId="325" applyNumberFormat="1" applyFont="1" applyAlignment="1" applyProtection="1">
      <alignment horizontal="center"/>
      <protection locked="0"/>
    </xf>
    <xf numFmtId="49" fontId="38" fillId="0" borderId="0" xfId="325" applyNumberFormat="1" applyFont="1" applyAlignment="1" applyProtection="1">
      <alignment horizontal="center"/>
      <protection locked="0"/>
    </xf>
    <xf numFmtId="49" fontId="38" fillId="0" borderId="0" xfId="325" applyNumberFormat="1" applyFont="1" applyAlignment="1" applyProtection="1">
      <alignment horizontal="left"/>
      <protection locked="0"/>
    </xf>
    <xf numFmtId="49" fontId="38" fillId="0" borderId="0" xfId="325" applyNumberFormat="1" applyFont="1" applyAlignment="1" applyProtection="1">
      <alignment horizontal="centerContinuous"/>
      <protection locked="0"/>
    </xf>
    <xf numFmtId="221" fontId="22" fillId="0" borderId="0" xfId="326" applyNumberFormat="1" applyFont="1" applyAlignment="1">
      <alignment horizontal="left"/>
    </xf>
    <xf numFmtId="221" fontId="22" fillId="0" borderId="0" xfId="326" applyNumberFormat="1" applyFont="1" applyAlignment="1">
      <alignment horizontal="centerContinuous"/>
    </xf>
    <xf numFmtId="3" fontId="22" fillId="0" borderId="0" xfId="326" applyNumberFormat="1" applyFont="1" applyAlignment="1">
      <alignment horizontal="left"/>
    </xf>
    <xf numFmtId="3" fontId="22" fillId="0" borderId="0" xfId="326" applyNumberFormat="1" applyFont="1" applyAlignment="1">
      <alignment horizontal="centerContinuous"/>
    </xf>
    <xf numFmtId="174" fontId="22" fillId="0" borderId="0" xfId="89" applyNumberFormat="1" applyFont="1" applyAlignment="1"/>
    <xf numFmtId="221" fontId="0" fillId="0" borderId="0" xfId="325" applyNumberFormat="1" applyFont="1" applyFill="1" applyAlignment="1" applyProtection="1">
      <alignment horizontal="center"/>
      <protection locked="0"/>
    </xf>
    <xf numFmtId="221" fontId="118" fillId="0" borderId="0" xfId="325" applyNumberFormat="1" applyFont="1" applyFill="1" applyAlignment="1" applyProtection="1">
      <alignment horizontal="center"/>
      <protection locked="0"/>
    </xf>
    <xf numFmtId="221" fontId="0" fillId="0" borderId="0" xfId="326" applyFont="1" applyAlignment="1">
      <alignment horizontal="center"/>
    </xf>
    <xf numFmtId="221" fontId="19" fillId="0" borderId="0" xfId="326" applyFont="1" applyAlignment="1">
      <alignment horizontal="center"/>
    </xf>
    <xf numFmtId="173" fontId="22" fillId="0" borderId="0" xfId="325" applyFont="1" applyAlignment="1">
      <alignment horizontal="center"/>
    </xf>
    <xf numFmtId="221" fontId="54" fillId="0" borderId="0" xfId="0" applyNumberFormat="1" applyFont="1" applyFill="1" applyBorder="1" applyAlignment="1">
      <alignment horizontal="centerContinuous"/>
    </xf>
    <xf numFmtId="42" fontId="22" fillId="0" borderId="0" xfId="0" applyNumberFormat="1" applyFont="1" applyAlignment="1"/>
    <xf numFmtId="42" fontId="22" fillId="0" borderId="2" xfId="0" applyNumberFormat="1" applyFont="1" applyBorder="1" applyAlignment="1"/>
    <xf numFmtId="37" fontId="22" fillId="4" borderId="0" xfId="0" applyNumberFormat="1" applyFont="1" applyFill="1" applyAlignment="1"/>
    <xf numFmtId="42" fontId="22" fillId="0" borderId="0" xfId="0" applyNumberFormat="1" applyFont="1" applyFill="1" applyAlignment="1">
      <alignment horizontal="right"/>
    </xf>
    <xf numFmtId="42" fontId="22" fillId="0" borderId="2" xfId="0" applyNumberFormat="1" applyFont="1" applyFill="1" applyBorder="1" applyAlignment="1"/>
    <xf numFmtId="49" fontId="30" fillId="0" borderId="0" xfId="0" applyNumberFormat="1" applyFont="1" applyFill="1" applyBorder="1" applyAlignment="1">
      <alignment horizontal="center"/>
    </xf>
    <xf numFmtId="173" fontId="30" fillId="0" borderId="0" xfId="325" applyFont="1" applyAlignment="1"/>
    <xf numFmtId="221" fontId="30" fillId="0" borderId="0" xfId="8" applyFont="1" applyFill="1"/>
    <xf numFmtId="221" fontId="35" fillId="0" borderId="0" xfId="6" applyFill="1"/>
    <xf numFmtId="221" fontId="22" fillId="0" borderId="0" xfId="0" applyNumberFormat="1" applyFont="1" applyFill="1" applyBorder="1" applyAlignment="1" applyProtection="1">
      <alignment horizontal="center"/>
      <protection locked="0"/>
    </xf>
    <xf numFmtId="173" fontId="22" fillId="0" borderId="0" xfId="0" applyFont="1" applyAlignment="1">
      <alignment horizontal="center"/>
    </xf>
    <xf numFmtId="41" fontId="22" fillId="0" borderId="0" xfId="0" applyNumberFormat="1" applyFont="1" applyAlignment="1"/>
    <xf numFmtId="42" fontId="52" fillId="0" borderId="0" xfId="0" applyNumberFormat="1" applyFont="1" applyAlignment="1"/>
    <xf numFmtId="173" fontId="22" fillId="0" borderId="0" xfId="0" applyFont="1" applyBorder="1" applyAlignment="1">
      <alignment horizontal="center"/>
    </xf>
    <xf numFmtId="173" fontId="0" fillId="15" borderId="0" xfId="0" applyFill="1" applyAlignment="1"/>
    <xf numFmtId="221" fontId="24" fillId="0" borderId="0" xfId="0" applyNumberFormat="1" applyFont="1" applyAlignment="1" applyProtection="1">
      <protection locked="0"/>
    </xf>
    <xf numFmtId="221" fontId="24" fillId="0" borderId="0" xfId="0" applyNumberFormat="1" applyFont="1" applyFill="1" applyAlignment="1"/>
    <xf numFmtId="221" fontId="24" fillId="0" borderId="0" xfId="0" applyNumberFormat="1" applyFont="1" applyFill="1" applyBorder="1" applyAlignment="1" applyProtection="1">
      <protection locked="0"/>
    </xf>
    <xf numFmtId="173" fontId="22" fillId="0" borderId="0" xfId="0" applyFont="1" applyFill="1"/>
    <xf numFmtId="221" fontId="22" fillId="0" borderId="0" xfId="5" applyFont="1"/>
    <xf numFmtId="221" fontId="45" fillId="0" borderId="0" xfId="5" applyFont="1" applyBorder="1" applyAlignment="1">
      <alignment horizontal="centerContinuous"/>
    </xf>
    <xf numFmtId="221" fontId="22" fillId="0" borderId="0" xfId="5" applyFont="1" applyBorder="1" applyAlignment="1">
      <alignment horizontal="left" indent="1"/>
    </xf>
    <xf numFmtId="221" fontId="22" fillId="0" borderId="0" xfId="7" applyFont="1" applyAlignment="1">
      <alignment horizontal="left" indent="1"/>
    </xf>
    <xf numFmtId="42" fontId="52" fillId="0" borderId="0" xfId="7" applyNumberFormat="1" applyFont="1"/>
    <xf numFmtId="41" fontId="37" fillId="0" borderId="0" xfId="7" applyNumberFormat="1" applyFont="1" applyFill="1"/>
    <xf numFmtId="42" fontId="52" fillId="0" borderId="0" xfId="7" applyNumberFormat="1" applyFont="1" applyFill="1"/>
    <xf numFmtId="173" fontId="115" fillId="0" borderId="0" xfId="0" applyFont="1" applyAlignment="1">
      <alignment horizontal="center"/>
    </xf>
    <xf numFmtId="221" fontId="115" fillId="0" borderId="0" xfId="0" applyNumberFormat="1" applyFont="1" applyAlignment="1" applyProtection="1">
      <alignment horizontal="center"/>
      <protection locked="0"/>
    </xf>
    <xf numFmtId="3" fontId="115" fillId="0" borderId="0" xfId="0" applyNumberFormat="1" applyFont="1" applyAlignment="1"/>
    <xf numFmtId="221" fontId="115" fillId="0" borderId="0" xfId="0" applyNumberFormat="1" applyFont="1" applyAlignment="1" applyProtection="1">
      <alignment horizontal="centerContinuous"/>
      <protection locked="0"/>
    </xf>
    <xf numFmtId="173" fontId="115" fillId="0" borderId="0" xfId="0" applyFont="1" applyBorder="1" applyAlignment="1">
      <alignment horizontal="center"/>
    </xf>
    <xf numFmtId="273" fontId="22" fillId="0" borderId="0" xfId="0" applyNumberFormat="1" applyFont="1" applyFill="1" applyAlignment="1">
      <alignment horizontal="right"/>
    </xf>
    <xf numFmtId="42" fontId="22" fillId="0" borderId="0" xfId="7" applyNumberFormat="1" applyFont="1"/>
    <xf numFmtId="37" fontId="37" fillId="0" borderId="0" xfId="0" applyNumberFormat="1" applyFont="1" applyFill="1" applyBorder="1" applyProtection="1">
      <protection locked="0"/>
    </xf>
    <xf numFmtId="37" fontId="37" fillId="0" borderId="1" xfId="0" applyNumberFormat="1" applyFont="1" applyFill="1" applyBorder="1" applyProtection="1">
      <protection locked="0"/>
    </xf>
    <xf numFmtId="10" fontId="37" fillId="2" borderId="0" xfId="0" applyNumberFormat="1" applyFont="1" applyFill="1" applyProtection="1">
      <protection locked="0"/>
    </xf>
    <xf numFmtId="10" fontId="22" fillId="0" borderId="0" xfId="0" applyNumberFormat="1" applyFont="1" applyFill="1" applyProtection="1">
      <protection locked="0"/>
    </xf>
    <xf numFmtId="221" fontId="118" fillId="0" borderId="0" xfId="325" applyNumberFormat="1" applyFont="1" applyBorder="1" applyAlignment="1" applyProtection="1">
      <alignment horizontal="left"/>
      <protection locked="0"/>
    </xf>
    <xf numFmtId="221" fontId="19" fillId="0" borderId="6" xfId="325" applyNumberFormat="1" applyFont="1" applyBorder="1" applyAlignment="1" applyProtection="1">
      <alignment horizontal="center"/>
      <protection locked="0"/>
    </xf>
    <xf numFmtId="173" fontId="0" fillId="0" borderId="0" xfId="0" applyFont="1" applyFill="1" applyBorder="1" applyAlignment="1">
      <alignment horizontal="center"/>
    </xf>
    <xf numFmtId="221" fontId="115" fillId="0" borderId="0" xfId="0" applyNumberFormat="1" applyFont="1" applyFill="1" applyBorder="1" applyAlignment="1" applyProtection="1">
      <alignment horizontal="center"/>
      <protection locked="0"/>
    </xf>
    <xf numFmtId="173" fontId="118" fillId="0" borderId="0" xfId="0" applyFont="1" applyFill="1" applyBorder="1" applyAlignment="1"/>
    <xf numFmtId="221" fontId="115" fillId="0" borderId="0" xfId="0" applyNumberFormat="1" applyFont="1" applyFill="1" applyBorder="1" applyAlignment="1"/>
    <xf numFmtId="173" fontId="115" fillId="0" borderId="0" xfId="0" applyFont="1" applyFill="1" applyBorder="1" applyAlignment="1">
      <alignment horizontal="center"/>
    </xf>
    <xf numFmtId="221" fontId="0" fillId="0" borderId="0" xfId="0" applyNumberFormat="1" applyFill="1" applyBorder="1" applyAlignment="1" applyProtection="1">
      <alignment horizontal="centerContinuous"/>
      <protection locked="0"/>
    </xf>
    <xf numFmtId="221" fontId="22" fillId="0" borderId="0" xfId="0" applyNumberFormat="1" applyFont="1" applyFill="1" applyBorder="1" applyAlignment="1">
      <alignment horizontal="right"/>
    </xf>
    <xf numFmtId="221" fontId="22" fillId="0" borderId="0" xfId="0" quotePrefix="1" applyNumberFormat="1" applyFont="1" applyAlignment="1">
      <alignment horizontal="left" indent="1"/>
    </xf>
    <xf numFmtId="221" fontId="22" fillId="0" borderId="0" xfId="0" quotePrefix="1" applyNumberFormat="1" applyFont="1" applyAlignment="1" applyProtection="1">
      <alignment horizontal="left"/>
      <protection locked="0"/>
    </xf>
    <xf numFmtId="221" fontId="22" fillId="0" borderId="0" xfId="0" quotePrefix="1" applyNumberFormat="1" applyFont="1" applyFill="1" applyAlignment="1" applyProtection="1">
      <alignment horizontal="left"/>
      <protection locked="0"/>
    </xf>
    <xf numFmtId="221" fontId="22" fillId="0" borderId="1" xfId="0" quotePrefix="1" applyNumberFormat="1" applyFont="1" applyFill="1" applyBorder="1" applyAlignment="1" applyProtection="1">
      <alignment horizontal="left"/>
      <protection locked="0"/>
    </xf>
    <xf numFmtId="221" fontId="24" fillId="0" borderId="0" xfId="0" quotePrefix="1" applyNumberFormat="1" applyFont="1" applyAlignment="1">
      <alignment horizontal="left"/>
    </xf>
    <xf numFmtId="173" fontId="0" fillId="4" borderId="0" xfId="0" applyFill="1" applyBorder="1" applyAlignment="1"/>
    <xf numFmtId="174" fontId="22" fillId="0" borderId="0" xfId="1" applyNumberFormat="1" applyFont="1"/>
    <xf numFmtId="174" fontId="22" fillId="0" borderId="0" xfId="0" applyNumberFormat="1" applyFont="1"/>
    <xf numFmtId="221" fontId="22" fillId="0" borderId="0" xfId="0" applyNumberFormat="1" applyFont="1" applyFill="1" applyAlignment="1">
      <alignment horizontal="right"/>
    </xf>
    <xf numFmtId="221" fontId="54" fillId="0" borderId="0" xfId="326" applyNumberFormat="1" applyFont="1" applyFill="1" applyAlignment="1">
      <alignment horizontal="centerContinuous"/>
    </xf>
    <xf numFmtId="172" fontId="22" fillId="0" borderId="0" xfId="0" applyNumberFormat="1" applyFont="1" applyAlignment="1">
      <alignment horizontal="center"/>
    </xf>
    <xf numFmtId="221" fontId="22" fillId="0" borderId="0" xfId="8" applyFont="1" applyAlignment="1">
      <alignment horizontal="right"/>
    </xf>
    <xf numFmtId="173" fontId="24" fillId="0" borderId="0" xfId="0" applyFont="1" applyBorder="1" applyAlignment="1">
      <alignment horizontal="left"/>
    </xf>
    <xf numFmtId="41" fontId="22" fillId="0" borderId="0" xfId="7" applyNumberFormat="1" applyFont="1" applyFill="1"/>
    <xf numFmtId="221" fontId="22" fillId="0" borderId="0" xfId="7" applyFont="1" applyAlignment="1">
      <alignment horizontal="left" vertical="center" wrapText="1" indent="1"/>
    </xf>
    <xf numFmtId="221" fontId="22" fillId="0" borderId="0" xfId="7" applyFont="1" applyBorder="1"/>
    <xf numFmtId="221" fontId="22" fillId="0" borderId="0" xfId="7" applyFont="1" applyFill="1" applyBorder="1"/>
    <xf numFmtId="49" fontId="38" fillId="4" borderId="0" xfId="0" applyNumberFormat="1" applyFont="1" applyFill="1" applyAlignment="1">
      <alignment horizontal="centerContinuous"/>
    </xf>
    <xf numFmtId="173" fontId="22" fillId="4" borderId="0" xfId="0" applyFont="1" applyFill="1" applyAlignment="1">
      <alignment horizontal="centerContinuous"/>
    </xf>
    <xf numFmtId="221" fontId="22" fillId="4" borderId="0" xfId="0" applyNumberFormat="1" applyFont="1" applyFill="1" applyAlignment="1">
      <alignment horizontal="centerContinuous"/>
    </xf>
    <xf numFmtId="37" fontId="22" fillId="4" borderId="1" xfId="0" applyNumberFormat="1" applyFont="1" applyFill="1" applyBorder="1" applyAlignment="1"/>
    <xf numFmtId="165" fontId="37" fillId="4" borderId="0" xfId="0" applyNumberFormat="1" applyFont="1" applyFill="1" applyAlignment="1"/>
    <xf numFmtId="42" fontId="22" fillId="4" borderId="0" xfId="0" applyNumberFormat="1" applyFont="1" applyFill="1" applyAlignment="1"/>
    <xf numFmtId="38" fontId="37" fillId="4" borderId="0" xfId="0" applyNumberFormat="1" applyFont="1" applyFill="1" applyBorder="1" applyProtection="1">
      <protection locked="0"/>
    </xf>
    <xf numFmtId="38" fontId="37" fillId="4" borderId="1" xfId="0" applyNumberFormat="1" applyFont="1" applyFill="1" applyBorder="1" applyProtection="1">
      <protection locked="0"/>
    </xf>
    <xf numFmtId="173" fontId="0" fillId="4" borderId="3" xfId="0" applyFill="1" applyBorder="1" applyAlignment="1"/>
    <xf numFmtId="175" fontId="0" fillId="4" borderId="0" xfId="12" applyNumberFormat="1" applyFont="1" applyFill="1" applyBorder="1" applyAlignment="1"/>
    <xf numFmtId="173" fontId="0" fillId="4" borderId="3" xfId="0" quotePrefix="1" applyFill="1" applyBorder="1" applyAlignment="1">
      <alignment horizontal="left"/>
    </xf>
    <xf numFmtId="173" fontId="0" fillId="4" borderId="0" xfId="0" quotePrefix="1" applyFill="1" applyBorder="1" applyAlignment="1">
      <alignment horizontal="left"/>
    </xf>
    <xf numFmtId="221" fontId="26" fillId="0" borderId="0" xfId="9" applyFont="1" applyFill="1"/>
    <xf numFmtId="174" fontId="45" fillId="0" borderId="0" xfId="13" applyNumberFormat="1" applyFont="1"/>
    <xf numFmtId="166" fontId="54" fillId="0" borderId="0" xfId="0" applyNumberFormat="1" applyFont="1" applyFill="1" applyAlignment="1"/>
    <xf numFmtId="221" fontId="24" fillId="0" borderId="0" xfId="10" applyFont="1" applyAlignment="1">
      <alignment horizontal="centerContinuous"/>
    </xf>
    <xf numFmtId="221" fontId="22" fillId="0" borderId="0" xfId="0" applyNumberFormat="1" applyFont="1" applyAlignment="1">
      <alignment horizontal="left"/>
    </xf>
    <xf numFmtId="166" fontId="22" fillId="0" borderId="0" xfId="0" applyNumberFormat="1" applyFont="1" applyAlignment="1">
      <alignment horizontal="left"/>
    </xf>
    <xf numFmtId="221" fontId="18" fillId="0" borderId="0" xfId="328" applyAlignment="1">
      <alignment horizontal="centerContinuous"/>
    </xf>
    <xf numFmtId="221" fontId="18" fillId="0" borderId="0" xfId="328" applyFill="1" applyAlignment="1">
      <alignment horizontal="centerContinuous"/>
    </xf>
    <xf numFmtId="221" fontId="18" fillId="0" borderId="0" xfId="328"/>
    <xf numFmtId="221" fontId="18" fillId="0" borderId="0" xfId="328" applyAlignment="1">
      <alignment horizontal="center"/>
    </xf>
    <xf numFmtId="221" fontId="18" fillId="0" borderId="0" xfId="328" applyFill="1" applyAlignment="1">
      <alignment horizontal="center"/>
    </xf>
    <xf numFmtId="221" fontId="122" fillId="0" borderId="0" xfId="328" applyFont="1" applyAlignment="1">
      <alignment horizontal="center"/>
    </xf>
    <xf numFmtId="221" fontId="18" fillId="0" borderId="0" xfId="328" quotePrefix="1" applyAlignment="1">
      <alignment horizontal="center"/>
    </xf>
    <xf numFmtId="221" fontId="121" fillId="0" borderId="0" xfId="328" applyFont="1" applyAlignment="1">
      <alignment horizontal="centerContinuous"/>
    </xf>
    <xf numFmtId="2" fontId="18" fillId="0" borderId="0" xfId="328" applyNumberFormat="1" applyFill="1"/>
    <xf numFmtId="221" fontId="18" fillId="0" borderId="0" xfId="328" applyFill="1"/>
    <xf numFmtId="221" fontId="124" fillId="0" borderId="0" xfId="328" quotePrefix="1" applyFont="1"/>
    <xf numFmtId="221" fontId="35" fillId="0" borderId="0" xfId="10" applyFill="1"/>
    <xf numFmtId="221" fontId="30" fillId="0" borderId="0" xfId="10" applyFont="1" applyFill="1"/>
    <xf numFmtId="221" fontId="22" fillId="0" borderId="0" xfId="7" applyFont="1" applyFill="1" applyAlignment="1">
      <alignment horizontal="right"/>
    </xf>
    <xf numFmtId="174" fontId="54" fillId="0" borderId="0" xfId="89" applyNumberFormat="1" applyFont="1" applyFill="1"/>
    <xf numFmtId="221" fontId="54" fillId="0" borderId="0" xfId="7" applyFont="1" applyFill="1"/>
    <xf numFmtId="221" fontId="24" fillId="0" borderId="0" xfId="7" applyFont="1" applyFill="1" applyAlignment="1">
      <alignment horizontal="right"/>
    </xf>
    <xf numFmtId="174" fontId="22" fillId="0" borderId="0" xfId="7" applyNumberFormat="1" applyFont="1" applyFill="1"/>
    <xf numFmtId="174" fontId="55" fillId="0" borderId="0" xfId="89" applyNumberFormat="1" applyFont="1" applyFill="1"/>
    <xf numFmtId="174" fontId="22" fillId="0" borderId="0" xfId="89" applyNumberFormat="1" applyFont="1" applyFill="1"/>
    <xf numFmtId="174" fontId="45" fillId="0" borderId="0" xfId="89" applyNumberFormat="1" applyFont="1" applyFill="1"/>
    <xf numFmtId="41" fontId="26" fillId="0" borderId="0" xfId="16" applyNumberFormat="1" applyFont="1" applyFill="1" applyBorder="1"/>
    <xf numFmtId="41" fontId="125" fillId="0" borderId="0" xfId="16" applyNumberFormat="1" applyFont="1" applyFill="1" applyBorder="1"/>
    <xf numFmtId="175" fontId="47" fillId="0" borderId="0" xfId="16" applyNumberFormat="1" applyFont="1" applyFill="1" applyBorder="1"/>
    <xf numFmtId="221" fontId="48" fillId="0" borderId="0" xfId="9" applyFont="1" applyFill="1" applyAlignment="1">
      <alignment horizontal="centerContinuous"/>
    </xf>
    <xf numFmtId="173" fontId="30" fillId="0" borderId="0" xfId="0" applyNumberFormat="1" applyFont="1" applyAlignment="1" applyProtection="1">
      <protection locked="0"/>
    </xf>
    <xf numFmtId="221" fontId="30" fillId="0" borderId="0" xfId="0" applyNumberFormat="1" applyFont="1" applyProtection="1">
      <protection locked="0"/>
    </xf>
    <xf numFmtId="221" fontId="34" fillId="0" borderId="0" xfId="0" applyNumberFormat="1" applyFont="1" applyAlignment="1" applyProtection="1">
      <protection locked="0"/>
    </xf>
    <xf numFmtId="221" fontId="30" fillId="0" borderId="0" xfId="0" applyNumberFormat="1" applyFont="1" applyFill="1" applyProtection="1">
      <protection locked="0"/>
    </xf>
    <xf numFmtId="221" fontId="30" fillId="0" borderId="0" xfId="0" quotePrefix="1" applyNumberFormat="1" applyFont="1" applyFill="1" applyBorder="1" applyAlignment="1" applyProtection="1">
      <alignment horizontal="left"/>
      <protection locked="0"/>
    </xf>
    <xf numFmtId="221" fontId="30" fillId="0" borderId="0" xfId="0" applyNumberFormat="1" applyFont="1" applyFill="1" applyAlignment="1" applyProtection="1">
      <protection locked="0"/>
    </xf>
    <xf numFmtId="221" fontId="34" fillId="0" borderId="0" xfId="0" applyNumberFormat="1" applyFont="1" applyFill="1" applyBorder="1" applyAlignment="1" applyProtection="1">
      <protection locked="0"/>
    </xf>
    <xf numFmtId="221" fontId="30" fillId="0" borderId="0" xfId="0" applyNumberFormat="1" applyFont="1" applyAlignment="1" applyProtection="1">
      <protection locked="0"/>
    </xf>
    <xf numFmtId="221" fontId="34" fillId="0" borderId="1" xfId="0" applyNumberFormat="1" applyFont="1" applyBorder="1" applyAlignment="1" applyProtection="1">
      <alignment horizontal="center"/>
      <protection locked="0"/>
    </xf>
    <xf numFmtId="37" fontId="30" fillId="0" borderId="0" xfId="0" applyNumberFormat="1" applyFont="1" applyFill="1" applyAlignment="1" applyProtection="1">
      <protection locked="0"/>
    </xf>
    <xf numFmtId="221" fontId="30" fillId="0" borderId="0" xfId="0" applyNumberFormat="1" applyFont="1" applyAlignment="1" applyProtection="1">
      <alignment horizontal="left"/>
      <protection locked="0"/>
    </xf>
    <xf numFmtId="37" fontId="22" fillId="2" borderId="0" xfId="0" applyNumberFormat="1" applyFont="1" applyFill="1" applyBorder="1" applyProtection="1">
      <protection locked="0"/>
    </xf>
    <xf numFmtId="37" fontId="22" fillId="4" borderId="0" xfId="0" quotePrefix="1" applyNumberFormat="1" applyFont="1" applyFill="1" applyAlignment="1"/>
    <xf numFmtId="273" fontId="22" fillId="4" borderId="0" xfId="0" applyNumberFormat="1" applyFont="1" applyFill="1" applyAlignment="1">
      <alignment horizontal="right"/>
    </xf>
    <xf numFmtId="3" fontId="22" fillId="0" borderId="1" xfId="0" applyNumberFormat="1" applyFont="1" applyBorder="1" applyAlignment="1">
      <alignment horizontal="center"/>
    </xf>
    <xf numFmtId="42" fontId="22" fillId="0" borderId="0" xfId="0" applyNumberFormat="1" applyFont="1" applyFill="1" applyAlignment="1"/>
    <xf numFmtId="42" fontId="22" fillId="0" borderId="0" xfId="0" applyNumberFormat="1" applyFont="1" applyAlignment="1"/>
    <xf numFmtId="37" fontId="22" fillId="0" borderId="0" xfId="0" applyNumberFormat="1" applyFont="1" applyFill="1" applyAlignment="1" applyProtection="1">
      <protection locked="0"/>
    </xf>
    <xf numFmtId="3" fontId="22" fillId="0" borderId="0" xfId="0" applyNumberFormat="1" applyFont="1" applyAlignment="1"/>
    <xf numFmtId="3" fontId="22" fillId="0" borderId="1" xfId="0" applyNumberFormat="1" applyFont="1" applyBorder="1" applyAlignment="1">
      <alignment horizontal="center"/>
    </xf>
    <xf numFmtId="169" fontId="24" fillId="2" borderId="0" xfId="0" applyNumberFormat="1" applyFont="1" applyFill="1" applyAlignment="1"/>
    <xf numFmtId="37" fontId="22" fillId="0" borderId="0" xfId="0" applyNumberFormat="1" applyFont="1" applyAlignment="1"/>
    <xf numFmtId="37" fontId="22" fillId="2" borderId="1" xfId="0" applyNumberFormat="1" applyFont="1" applyFill="1" applyBorder="1" applyAlignment="1"/>
    <xf numFmtId="37" fontId="22" fillId="4" borderId="0" xfId="0" applyNumberFormat="1" applyFont="1" applyFill="1" applyAlignment="1"/>
    <xf numFmtId="221" fontId="34" fillId="0" borderId="0" xfId="0" quotePrefix="1" applyNumberFormat="1" applyFont="1" applyAlignment="1" applyProtection="1">
      <alignment horizontal="left"/>
      <protection locked="0"/>
    </xf>
    <xf numFmtId="221" fontId="30" fillId="0" borderId="1" xfId="0" applyNumberFormat="1" applyFont="1" applyBorder="1" applyAlignment="1" applyProtection="1">
      <protection locked="0"/>
    </xf>
    <xf numFmtId="10" fontId="22" fillId="2" borderId="0" xfId="0" applyNumberFormat="1" applyFont="1" applyFill="1" applyProtection="1">
      <protection locked="0"/>
    </xf>
    <xf numFmtId="221" fontId="24" fillId="0" borderId="0" xfId="0" applyNumberFormat="1" applyFont="1" applyFill="1" applyAlignment="1" applyProtection="1">
      <alignment horizontal="right"/>
      <protection locked="0"/>
    </xf>
    <xf numFmtId="221" fontId="24" fillId="16" borderId="9" xfId="0" applyNumberFormat="1" applyFont="1" applyFill="1" applyBorder="1" applyAlignment="1" applyProtection="1">
      <alignment horizontal="right"/>
      <protection locked="0"/>
    </xf>
    <xf numFmtId="221" fontId="24" fillId="16" borderId="5" xfId="0" applyNumberFormat="1" applyFont="1" applyFill="1" applyBorder="1" applyAlignment="1" applyProtection="1">
      <alignment horizontal="right"/>
      <protection locked="0"/>
    </xf>
    <xf numFmtId="14" fontId="24" fillId="0" borderId="0" xfId="0" applyNumberFormat="1" applyFont="1" applyFill="1" applyAlignment="1" applyProtection="1">
      <alignment horizontal="right"/>
      <protection locked="0"/>
    </xf>
    <xf numFmtId="173" fontId="30" fillId="0" borderId="0" xfId="0" applyFont="1" applyAlignment="1" applyProtection="1">
      <protection locked="0"/>
    </xf>
    <xf numFmtId="14" fontId="24" fillId="0" borderId="0" xfId="0" applyNumberFormat="1" applyFont="1" applyFill="1" applyAlignment="1" applyProtection="1">
      <protection locked="0"/>
    </xf>
    <xf numFmtId="3" fontId="34" fillId="0" borderId="0" xfId="0" applyNumberFormat="1" applyFont="1" applyAlignment="1" applyProtection="1">
      <alignment horizontal="center"/>
      <protection locked="0"/>
    </xf>
    <xf numFmtId="3" fontId="34" fillId="0" borderId="0" xfId="0" applyNumberFormat="1" applyFont="1" applyAlignment="1" applyProtection="1">
      <protection locked="0"/>
    </xf>
    <xf numFmtId="221" fontId="34" fillId="0" borderId="1" xfId="0" applyNumberFormat="1" applyFont="1" applyBorder="1" applyAlignment="1" applyProtection="1">
      <protection locked="0"/>
    </xf>
    <xf numFmtId="173" fontId="34" fillId="0" borderId="1" xfId="0" applyFont="1" applyBorder="1" applyAlignment="1" applyProtection="1">
      <alignment horizontal="center"/>
      <protection locked="0"/>
    </xf>
    <xf numFmtId="3" fontId="30" fillId="0" borderId="0" xfId="0" applyNumberFormat="1" applyFont="1" applyAlignment="1" applyProtection="1">
      <protection locked="0"/>
    </xf>
    <xf numFmtId="173" fontId="30" fillId="0" borderId="0" xfId="0" applyFont="1" applyBorder="1" applyAlignment="1" applyProtection="1">
      <protection locked="0"/>
    </xf>
    <xf numFmtId="42" fontId="30" fillId="0" borderId="0" xfId="0" applyNumberFormat="1" applyFont="1" applyFill="1" applyAlignment="1" applyProtection="1">
      <protection locked="0"/>
    </xf>
    <xf numFmtId="3" fontId="30" fillId="0" borderId="1" xfId="0" applyNumberFormat="1" applyFont="1" applyBorder="1" applyAlignment="1" applyProtection="1">
      <protection locked="0"/>
    </xf>
    <xf numFmtId="37" fontId="30" fillId="0" borderId="1" xfId="0" applyNumberFormat="1" applyFont="1" applyFill="1" applyBorder="1" applyAlignment="1" applyProtection="1">
      <protection locked="0"/>
    </xf>
    <xf numFmtId="37" fontId="30" fillId="0" borderId="0" xfId="0" applyNumberFormat="1" applyFont="1" applyFill="1" applyBorder="1" applyAlignment="1" applyProtection="1">
      <protection locked="0"/>
    </xf>
    <xf numFmtId="173" fontId="30" fillId="0" borderId="1" xfId="0" applyFont="1" applyBorder="1" applyAlignment="1" applyProtection="1">
      <protection locked="0"/>
    </xf>
    <xf numFmtId="221" fontId="30" fillId="0" borderId="0" xfId="0" quotePrefix="1" applyNumberFormat="1" applyFont="1" applyAlignment="1" applyProtection="1">
      <alignment horizontal="left"/>
      <protection locked="0"/>
    </xf>
    <xf numFmtId="37" fontId="30" fillId="0" borderId="1" xfId="0" applyNumberFormat="1" applyFont="1" applyBorder="1" applyAlignment="1" applyProtection="1">
      <protection locked="0"/>
    </xf>
    <xf numFmtId="221" fontId="30" fillId="0" borderId="0" xfId="0" quotePrefix="1" applyNumberFormat="1" applyFont="1" applyFill="1" applyAlignment="1" applyProtection="1">
      <alignment horizontal="left" vertical="top" wrapText="1" indent="1"/>
      <protection locked="0"/>
    </xf>
    <xf numFmtId="221" fontId="30" fillId="0" borderId="0" xfId="0" applyNumberFormat="1" applyFont="1" applyAlignment="1" applyProtection="1">
      <alignment horizontal="left" indent="1"/>
      <protection locked="0"/>
    </xf>
    <xf numFmtId="221" fontId="30" fillId="0" borderId="0" xfId="0" applyNumberFormat="1" applyFont="1" applyFill="1" applyAlignment="1" applyProtection="1">
      <alignment horizontal="left" indent="1"/>
      <protection locked="0"/>
    </xf>
    <xf numFmtId="173" fontId="30" fillId="0" borderId="0" xfId="0" applyFont="1" applyFill="1" applyAlignment="1" applyProtection="1">
      <protection locked="0"/>
    </xf>
    <xf numFmtId="37" fontId="30" fillId="0" borderId="0" xfId="0" applyNumberFormat="1" applyFont="1" applyAlignment="1" applyProtection="1">
      <protection locked="0"/>
    </xf>
    <xf numFmtId="221" fontId="30" fillId="0" borderId="0" xfId="0" applyNumberFormat="1" applyFont="1" applyAlignment="1" applyProtection="1">
      <alignment horizontal="left" indent="3"/>
      <protection locked="0"/>
    </xf>
    <xf numFmtId="37" fontId="57" fillId="0" borderId="0" xfId="0" applyNumberFormat="1" applyFont="1" applyFill="1" applyAlignment="1" applyProtection="1">
      <protection locked="0"/>
    </xf>
    <xf numFmtId="173" fontId="34" fillId="0" borderId="0" xfId="0" applyFont="1" applyAlignment="1" applyProtection="1">
      <alignment horizontal="center"/>
      <protection locked="0"/>
    </xf>
    <xf numFmtId="273" fontId="57" fillId="0" borderId="0" xfId="0" applyNumberFormat="1" applyFont="1" applyFill="1" applyAlignment="1" applyProtection="1">
      <alignment horizontal="right"/>
      <protection locked="0"/>
    </xf>
    <xf numFmtId="173" fontId="34" fillId="0" borderId="0" xfId="0" applyFont="1" applyFill="1" applyAlignment="1" applyProtection="1">
      <alignment horizontal="center"/>
      <protection locked="0"/>
    </xf>
    <xf numFmtId="221" fontId="30" fillId="0" borderId="0" xfId="0" quotePrefix="1" applyNumberFormat="1" applyFont="1" applyFill="1" applyBorder="1" applyAlignment="1" applyProtection="1">
      <alignment horizontal="left" vertical="top" wrapText="1" indent="1"/>
      <protection locked="0"/>
    </xf>
    <xf numFmtId="170" fontId="129" fillId="0" borderId="0" xfId="0" applyNumberFormat="1" applyFont="1" applyFill="1" applyBorder="1" applyProtection="1">
      <protection locked="0"/>
    </xf>
    <xf numFmtId="173" fontId="130" fillId="0" borderId="23" xfId="0" applyFont="1" applyBorder="1" applyAlignment="1" applyProtection="1">
      <protection locked="0"/>
    </xf>
    <xf numFmtId="10" fontId="34" fillId="0" borderId="20" xfId="0" applyNumberFormat="1" applyFont="1" applyBorder="1" applyAlignment="1" applyProtection="1">
      <protection locked="0"/>
    </xf>
    <xf numFmtId="221" fontId="22" fillId="0" borderId="0" xfId="7" applyFont="1" applyFill="1" applyAlignment="1">
      <alignment horizontal="left" wrapText="1"/>
    </xf>
    <xf numFmtId="42" fontId="30" fillId="0" borderId="0" xfId="0" applyNumberFormat="1" applyFont="1" applyFill="1" applyAlignment="1" applyProtection="1"/>
    <xf numFmtId="37" fontId="30" fillId="0" borderId="0" xfId="0" applyNumberFormat="1" applyFont="1" applyFill="1" applyAlignment="1" applyProtection="1"/>
    <xf numFmtId="42" fontId="30" fillId="0" borderId="0" xfId="0" applyNumberFormat="1" applyFont="1" applyFill="1" applyBorder="1" applyProtection="1"/>
    <xf numFmtId="173" fontId="30" fillId="0" borderId="0" xfId="0" applyFont="1" applyFill="1" applyAlignment="1" applyProtection="1"/>
    <xf numFmtId="173" fontId="30" fillId="0" borderId="0" xfId="0" applyFont="1" applyAlignment="1" applyProtection="1">
      <alignment vertical="top"/>
      <protection locked="0"/>
    </xf>
    <xf numFmtId="221" fontId="34" fillId="0" borderId="24" xfId="0" applyNumberFormat="1" applyFont="1" applyBorder="1" applyAlignment="1" applyProtection="1">
      <protection locked="0"/>
    </xf>
    <xf numFmtId="3" fontId="30" fillId="0" borderId="24" xfId="0" applyNumberFormat="1" applyFont="1" applyBorder="1" applyAlignment="1" applyProtection="1">
      <protection locked="0"/>
    </xf>
    <xf numFmtId="221" fontId="34" fillId="0" borderId="24" xfId="0" applyNumberFormat="1" applyFont="1" applyFill="1" applyBorder="1" applyAlignment="1" applyProtection="1">
      <protection locked="0"/>
    </xf>
    <xf numFmtId="173" fontId="30" fillId="0" borderId="24" xfId="0" applyFont="1" applyFill="1" applyBorder="1" applyAlignment="1" applyProtection="1">
      <protection locked="0"/>
    </xf>
    <xf numFmtId="221" fontId="131" fillId="0" borderId="0" xfId="10" applyFont="1" applyFill="1" applyAlignment="1">
      <alignment horizontal="left"/>
    </xf>
    <xf numFmtId="221" fontId="41" fillId="0" borderId="0" xfId="10" applyFont="1" applyFill="1" applyAlignment="1">
      <alignment horizontal="center"/>
    </xf>
    <xf numFmtId="221" fontId="30" fillId="0" borderId="0" xfId="0" quotePrefix="1" applyNumberFormat="1" applyFont="1" applyFill="1" applyAlignment="1" applyProtection="1">
      <alignment horizontal="left" vertical="top" wrapText="1"/>
      <protection locked="0"/>
    </xf>
    <xf numFmtId="221" fontId="44" fillId="0" borderId="0" xfId="7" quotePrefix="1" applyFont="1" applyFill="1" applyAlignment="1">
      <alignment horizontal="center"/>
    </xf>
    <xf numFmtId="42" fontId="54" fillId="0" borderId="0" xfId="7" applyNumberFormat="1" applyFont="1" applyFill="1" applyProtection="1">
      <protection locked="0"/>
    </xf>
    <xf numFmtId="42" fontId="37" fillId="0" borderId="0" xfId="7" applyNumberFormat="1" applyFont="1" applyFill="1" applyProtection="1">
      <protection locked="0"/>
    </xf>
    <xf numFmtId="221" fontId="22" fillId="0" borderId="0" xfId="7" applyFont="1" applyFill="1" applyProtection="1">
      <protection locked="0"/>
    </xf>
    <xf numFmtId="41" fontId="37" fillId="0" borderId="0" xfId="7" applyNumberFormat="1" applyFont="1" applyFill="1" applyProtection="1">
      <protection locked="0"/>
    </xf>
    <xf numFmtId="176" fontId="119" fillId="0" borderId="0" xfId="7" applyNumberFormat="1" applyFont="1" applyFill="1" applyProtection="1">
      <protection locked="0"/>
    </xf>
    <xf numFmtId="41" fontId="119" fillId="0" borderId="0" xfId="7" applyNumberFormat="1" applyFont="1" applyFill="1" applyProtection="1">
      <protection locked="0"/>
    </xf>
    <xf numFmtId="221" fontId="54" fillId="0" borderId="0" xfId="6" applyFont="1"/>
    <xf numFmtId="37" fontId="54" fillId="0" borderId="0" xfId="6" applyNumberFormat="1" applyFont="1"/>
    <xf numFmtId="37" fontId="54" fillId="0" borderId="0" xfId="6" applyNumberFormat="1" applyFont="1" applyFill="1"/>
    <xf numFmtId="37" fontId="30" fillId="0" borderId="0" xfId="0" applyNumberFormat="1" applyFont="1" applyFill="1" applyBorder="1" applyAlignment="1" applyProtection="1"/>
    <xf numFmtId="41" fontId="55" fillId="0" borderId="0" xfId="6" applyNumberFormat="1" applyFont="1" applyFill="1" applyProtection="1">
      <protection locked="0"/>
    </xf>
    <xf numFmtId="37" fontId="30" fillId="0" borderId="0" xfId="0" applyNumberFormat="1" applyFont="1" applyFill="1" applyAlignment="1" applyProtection="1">
      <alignment vertical="top"/>
    </xf>
    <xf numFmtId="221" fontId="30" fillId="0" borderId="0" xfId="0" applyNumberFormat="1" applyFont="1" applyFill="1" applyAlignment="1" applyProtection="1">
      <alignment horizontal="left"/>
    </xf>
    <xf numFmtId="221" fontId="30" fillId="0" borderId="0" xfId="0" applyNumberFormat="1" applyFont="1" applyAlignment="1" applyProtection="1">
      <alignment horizontal="right"/>
    </xf>
    <xf numFmtId="173" fontId="46" fillId="0" borderId="0" xfId="0" applyFont="1" applyAlignment="1" applyProtection="1">
      <alignment horizontal="centerContinuous"/>
    </xf>
    <xf numFmtId="221" fontId="22" fillId="0" borderId="0" xfId="0" applyNumberFormat="1" applyFont="1" applyAlignment="1" applyProtection="1">
      <alignment horizontal="right"/>
    </xf>
    <xf numFmtId="173" fontId="22" fillId="0" borderId="0" xfId="0" applyFont="1" applyAlignment="1" applyProtection="1">
      <alignment horizontal="centerContinuous"/>
    </xf>
    <xf numFmtId="221" fontId="22" fillId="0" borderId="0" xfId="8" applyFont="1" applyAlignment="1" applyProtection="1">
      <alignment horizontal="right"/>
    </xf>
    <xf numFmtId="173" fontId="22" fillId="0" borderId="0" xfId="0" applyFont="1" applyAlignment="1" applyProtection="1"/>
    <xf numFmtId="173" fontId="24" fillId="0" borderId="0" xfId="0" applyFont="1" applyAlignment="1" applyProtection="1">
      <alignment horizontal="centerContinuous"/>
    </xf>
    <xf numFmtId="221" fontId="24" fillId="0" borderId="0" xfId="5" applyFont="1" applyBorder="1" applyAlignment="1" applyProtection="1">
      <alignment horizontal="center"/>
    </xf>
    <xf numFmtId="221" fontId="22" fillId="0" borderId="0" xfId="7" applyFont="1" applyProtection="1"/>
    <xf numFmtId="221" fontId="24" fillId="0" borderId="8" xfId="7" applyFont="1" applyBorder="1" applyAlignment="1">
      <alignment horizontal="center" vertical="center"/>
    </xf>
    <xf numFmtId="274" fontId="22" fillId="0" borderId="0" xfId="0" applyNumberFormat="1" applyFont="1" applyFill="1" applyAlignment="1">
      <alignment horizontal="right"/>
    </xf>
    <xf numFmtId="3" fontId="54" fillId="0" borderId="0" xfId="0" applyNumberFormat="1" applyFont="1" applyAlignment="1"/>
    <xf numFmtId="221" fontId="54" fillId="0" borderId="0" xfId="0" applyNumberFormat="1" applyFont="1"/>
    <xf numFmtId="3" fontId="54" fillId="0" borderId="0" xfId="0" applyNumberFormat="1" applyFont="1" applyFill="1" applyAlignment="1"/>
    <xf numFmtId="173" fontId="54" fillId="0" borderId="0" xfId="0" applyFont="1" applyAlignment="1"/>
    <xf numFmtId="173" fontId="0" fillId="0" borderId="0" xfId="0" applyAlignment="1"/>
    <xf numFmtId="221" fontId="22" fillId="0" borderId="0" xfId="0" applyNumberFormat="1" applyFont="1" applyAlignment="1"/>
    <xf numFmtId="221" fontId="22" fillId="0" borderId="0" xfId="0" applyNumberFormat="1" applyFont="1" applyAlignment="1" applyProtection="1">
      <protection locked="0"/>
    </xf>
    <xf numFmtId="221" fontId="22" fillId="0" borderId="0" xfId="0" quotePrefix="1" applyNumberFormat="1" applyFont="1" applyAlignment="1" applyProtection="1">
      <alignment horizontal="left"/>
      <protection locked="0"/>
    </xf>
    <xf numFmtId="221" fontId="22" fillId="0" borderId="0" xfId="0" applyNumberFormat="1" applyFont="1" applyAlignment="1"/>
    <xf numFmtId="164" fontId="22" fillId="0" borderId="0" xfId="0" applyNumberFormat="1" applyFont="1" applyAlignment="1">
      <alignment horizontal="left"/>
    </xf>
    <xf numFmtId="164" fontId="22" fillId="0" borderId="0" xfId="0" applyNumberFormat="1" applyFont="1" applyAlignment="1" applyProtection="1">
      <alignment horizontal="left"/>
      <protection locked="0"/>
    </xf>
    <xf numFmtId="221" fontId="22" fillId="0" borderId="0" xfId="0" applyNumberFormat="1" applyFont="1" applyAlignment="1">
      <alignment horizontal="left" indent="1"/>
    </xf>
    <xf numFmtId="221" fontId="22" fillId="0" borderId="0" xfId="0" applyNumberFormat="1" applyFont="1" applyAlignment="1">
      <alignment horizontal="left" indent="3"/>
    </xf>
    <xf numFmtId="221" fontId="22" fillId="0" borderId="0" xfId="0" quotePrefix="1" applyNumberFormat="1" applyFont="1" applyFill="1" applyAlignment="1">
      <alignment horizontal="left" indent="1"/>
    </xf>
    <xf numFmtId="221" fontId="22" fillId="0" borderId="0" xfId="0" quotePrefix="1" applyNumberFormat="1" applyFont="1" applyAlignment="1">
      <alignment horizontal="left"/>
    </xf>
    <xf numFmtId="221" fontId="22" fillId="0" borderId="0" xfId="0" applyNumberFormat="1" applyFont="1" applyFill="1" applyAlignment="1">
      <alignment horizontal="left" indent="1"/>
    </xf>
    <xf numFmtId="221" fontId="22" fillId="0" borderId="0" xfId="0" applyNumberFormat="1" applyFont="1" applyFill="1" applyAlignment="1"/>
    <xf numFmtId="173" fontId="22" fillId="0" borderId="0" xfId="0" applyFont="1" applyAlignment="1"/>
    <xf numFmtId="221" fontId="22" fillId="0" borderId="0" xfId="0" applyNumberFormat="1" applyFont="1" applyProtection="1">
      <protection locked="0"/>
    </xf>
    <xf numFmtId="221" fontId="22" fillId="0" borderId="0" xfId="0" applyNumberFormat="1" applyFont="1" applyAlignment="1" applyProtection="1">
      <alignment horizontal="center"/>
      <protection locked="0"/>
    </xf>
    <xf numFmtId="3" fontId="22" fillId="0" borderId="0" xfId="0" applyNumberFormat="1" applyFont="1" applyFill="1" applyAlignment="1"/>
    <xf numFmtId="221" fontId="22" fillId="0" borderId="0" xfId="0" applyNumberFormat="1" applyFont="1" applyFill="1" applyProtection="1">
      <protection locked="0"/>
    </xf>
    <xf numFmtId="221" fontId="49" fillId="0" borderId="0" xfId="0" applyNumberFormat="1" applyFont="1" applyFill="1" applyProtection="1">
      <protection locked="0"/>
    </xf>
    <xf numFmtId="221" fontId="22" fillId="0" borderId="0" xfId="0" applyNumberFormat="1" applyFont="1" applyFill="1" applyProtection="1">
      <protection locked="0"/>
    </xf>
    <xf numFmtId="221" fontId="22" fillId="0" borderId="0" xfId="0" applyNumberFormat="1" applyFont="1" applyFill="1" applyProtection="1">
      <protection locked="0"/>
    </xf>
    <xf numFmtId="3" fontId="22" fillId="0" borderId="0" xfId="0" applyNumberFormat="1" applyFont="1" applyAlignment="1"/>
    <xf numFmtId="221" fontId="22" fillId="0" borderId="0" xfId="0" applyNumberFormat="1" applyFont="1" applyFill="1"/>
    <xf numFmtId="173" fontId="22" fillId="0" borderId="0" xfId="0" applyFont="1" applyFill="1" applyAlignment="1"/>
    <xf numFmtId="173" fontId="21" fillId="0" borderId="0" xfId="0" applyFont="1" applyFill="1" applyBorder="1" applyAlignment="1"/>
    <xf numFmtId="173" fontId="22" fillId="0" borderId="0" xfId="0" applyFont="1" applyFill="1" applyBorder="1" applyAlignment="1">
      <alignment horizontal="center"/>
    </xf>
    <xf numFmtId="3" fontId="24" fillId="0" borderId="0" xfId="0" applyNumberFormat="1" applyFont="1" applyFill="1" applyBorder="1" applyAlignment="1">
      <alignment horizontal="center"/>
    </xf>
    <xf numFmtId="3" fontId="22" fillId="0" borderId="0" xfId="0" applyNumberFormat="1" applyFont="1" applyFill="1" applyBorder="1" applyAlignment="1">
      <alignment horizontal="center"/>
    </xf>
    <xf numFmtId="164" fontId="22" fillId="0" borderId="0" xfId="0" applyNumberFormat="1" applyFont="1" applyFill="1" applyBorder="1" applyAlignment="1">
      <alignment horizontal="center"/>
    </xf>
    <xf numFmtId="221" fontId="22" fillId="0" borderId="16" xfId="0" applyNumberFormat="1" applyFont="1" applyFill="1" applyBorder="1" applyAlignment="1">
      <alignment horizontal="center"/>
    </xf>
    <xf numFmtId="173" fontId="22" fillId="0" borderId="0" xfId="0" applyFont="1" applyFill="1" applyBorder="1" applyAlignment="1"/>
    <xf numFmtId="173" fontId="22" fillId="0" borderId="0" xfId="0" applyFont="1" applyFill="1" applyBorder="1" applyAlignment="1"/>
    <xf numFmtId="173" fontId="22" fillId="0" borderId="0" xfId="0" applyFont="1" applyFill="1" applyBorder="1" applyAlignment="1"/>
    <xf numFmtId="173" fontId="22" fillId="0" borderId="0" xfId="0" applyFont="1" applyFill="1" applyBorder="1" applyAlignment="1"/>
    <xf numFmtId="173" fontId="0" fillId="0" borderId="0" xfId="0" applyAlignment="1"/>
    <xf numFmtId="221" fontId="22" fillId="0" borderId="0" xfId="355" applyFont="1" applyAlignment="1">
      <alignment horizontal="left"/>
    </xf>
    <xf numFmtId="221" fontId="22" fillId="0" borderId="0" xfId="355" applyFont="1" applyAlignment="1">
      <alignment horizontal="left" indent="1"/>
    </xf>
    <xf numFmtId="221" fontId="22" fillId="0" borderId="0" xfId="355" applyFont="1"/>
    <xf numFmtId="173" fontId="22" fillId="0" borderId="0" xfId="0" applyFont="1" applyAlignment="1">
      <alignment horizontal="center"/>
    </xf>
    <xf numFmtId="221" fontId="22" fillId="0" borderId="0" xfId="0" applyNumberFormat="1" applyFont="1"/>
    <xf numFmtId="221" fontId="30" fillId="0" borderId="0" xfId="371" applyFont="1" applyAlignment="1">
      <alignment horizontal="left" indent="1"/>
    </xf>
    <xf numFmtId="221" fontId="30" fillId="0" borderId="0" xfId="0" applyNumberFormat="1" applyFont="1" applyFill="1" applyAlignment="1" applyProtection="1">
      <alignment horizontal="left" indent="1"/>
      <protection locked="0"/>
    </xf>
    <xf numFmtId="173" fontId="22" fillId="0" borderId="0" xfId="0" applyFont="1" applyAlignment="1"/>
    <xf numFmtId="221" fontId="22" fillId="0" borderId="0" xfId="0" applyNumberFormat="1" applyFont="1" applyFill="1" applyAlignment="1" applyProtection="1">
      <protection locked="0"/>
    </xf>
    <xf numFmtId="221" fontId="26" fillId="0" borderId="0" xfId="15" applyFont="1" applyFill="1"/>
    <xf numFmtId="221" fontId="26" fillId="0" borderId="0" xfId="15" applyFont="1" applyFill="1" applyBorder="1"/>
    <xf numFmtId="173" fontId="115" fillId="0" borderId="0" xfId="0" applyFont="1" applyAlignment="1">
      <alignment horizontal="center"/>
    </xf>
    <xf numFmtId="221" fontId="22" fillId="0" borderId="0" xfId="0" applyNumberFormat="1" applyFont="1" applyFill="1" applyAlignment="1" applyProtection="1">
      <alignment vertical="center"/>
      <protection locked="0"/>
    </xf>
    <xf numFmtId="3" fontId="22" fillId="0" borderId="0" xfId="0" applyNumberFormat="1" applyFont="1" applyFill="1" applyAlignment="1">
      <alignment vertical="center"/>
    </xf>
    <xf numFmtId="173" fontId="0" fillId="4" borderId="3" xfId="0" applyFill="1" applyBorder="1" applyAlignment="1">
      <alignment vertical="top"/>
    </xf>
    <xf numFmtId="173" fontId="0" fillId="4" borderId="0" xfId="0" applyFill="1" applyBorder="1" applyAlignment="1">
      <alignment vertical="top"/>
    </xf>
    <xf numFmtId="173" fontId="0" fillId="4" borderId="0" xfId="0" applyFill="1" applyBorder="1" applyAlignment="1">
      <alignment vertical="top" wrapText="1"/>
    </xf>
    <xf numFmtId="221" fontId="0" fillId="4" borderId="0" xfId="0" applyNumberFormat="1" applyFill="1" applyBorder="1" applyAlignment="1">
      <alignment horizontal="left" vertical="top" wrapText="1"/>
    </xf>
    <xf numFmtId="175" fontId="53" fillId="2" borderId="0" xfId="12" applyNumberFormat="1" applyFont="1" applyFill="1" applyBorder="1" applyAlignment="1">
      <alignment vertical="top"/>
    </xf>
    <xf numFmtId="10" fontId="0" fillId="0" borderId="0" xfId="11" applyNumberFormat="1" applyFont="1" applyFill="1" applyBorder="1" applyAlignment="1">
      <alignment vertical="top"/>
    </xf>
    <xf numFmtId="175" fontId="0" fillId="4" borderId="0" xfId="12" applyNumberFormat="1" applyFont="1" applyFill="1" applyBorder="1" applyAlignment="1">
      <alignment vertical="top"/>
    </xf>
    <xf numFmtId="221" fontId="22" fillId="0" borderId="0" xfId="369" applyFont="1" applyBorder="1" applyAlignment="1">
      <alignment horizontal="left" vertical="center"/>
    </xf>
    <xf numFmtId="221" fontId="22" fillId="0" borderId="0" xfId="369" applyFont="1" applyFill="1" applyBorder="1" applyAlignment="1">
      <alignment horizontal="left"/>
    </xf>
    <xf numFmtId="221" fontId="22" fillId="0" borderId="0" xfId="355" applyFont="1" applyFill="1" applyAlignment="1">
      <alignment horizontal="left" vertical="center"/>
    </xf>
    <xf numFmtId="174" fontId="55" fillId="0" borderId="0" xfId="13" applyNumberFormat="1" applyFont="1" applyFill="1" applyProtection="1">
      <protection locked="0"/>
    </xf>
    <xf numFmtId="221" fontId="22" fillId="0" borderId="0" xfId="370" applyFont="1" applyFill="1" applyAlignment="1">
      <alignment horizontal="left" vertical="center"/>
    </xf>
    <xf numFmtId="173" fontId="24" fillId="0" borderId="0" xfId="0" applyFont="1" applyAlignment="1">
      <alignment horizontal="centerContinuous"/>
    </xf>
    <xf numFmtId="173" fontId="22" fillId="0" borderId="0" xfId="0" applyFont="1" applyAlignment="1">
      <alignment horizontal="centerContinuous"/>
    </xf>
    <xf numFmtId="174" fontId="54" fillId="0" borderId="0" xfId="13" applyNumberFormat="1" applyFont="1" applyFill="1" applyProtection="1">
      <protection locked="0"/>
    </xf>
    <xf numFmtId="221" fontId="22" fillId="0" borderId="0" xfId="355" applyFont="1" applyAlignment="1">
      <alignment horizontal="left" vertical="center"/>
    </xf>
    <xf numFmtId="221" fontId="22" fillId="0" borderId="0" xfId="355" applyFont="1" applyAlignment="1">
      <alignment horizontal="left" vertical="center"/>
    </xf>
    <xf numFmtId="221" fontId="44" fillId="0" borderId="0" xfId="355" applyFont="1" applyAlignment="1">
      <alignment horizontal="center"/>
    </xf>
    <xf numFmtId="3" fontId="30" fillId="0" borderId="1" xfId="0" quotePrefix="1" applyNumberFormat="1" applyFont="1" applyBorder="1" applyAlignment="1" applyProtection="1">
      <protection locked="0"/>
    </xf>
    <xf numFmtId="3" fontId="30" fillId="0" borderId="0" xfId="0" applyNumberFormat="1" applyFont="1" applyFill="1" applyAlignment="1" applyProtection="1">
      <protection locked="0"/>
    </xf>
    <xf numFmtId="173" fontId="22" fillId="0" borderId="0" xfId="0" applyFont="1" applyAlignment="1"/>
    <xf numFmtId="42" fontId="22" fillId="0" borderId="0" xfId="0" applyNumberFormat="1" applyFont="1" applyAlignment="1"/>
    <xf numFmtId="14" fontId="132" fillId="17" borderId="11" xfId="0" applyNumberFormat="1" applyFont="1" applyFill="1" applyBorder="1" applyAlignment="1" applyProtection="1">
      <protection locked="0"/>
    </xf>
    <xf numFmtId="14" fontId="24" fillId="17" borderId="7" xfId="0" applyNumberFormat="1" applyFont="1" applyFill="1" applyBorder="1" applyAlignment="1" applyProtection="1"/>
    <xf numFmtId="37" fontId="54" fillId="0" borderId="0" xfId="7" applyNumberFormat="1" applyFont="1" applyFill="1" applyAlignment="1" applyProtection="1">
      <alignment vertical="center"/>
      <protection locked="0"/>
    </xf>
    <xf numFmtId="10" fontId="130" fillId="4" borderId="20" xfId="0" applyNumberFormat="1" applyFont="1" applyFill="1" applyBorder="1" applyAlignment="1" applyProtection="1">
      <protection locked="0"/>
    </xf>
    <xf numFmtId="37" fontId="30" fillId="0" borderId="0" xfId="0" applyNumberFormat="1" applyFont="1" applyFill="1" applyBorder="1" applyAlignment="1" applyProtection="1">
      <alignment vertical="top"/>
      <protection locked="0"/>
    </xf>
    <xf numFmtId="9" fontId="47" fillId="0" borderId="0" xfId="15" applyNumberFormat="1" applyFont="1" applyFill="1" applyBorder="1"/>
    <xf numFmtId="221" fontId="157" fillId="0" borderId="0" xfId="428" applyFont="1" applyFill="1" applyAlignment="1">
      <alignment horizontal="right"/>
    </xf>
    <xf numFmtId="221" fontId="8" fillId="0" borderId="0" xfId="554"/>
    <xf numFmtId="221" fontId="26" fillId="0" borderId="0" xfId="428" applyFont="1" applyFill="1" applyBorder="1"/>
    <xf numFmtId="9" fontId="47" fillId="0" borderId="0" xfId="428" applyNumberFormat="1" applyFont="1" applyFill="1"/>
    <xf numFmtId="221" fontId="22" fillId="0" borderId="0" xfId="325" applyNumberFormat="1" applyFont="1" applyFill="1" applyAlignment="1" applyProtection="1">
      <alignment horizontal="center"/>
      <protection locked="0"/>
    </xf>
    <xf numFmtId="41" fontId="54" fillId="0" borderId="0" xfId="6" applyNumberFormat="1" applyFont="1" applyFill="1" applyProtection="1">
      <protection locked="0"/>
    </xf>
    <xf numFmtId="173" fontId="30" fillId="0" borderId="0" xfId="0" applyFont="1" applyFill="1" applyAlignment="1"/>
    <xf numFmtId="37" fontId="30" fillId="0" borderId="0" xfId="0" applyNumberFormat="1" applyFont="1" applyFill="1" applyAlignment="1" applyProtection="1">
      <alignment vertical="top"/>
      <protection locked="0"/>
    </xf>
    <xf numFmtId="221" fontId="35" fillId="0" borderId="0" xfId="6" applyAlignment="1">
      <alignment horizontal="center"/>
    </xf>
    <xf numFmtId="221" fontId="30" fillId="0" borderId="0" xfId="6" quotePrefix="1" applyFont="1" applyAlignment="1">
      <alignment horizontal="center"/>
    </xf>
    <xf numFmtId="221" fontId="35" fillId="0" borderId="0" xfId="7" applyAlignment="1">
      <alignment horizontal="center"/>
    </xf>
    <xf numFmtId="221" fontId="24" fillId="0" borderId="0" xfId="371" applyFont="1" applyAlignment="1">
      <alignment horizontal="centerContinuous"/>
    </xf>
    <xf numFmtId="37" fontId="22" fillId="0" borderId="0" xfId="0" applyNumberFormat="1" applyFont="1" applyAlignment="1">
      <alignment horizontal="center" vertical="top"/>
    </xf>
    <xf numFmtId="42" fontId="54" fillId="0" borderId="0" xfId="0" applyNumberFormat="1" applyFont="1" applyAlignment="1"/>
    <xf numFmtId="173" fontId="22" fillId="0" borderId="0" xfId="0" applyFont="1" applyAlignment="1">
      <alignment vertical="top" wrapText="1"/>
    </xf>
    <xf numFmtId="37" fontId="54" fillId="0" borderId="0" xfId="0" applyNumberFormat="1" applyFont="1" applyFill="1" applyAlignment="1"/>
    <xf numFmtId="221" fontId="22" fillId="0" borderId="0" xfId="428" applyFont="1" applyFill="1"/>
    <xf numFmtId="37" fontId="57" fillId="0" borderId="1" xfId="0" applyNumberFormat="1" applyFont="1" applyFill="1" applyBorder="1" applyAlignment="1" applyProtection="1">
      <protection locked="0"/>
    </xf>
    <xf numFmtId="37" fontId="57" fillId="0" borderId="0" xfId="0" applyNumberFormat="1" applyFont="1" applyFill="1" applyAlignment="1" applyProtection="1">
      <alignment vertical="top"/>
      <protection locked="0"/>
    </xf>
    <xf numFmtId="37" fontId="57" fillId="0" borderId="0" xfId="0" applyNumberFormat="1" applyFont="1" applyFill="1" applyBorder="1" applyAlignment="1" applyProtection="1">
      <protection locked="0"/>
    </xf>
    <xf numFmtId="38" fontId="36" fillId="0" borderId="1" xfId="0" applyNumberFormat="1" applyFont="1" applyFill="1" applyBorder="1" applyProtection="1">
      <protection locked="0"/>
    </xf>
    <xf numFmtId="38" fontId="36" fillId="0" borderId="0" xfId="0" applyNumberFormat="1" applyFont="1" applyFill="1" applyBorder="1" applyProtection="1">
      <protection locked="0"/>
    </xf>
    <xf numFmtId="41" fontId="35" fillId="0" borderId="0" xfId="1" applyNumberFormat="1" applyFill="1"/>
    <xf numFmtId="221" fontId="34" fillId="53" borderId="23" xfId="0" applyNumberFormat="1" applyFont="1" applyFill="1" applyBorder="1" applyAlignment="1" applyProtection="1">
      <alignment horizontal="centerContinuous"/>
      <protection locked="0"/>
    </xf>
    <xf numFmtId="173" fontId="34" fillId="53" borderId="20" xfId="0" applyFont="1" applyFill="1" applyBorder="1" applyAlignment="1" applyProtection="1">
      <alignment horizontal="centerContinuous"/>
      <protection locked="0"/>
    </xf>
    <xf numFmtId="3" fontId="54" fillId="0" borderId="0" xfId="0" applyNumberFormat="1" applyFont="1" applyFill="1" applyAlignment="1">
      <alignment vertical="center"/>
    </xf>
    <xf numFmtId="37" fontId="22" fillId="4" borderId="0" xfId="0" applyNumberFormat="1" applyFont="1" applyFill="1" applyAlignment="1">
      <alignment vertical="center"/>
    </xf>
    <xf numFmtId="37" fontId="22" fillId="0" borderId="0" xfId="0" applyNumberFormat="1" applyFont="1" applyAlignment="1">
      <alignment vertical="center"/>
    </xf>
    <xf numFmtId="221" fontId="22" fillId="0" borderId="0" xfId="0" applyNumberFormat="1" applyFont="1" applyFill="1" applyBorder="1" applyAlignment="1">
      <alignment wrapText="1"/>
    </xf>
    <xf numFmtId="49" fontId="0" fillId="0" borderId="0" xfId="0" applyNumberFormat="1" applyFont="1" applyFill="1" applyBorder="1" applyAlignment="1">
      <alignment horizontal="center" vertical="center"/>
    </xf>
    <xf numFmtId="3" fontId="22" fillId="0" borderId="0" xfId="0" applyNumberFormat="1" applyFont="1" applyFill="1" applyBorder="1" applyAlignment="1">
      <alignment horizontal="center" vertical="center"/>
    </xf>
    <xf numFmtId="10" fontId="22" fillId="0" borderId="0" xfId="0" applyNumberFormat="1" applyFont="1" applyFill="1" applyBorder="1" applyAlignment="1">
      <alignment vertical="center"/>
    </xf>
    <xf numFmtId="173" fontId="0" fillId="0" borderId="0" xfId="0" applyFill="1" applyBorder="1" applyAlignment="1">
      <alignment vertical="center"/>
    </xf>
    <xf numFmtId="10" fontId="0" fillId="0" borderId="0" xfId="11" applyNumberFormat="1" applyFont="1" applyFill="1" applyBorder="1" applyAlignment="1">
      <alignment vertical="center"/>
    </xf>
    <xf numFmtId="173" fontId="23" fillId="0" borderId="0" xfId="0" applyFont="1" applyAlignment="1">
      <alignment horizontal="center"/>
    </xf>
    <xf numFmtId="221" fontId="30" fillId="0" borderId="0" xfId="0" applyNumberFormat="1" applyFont="1" applyFill="1" applyAlignment="1" applyProtection="1">
      <alignment horizontal="right"/>
      <protection locked="0"/>
    </xf>
    <xf numFmtId="221" fontId="24" fillId="0" borderId="0" xfId="9" applyFont="1" applyFill="1" applyAlignment="1">
      <alignment horizontal="center"/>
    </xf>
    <xf numFmtId="221" fontId="22" fillId="0" borderId="0" xfId="8" applyFont="1" applyFill="1" applyAlignment="1">
      <alignment horizontal="right"/>
    </xf>
    <xf numFmtId="221" fontId="22" fillId="0" borderId="0" xfId="9" applyFont="1" applyFill="1"/>
    <xf numFmtId="221" fontId="22" fillId="0" borderId="0" xfId="15" applyFont="1" applyFill="1"/>
    <xf numFmtId="221" fontId="22" fillId="0" borderId="0" xfId="15" applyFont="1" applyFill="1" applyAlignment="1">
      <alignment horizontal="centerContinuous"/>
    </xf>
    <xf numFmtId="15" fontId="22" fillId="0" borderId="0" xfId="15" quotePrefix="1" applyNumberFormat="1" applyFont="1" applyFill="1" applyAlignment="1">
      <alignment horizontal="centerContinuous"/>
    </xf>
    <xf numFmtId="15" fontId="22" fillId="0" borderId="0" xfId="15" applyNumberFormat="1" applyFont="1" applyFill="1" applyAlignment="1">
      <alignment horizontal="centerContinuous"/>
    </xf>
    <xf numFmtId="15" fontId="22" fillId="0" borderId="0" xfId="15" applyNumberFormat="1" applyFont="1" applyFill="1" applyAlignment="1">
      <alignment horizontal="center"/>
    </xf>
    <xf numFmtId="221" fontId="22" fillId="0" borderId="0" xfId="428" applyFont="1" applyFill="1" applyBorder="1" applyAlignment="1">
      <alignment horizontal="center"/>
    </xf>
    <xf numFmtId="221" fontId="159" fillId="0" borderId="0" xfId="554" applyFont="1"/>
    <xf numFmtId="221" fontId="22" fillId="0" borderId="0" xfId="428" applyFont="1" applyFill="1" applyAlignment="1">
      <alignment horizontal="center"/>
    </xf>
    <xf numFmtId="221" fontId="159" fillId="0" borderId="0" xfId="554" applyFont="1" applyBorder="1"/>
    <xf numFmtId="221" fontId="22" fillId="0" borderId="0" xfId="15" applyFont="1" applyFill="1" applyBorder="1"/>
    <xf numFmtId="3" fontId="24" fillId="0" borderId="0" xfId="15" applyNumberFormat="1" applyFont="1" applyFill="1"/>
    <xf numFmtId="3" fontId="24" fillId="0" borderId="0" xfId="15" applyNumberFormat="1" applyFont="1" applyFill="1" applyBorder="1"/>
    <xf numFmtId="221" fontId="24" fillId="0" borderId="0" xfId="15" applyFont="1" applyFill="1" applyBorder="1"/>
    <xf numFmtId="175" fontId="22" fillId="0" borderId="0" xfId="16" applyNumberFormat="1" applyFont="1" applyFill="1"/>
    <xf numFmtId="175" fontId="54" fillId="0" borderId="0" xfId="16" applyNumberFormat="1" applyFont="1" applyFill="1" applyBorder="1"/>
    <xf numFmtId="175" fontId="22" fillId="0" borderId="0" xfId="16" applyNumberFormat="1" applyFont="1" applyFill="1" applyBorder="1"/>
    <xf numFmtId="221" fontId="159" fillId="0" borderId="0" xfId="555" applyFont="1"/>
    <xf numFmtId="175" fontId="54" fillId="0" borderId="0" xfId="16" applyNumberFormat="1" applyFont="1" applyFill="1"/>
    <xf numFmtId="41" fontId="22" fillId="0" borderId="0" xfId="16" applyNumberFormat="1" applyFont="1" applyFill="1"/>
    <xf numFmtId="41" fontId="54" fillId="0" borderId="0" xfId="16" applyNumberFormat="1" applyFont="1" applyFill="1"/>
    <xf numFmtId="221" fontId="24" fillId="0" borderId="0" xfId="428" applyFont="1" applyFill="1"/>
    <xf numFmtId="41" fontId="54" fillId="0" borderId="0" xfId="15" applyNumberFormat="1" applyFont="1" applyFill="1"/>
    <xf numFmtId="9" fontId="24" fillId="0" borderId="0" xfId="428" applyNumberFormat="1" applyFont="1" applyFill="1"/>
    <xf numFmtId="221" fontId="54" fillId="0" borderId="1" xfId="0" applyNumberFormat="1" applyFont="1" applyBorder="1" applyAlignment="1"/>
    <xf numFmtId="42" fontId="22" fillId="0" borderId="10" xfId="0" applyNumberFormat="1" applyFont="1" applyBorder="1" applyAlignment="1"/>
    <xf numFmtId="221" fontId="22" fillId="0" borderId="0" xfId="0" applyNumberFormat="1" applyFont="1" applyFill="1" applyAlignment="1">
      <alignment horizontal="left" vertical="top" wrapText="1" indent="1"/>
    </xf>
    <xf numFmtId="3" fontId="22" fillId="0" borderId="0" xfId="0" applyNumberFormat="1" applyFont="1" applyAlignment="1">
      <alignment vertical="center"/>
    </xf>
    <xf numFmtId="37" fontId="22" fillId="4" borderId="0" xfId="0" applyNumberFormat="1" applyFont="1" applyFill="1" applyBorder="1" applyAlignment="1"/>
    <xf numFmtId="42" fontId="22" fillId="0" borderId="24" xfId="0" applyNumberFormat="1" applyFont="1" applyFill="1" applyBorder="1" applyAlignment="1"/>
    <xf numFmtId="37" fontId="22" fillId="0" borderId="0" xfId="0" applyNumberFormat="1" applyFont="1" applyFill="1" applyBorder="1" applyAlignment="1"/>
    <xf numFmtId="165" fontId="22" fillId="0" borderId="0" xfId="0" applyNumberFormat="1" applyFont="1" applyAlignment="1">
      <alignment vertical="center"/>
    </xf>
    <xf numFmtId="42" fontId="22" fillId="0" borderId="0" xfId="0" applyNumberFormat="1" applyFont="1" applyFill="1" applyBorder="1" applyProtection="1"/>
    <xf numFmtId="221" fontId="54" fillId="0" borderId="0" xfId="0" applyNumberFormat="1" applyFont="1" applyFill="1" applyAlignment="1" applyProtection="1">
      <protection locked="0"/>
    </xf>
    <xf numFmtId="221" fontId="54" fillId="0" borderId="0" xfId="0" applyNumberFormat="1" applyFont="1" applyFill="1" applyProtection="1">
      <protection locked="0"/>
    </xf>
    <xf numFmtId="173" fontId="54" fillId="0" borderId="0" xfId="0" applyFont="1" applyFill="1" applyAlignment="1"/>
    <xf numFmtId="221" fontId="54" fillId="0" borderId="0" xfId="0" applyNumberFormat="1" applyFont="1" applyFill="1"/>
    <xf numFmtId="221" fontId="54" fillId="0" borderId="0" xfId="0" applyNumberFormat="1" applyFont="1" applyAlignment="1" applyProtection="1">
      <protection locked="0"/>
    </xf>
    <xf numFmtId="173" fontId="54" fillId="0" borderId="0" xfId="0" applyFont="1" applyAlignment="1">
      <alignment horizontal="centerContinuous"/>
    </xf>
    <xf numFmtId="221" fontId="54" fillId="0" borderId="0" xfId="0" applyNumberFormat="1" applyFont="1" applyAlignment="1" applyProtection="1">
      <alignment horizontal="centerContinuous"/>
      <protection locked="0"/>
    </xf>
    <xf numFmtId="221" fontId="54" fillId="0" borderId="0" xfId="0" applyNumberFormat="1" applyFont="1" applyAlignment="1">
      <alignment horizontal="centerContinuous"/>
    </xf>
    <xf numFmtId="173" fontId="54" fillId="0" borderId="0" xfId="0" applyNumberFormat="1" applyFont="1" applyAlignment="1" applyProtection="1">
      <protection locked="0"/>
    </xf>
    <xf numFmtId="173" fontId="0" fillId="0" borderId="0" xfId="0" applyFill="1" applyAlignment="1"/>
    <xf numFmtId="0" fontId="22" fillId="0" borderId="0" xfId="0" applyNumberFormat="1" applyFont="1" applyAlignment="1" applyProtection="1">
      <alignment horizontal="center"/>
      <protection locked="0"/>
    </xf>
    <xf numFmtId="0" fontId="22" fillId="0" borderId="0" xfId="0" applyNumberFormat="1" applyFont="1" applyFill="1" applyAlignment="1" applyProtection="1">
      <alignment horizontal="center"/>
      <protection locked="0"/>
    </xf>
    <xf numFmtId="0" fontId="22" fillId="0" borderId="0" xfId="0" applyNumberFormat="1" applyFont="1" applyAlignment="1"/>
    <xf numFmtId="0" fontId="60" fillId="0" borderId="0" xfId="0" applyNumberFormat="1" applyFont="1" applyAlignment="1"/>
    <xf numFmtId="0" fontId="22" fillId="0" borderId="0" xfId="0" applyNumberFormat="1" applyFont="1" applyFill="1" applyAlignment="1" applyProtection="1">
      <alignment horizontal="centerContinuous"/>
      <protection locked="0"/>
    </xf>
    <xf numFmtId="0" fontId="22" fillId="0" borderId="0" xfId="0" applyNumberFormat="1" applyFont="1" applyFill="1" applyAlignment="1">
      <alignment horizontal="centerContinuous"/>
    </xf>
    <xf numFmtId="0" fontId="24" fillId="0" borderId="0" xfId="0" applyNumberFormat="1" applyFont="1" applyAlignment="1">
      <alignment horizontal="centerContinuous"/>
    </xf>
    <xf numFmtId="0" fontId="22" fillId="0" borderId="0" xfId="0" applyNumberFormat="1" applyFont="1" applyFill="1" applyAlignment="1"/>
    <xf numFmtId="0" fontId="22" fillId="0" borderId="0" xfId="0" applyNumberFormat="1" applyFont="1" applyBorder="1" applyAlignment="1" applyProtection="1">
      <alignment horizontal="center"/>
      <protection locked="0"/>
    </xf>
    <xf numFmtId="0" fontId="115" fillId="0" borderId="0" xfId="0" applyNumberFormat="1" applyFont="1" applyBorder="1" applyAlignment="1" applyProtection="1">
      <alignment horizontal="center"/>
      <protection locked="0"/>
    </xf>
    <xf numFmtId="0" fontId="22" fillId="0" borderId="0" xfId="0" applyNumberFormat="1" applyFont="1" applyFill="1" applyAlignment="1" applyProtection="1">
      <alignment horizontal="center" vertical="center"/>
      <protection locked="0"/>
    </xf>
    <xf numFmtId="0" fontId="22" fillId="0" borderId="0" xfId="0" quotePrefix="1" applyNumberFormat="1" applyFont="1" applyFill="1" applyAlignment="1" applyProtection="1">
      <alignment horizontal="center"/>
      <protection locked="0"/>
    </xf>
    <xf numFmtId="0" fontId="54" fillId="0" borderId="0" xfId="0" applyNumberFormat="1" applyFont="1" applyFill="1" applyAlignment="1" applyProtection="1">
      <alignment horizontal="centerContinuous"/>
      <protection locked="0"/>
    </xf>
    <xf numFmtId="0" fontId="38" fillId="4" borderId="0" xfId="0" applyNumberFormat="1" applyFont="1" applyFill="1" applyAlignment="1">
      <alignment horizontal="centerContinuous"/>
    </xf>
    <xf numFmtId="0" fontId="38" fillId="0" borderId="0" xfId="0" applyNumberFormat="1" applyFont="1" applyFill="1" applyAlignment="1">
      <alignment horizontal="centerContinuous"/>
    </xf>
    <xf numFmtId="0" fontId="22" fillId="0" borderId="0" xfId="0" applyNumberFormat="1" applyFont="1" applyAlignment="1">
      <alignment horizontal="center"/>
    </xf>
    <xf numFmtId="0" fontId="22" fillId="0" borderId="0" xfId="0" applyNumberFormat="1" applyFont="1" applyFill="1" applyAlignment="1">
      <alignment horizontal="center"/>
    </xf>
    <xf numFmtId="0" fontId="22" fillId="0" borderId="0" xfId="0" applyNumberFormat="1" applyFont="1" applyAlignment="1">
      <alignment horizontal="centerContinuous"/>
    </xf>
    <xf numFmtId="0" fontId="22" fillId="0" borderId="0" xfId="576" applyFont="1"/>
    <xf numFmtId="0" fontId="24" fillId="0" borderId="0" xfId="576" applyFont="1" applyAlignment="1">
      <alignment horizontal="centerContinuous"/>
    </xf>
    <xf numFmtId="0" fontId="22" fillId="0" borderId="14" xfId="577" applyFont="1" applyFill="1" applyBorder="1"/>
    <xf numFmtId="0" fontId="24" fillId="0" borderId="15" xfId="577" applyFont="1" applyFill="1" applyBorder="1" applyAlignment="1">
      <alignment horizontal="centerContinuous"/>
    </xf>
    <xf numFmtId="0" fontId="24" fillId="0" borderId="16" xfId="577" applyFont="1" applyFill="1" applyBorder="1" applyAlignment="1">
      <alignment horizontal="centerContinuous"/>
    </xf>
    <xf numFmtId="0" fontId="24" fillId="0" borderId="25" xfId="577" applyFont="1" applyFill="1" applyBorder="1" applyAlignment="1">
      <alignment horizontal="centerContinuous"/>
    </xf>
    <xf numFmtId="0" fontId="24" fillId="0" borderId="14" xfId="577" applyFont="1" applyFill="1" applyBorder="1" applyAlignment="1">
      <alignment horizontal="center"/>
    </xf>
    <xf numFmtId="0" fontId="24" fillId="0" borderId="14" xfId="577" applyFont="1" applyFill="1" applyBorder="1" applyAlignment="1">
      <alignment horizontal="center" wrapText="1"/>
    </xf>
    <xf numFmtId="0" fontId="22" fillId="0" borderId="16" xfId="577" applyFont="1" applyFill="1" applyBorder="1"/>
    <xf numFmtId="0" fontId="22" fillId="0" borderId="25" xfId="577" applyFont="1" applyFill="1" applyBorder="1" applyAlignment="1">
      <alignment horizontal="centerContinuous"/>
    </xf>
    <xf numFmtId="0" fontId="22" fillId="0" borderId="17" xfId="577" applyFont="1" applyFill="1" applyBorder="1"/>
    <xf numFmtId="0" fontId="24" fillId="0" borderId="17" xfId="577" applyFont="1" applyFill="1" applyBorder="1"/>
    <xf numFmtId="0" fontId="24" fillId="0" borderId="0" xfId="577" applyFont="1" applyFill="1" applyBorder="1"/>
    <xf numFmtId="0" fontId="24" fillId="0" borderId="10" xfId="577" applyFont="1" applyFill="1" applyBorder="1"/>
    <xf numFmtId="0" fontId="22" fillId="0" borderId="0" xfId="577" applyFont="1" applyFill="1" applyBorder="1"/>
    <xf numFmtId="0" fontId="24" fillId="0" borderId="3" xfId="577" applyFont="1" applyFill="1" applyBorder="1"/>
    <xf numFmtId="0" fontId="22" fillId="0" borderId="4" xfId="577" applyFont="1" applyFill="1" applyBorder="1"/>
    <xf numFmtId="0" fontId="22" fillId="0" borderId="17" xfId="577" applyFont="1" applyFill="1" applyBorder="1" applyAlignment="1">
      <alignment horizontal="center"/>
    </xf>
    <xf numFmtId="0" fontId="24" fillId="0" borderId="17" xfId="577" applyFont="1" applyFill="1" applyBorder="1" applyAlignment="1">
      <alignment horizontal="center"/>
    </xf>
    <xf numFmtId="0" fontId="24" fillId="0" borderId="6" xfId="577" applyFont="1" applyFill="1" applyBorder="1" applyAlignment="1">
      <alignment horizontal="center" wrapText="1"/>
    </xf>
    <xf numFmtId="0" fontId="22" fillId="0" borderId="3" xfId="577" applyFont="1" applyFill="1" applyBorder="1"/>
    <xf numFmtId="0" fontId="22" fillId="0" borderId="0" xfId="577" applyFont="1" applyFill="1" applyBorder="1" applyAlignment="1">
      <alignment horizontal="left" indent="1"/>
    </xf>
    <xf numFmtId="175" fontId="22" fillId="0" borderId="0" xfId="577" applyNumberFormat="1" applyFont="1" applyFill="1" applyBorder="1"/>
    <xf numFmtId="0" fontId="22" fillId="0" borderId="3" xfId="577" applyFont="1" applyFill="1" applyBorder="1" applyAlignment="1">
      <alignment horizontal="left" indent="1"/>
    </xf>
    <xf numFmtId="174" fontId="22" fillId="0" borderId="0" xfId="564" applyNumberFormat="1" applyFont="1" applyFill="1" applyBorder="1"/>
    <xf numFmtId="0" fontId="22" fillId="0" borderId="17" xfId="577" applyFont="1" applyFill="1" applyBorder="1" applyAlignment="1">
      <alignment horizontal="center" vertical="center"/>
    </xf>
    <xf numFmtId="0" fontId="22" fillId="0" borderId="0" xfId="577" applyFont="1" applyFill="1" applyBorder="1" applyAlignment="1">
      <alignment horizontal="left" vertical="center" indent="1"/>
    </xf>
    <xf numFmtId="0" fontId="22" fillId="0" borderId="0" xfId="577" applyFont="1" applyFill="1" applyBorder="1" applyAlignment="1">
      <alignment vertical="center"/>
    </xf>
    <xf numFmtId="0" fontId="22" fillId="0" borderId="3" xfId="577" applyFont="1" applyFill="1" applyBorder="1" applyAlignment="1">
      <alignment horizontal="left" wrapText="1" indent="1"/>
    </xf>
    <xf numFmtId="0" fontId="22" fillId="0" borderId="6" xfId="577" applyFont="1" applyFill="1" applyBorder="1"/>
    <xf numFmtId="174" fontId="22" fillId="0" borderId="0" xfId="564" applyNumberFormat="1" applyFont="1"/>
    <xf numFmtId="0" fontId="24" fillId="0" borderId="0" xfId="577" applyFont="1" applyFill="1" applyBorder="1" applyAlignment="1">
      <alignment horizontal="left" indent="1"/>
    </xf>
    <xf numFmtId="0" fontId="22" fillId="0" borderId="12" xfId="577" applyFont="1" applyFill="1" applyBorder="1"/>
    <xf numFmtId="0" fontId="22" fillId="0" borderId="10" xfId="577" applyFont="1" applyFill="1" applyBorder="1"/>
    <xf numFmtId="174" fontId="54" fillId="0" borderId="0" xfId="564" applyNumberFormat="1" applyFont="1" applyFill="1" applyBorder="1"/>
    <xf numFmtId="174" fontId="22" fillId="0" borderId="0" xfId="576" applyNumberFormat="1" applyFont="1"/>
    <xf numFmtId="0" fontId="22" fillId="0" borderId="4" xfId="577" applyFont="1" applyFill="1" applyBorder="1" applyAlignment="1">
      <alignment horizontal="center"/>
    </xf>
    <xf numFmtId="0" fontId="22" fillId="0" borderId="7" xfId="577" applyFont="1" applyFill="1" applyBorder="1" applyAlignment="1">
      <alignment horizontal="center"/>
    </xf>
    <xf numFmtId="0" fontId="19" fillId="0" borderId="0" xfId="325" applyNumberFormat="1" applyFont="1" applyAlignment="1" applyProtection="1">
      <alignment horizontal="center"/>
      <protection locked="0"/>
    </xf>
    <xf numFmtId="0" fontId="118" fillId="0" borderId="0" xfId="325" applyNumberFormat="1" applyFont="1" applyBorder="1" applyAlignment="1" applyProtection="1">
      <alignment horizontal="left"/>
      <protection locked="0"/>
    </xf>
    <xf numFmtId="0" fontId="19" fillId="0" borderId="0" xfId="325" applyNumberFormat="1" applyFont="1" applyFill="1" applyAlignment="1" applyProtection="1">
      <alignment horizontal="center"/>
      <protection locked="0"/>
    </xf>
    <xf numFmtId="221" fontId="22" fillId="0" borderId="0" xfId="7" applyFont="1" applyFill="1" applyAlignment="1">
      <alignment horizontal="left"/>
    </xf>
    <xf numFmtId="173" fontId="24" fillId="0" borderId="0" xfId="0" applyFont="1" applyAlignment="1">
      <alignment horizontal="center"/>
    </xf>
    <xf numFmtId="173" fontId="0" fillId="0" borderId="0" xfId="0" applyFont="1" applyAlignment="1"/>
    <xf numFmtId="173" fontId="216" fillId="0" borderId="0" xfId="0" applyFont="1"/>
    <xf numFmtId="3" fontId="22" fillId="4" borderId="0" xfId="0" applyNumberFormat="1" applyFont="1" applyFill="1" applyBorder="1" applyAlignment="1">
      <alignment horizontal="left"/>
    </xf>
    <xf numFmtId="37" fontId="22" fillId="4" borderId="6" xfId="0" applyNumberFormat="1" applyFont="1" applyFill="1" applyBorder="1" applyAlignment="1"/>
    <xf numFmtId="164" fontId="22" fillId="0" borderId="0" xfId="0" applyNumberFormat="1" applyFont="1" applyFill="1" applyAlignment="1" applyProtection="1">
      <alignment horizontal="left"/>
      <protection locked="0"/>
    </xf>
    <xf numFmtId="221" fontId="22" fillId="0" borderId="0" xfId="0" applyNumberFormat="1" applyFont="1" applyFill="1" applyAlignment="1" applyProtection="1">
      <alignment horizontal="center"/>
      <protection locked="0"/>
    </xf>
    <xf numFmtId="166" fontId="22" fillId="0" borderId="0" xfId="0" applyNumberFormat="1" applyFont="1" applyFill="1" applyAlignment="1" applyProtection="1">
      <alignment horizontal="center"/>
      <protection locked="0"/>
    </xf>
    <xf numFmtId="221" fontId="54" fillId="0" borderId="0" xfId="0" applyNumberFormat="1" applyFont="1" applyFill="1" applyAlignment="1" applyProtection="1">
      <alignment vertical="center"/>
      <protection locked="0"/>
    </xf>
    <xf numFmtId="37" fontId="115" fillId="0" borderId="0" xfId="0" applyNumberFormat="1" applyFont="1" applyAlignment="1"/>
    <xf numFmtId="42" fontId="22" fillId="4" borderId="0" xfId="325" applyNumberFormat="1" applyFont="1" applyFill="1" applyBorder="1" applyAlignment="1" applyProtection="1">
      <protection locked="0"/>
    </xf>
    <xf numFmtId="0" fontId="0" fillId="4" borderId="0" xfId="0" applyNumberFormat="1" applyFill="1" applyBorder="1" applyAlignment="1">
      <alignment horizontal="left"/>
    </xf>
    <xf numFmtId="0" fontId="18" fillId="0" borderId="0" xfId="328" applyNumberFormat="1" applyAlignment="1">
      <alignment horizontal="center"/>
    </xf>
    <xf numFmtId="0" fontId="121" fillId="0" borderId="0" xfId="328" applyNumberFormat="1" applyFont="1" applyAlignment="1">
      <alignment horizontal="centerContinuous"/>
    </xf>
    <xf numFmtId="0" fontId="18" fillId="0" borderId="0" xfId="328" applyNumberFormat="1" applyAlignment="1">
      <alignment horizontal="centerContinuous"/>
    </xf>
    <xf numFmtId="0" fontId="30" fillId="0" borderId="0" xfId="328" applyNumberFormat="1" applyFont="1" applyFill="1" applyAlignment="1">
      <alignment horizontal="center"/>
    </xf>
    <xf numFmtId="0" fontId="30" fillId="0" borderId="0" xfId="328" applyNumberFormat="1" applyFont="1" applyFill="1" applyAlignment="1" applyProtection="1">
      <alignment horizontal="center"/>
    </xf>
    <xf numFmtId="0" fontId="18" fillId="0" borderId="0" xfId="328" applyNumberFormat="1"/>
    <xf numFmtId="0" fontId="22" fillId="0" borderId="0" xfId="329" applyNumberFormat="1" applyFont="1" applyAlignment="1" applyProtection="1">
      <alignment horizontal="center"/>
    </xf>
    <xf numFmtId="221" fontId="24" fillId="0" borderId="0" xfId="7" applyFont="1" applyFill="1" applyAlignment="1">
      <alignment horizontal="center"/>
    </xf>
    <xf numFmtId="0" fontId="22" fillId="0" borderId="17" xfId="577" applyFont="1" applyFill="1" applyBorder="1" applyAlignment="1">
      <alignment vertical="center"/>
    </xf>
    <xf numFmtId="0" fontId="22" fillId="0" borderId="0" xfId="577" applyFont="1" applyFill="1" applyBorder="1" applyAlignment="1">
      <alignment horizontal="left" vertical="center"/>
    </xf>
    <xf numFmtId="174" fontId="22" fillId="0" borderId="0" xfId="564" applyNumberFormat="1" applyFont="1" applyFill="1" applyBorder="1" applyAlignment="1">
      <alignment vertical="center"/>
    </xf>
    <xf numFmtId="0" fontId="22" fillId="0" borderId="0" xfId="576" applyFont="1" applyFill="1" applyAlignment="1">
      <alignment vertical="center"/>
    </xf>
    <xf numFmtId="0" fontId="22" fillId="0" borderId="0" xfId="576" applyFont="1" applyFill="1"/>
    <xf numFmtId="221" fontId="30" fillId="0" borderId="0" xfId="6" applyFont="1" applyFill="1"/>
    <xf numFmtId="10" fontId="22" fillId="0" borderId="0" xfId="576" applyNumberFormat="1" applyFont="1"/>
    <xf numFmtId="0" fontId="5" fillId="0" borderId="0" xfId="1623"/>
    <xf numFmtId="0" fontId="5" fillId="0" borderId="0" xfId="1623" applyAlignment="1">
      <alignment horizontal="right"/>
    </xf>
    <xf numFmtId="9" fontId="55" fillId="0" borderId="0" xfId="7" applyNumberFormat="1" applyFont="1" applyFill="1" applyProtection="1">
      <protection locked="0"/>
    </xf>
    <xf numFmtId="0" fontId="5" fillId="0" borderId="0" xfId="1623" applyFill="1" applyBorder="1"/>
    <xf numFmtId="0" fontId="5" fillId="0" borderId="0" xfId="1623" quotePrefix="1" applyFill="1" applyBorder="1"/>
    <xf numFmtId="0" fontId="155" fillId="0" borderId="0" xfId="1623" applyFont="1" applyFill="1" applyBorder="1" applyAlignment="1">
      <alignment horizontal="centerContinuous"/>
    </xf>
    <xf numFmtId="0" fontId="5" fillId="0" borderId="0" xfId="1623" applyFill="1" applyBorder="1" applyAlignment="1">
      <alignment horizontal="centerContinuous"/>
    </xf>
    <xf numFmtId="0" fontId="217" fillId="0" borderId="0" xfId="1623" applyFont="1" applyFill="1" applyBorder="1" applyAlignment="1">
      <alignment horizontal="center"/>
    </xf>
    <xf numFmtId="37" fontId="218" fillId="0" borderId="0" xfId="1623" applyNumberFormat="1" applyFont="1" applyFill="1" applyBorder="1"/>
    <xf numFmtId="0" fontId="5" fillId="0" borderId="0" xfId="1623" applyFill="1" applyBorder="1" applyAlignment="1">
      <alignment horizontal="center"/>
    </xf>
    <xf numFmtId="37" fontId="5" fillId="0" borderId="0" xfId="1623" applyNumberFormat="1" applyFill="1" applyBorder="1"/>
    <xf numFmtId="10" fontId="5" fillId="0" borderId="0" xfId="1623" applyNumberFormat="1" applyFill="1" applyBorder="1"/>
    <xf numFmtId="221" fontId="22" fillId="0" borderId="0" xfId="8" applyFont="1" applyBorder="1"/>
    <xf numFmtId="221" fontId="47" fillId="0" borderId="0" xfId="9" applyFont="1" applyFill="1" applyAlignment="1"/>
    <xf numFmtId="221" fontId="34" fillId="0" borderId="1" xfId="0" applyNumberFormat="1" applyFont="1" applyFill="1" applyBorder="1" applyAlignment="1" applyProtection="1">
      <alignment horizontal="center"/>
      <protection locked="0"/>
    </xf>
    <xf numFmtId="37" fontId="30" fillId="0" borderId="1" xfId="0" applyNumberFormat="1" applyFont="1" applyFill="1" applyBorder="1" applyAlignment="1" applyProtection="1"/>
    <xf numFmtId="42" fontId="30" fillId="0" borderId="2" xfId="0" applyNumberFormat="1" applyFont="1" applyFill="1" applyBorder="1" applyAlignment="1" applyProtection="1"/>
    <xf numFmtId="3" fontId="30" fillId="0" borderId="0" xfId="0" applyNumberFormat="1" applyFont="1" applyFill="1" applyAlignment="1" applyProtection="1"/>
    <xf numFmtId="3" fontId="30" fillId="0" borderId="24" xfId="0" applyNumberFormat="1" applyFont="1" applyFill="1" applyBorder="1" applyAlignment="1" applyProtection="1"/>
    <xf numFmtId="273" fontId="30" fillId="0" borderId="0" xfId="0" applyNumberFormat="1" applyFont="1" applyFill="1" applyAlignment="1" applyProtection="1">
      <alignment horizontal="right"/>
    </xf>
    <xf numFmtId="221" fontId="30" fillId="0" borderId="0" xfId="0" applyNumberFormat="1" applyFont="1" applyFill="1" applyProtection="1"/>
    <xf numFmtId="37" fontId="30" fillId="0" borderId="0" xfId="0" applyNumberFormat="1" applyFont="1" applyFill="1" applyBorder="1" applyAlignment="1" applyProtection="1">
      <alignment vertical="top"/>
    </xf>
    <xf numFmtId="173" fontId="30" fillId="0" borderId="24" xfId="0" applyFont="1" applyFill="1" applyBorder="1" applyAlignment="1" applyProtection="1"/>
    <xf numFmtId="3" fontId="30" fillId="0" borderId="1" xfId="0" applyNumberFormat="1" applyFont="1" applyFill="1" applyBorder="1" applyAlignment="1" applyProtection="1">
      <alignment horizontal="center"/>
    </xf>
    <xf numFmtId="3" fontId="30" fillId="0" borderId="0" xfId="0" applyNumberFormat="1" applyFont="1" applyFill="1" applyAlignment="1" applyProtection="1">
      <alignment horizontal="center"/>
    </xf>
    <xf numFmtId="37" fontId="30" fillId="0" borderId="0" xfId="0" applyNumberFormat="1" applyFont="1" applyFill="1" applyBorder="1" applyProtection="1"/>
    <xf numFmtId="221" fontId="30" fillId="0" borderId="1" xfId="0" applyNumberFormat="1" applyFont="1" applyFill="1" applyBorder="1" applyAlignment="1" applyProtection="1">
      <alignment horizontal="center"/>
    </xf>
    <xf numFmtId="221" fontId="30" fillId="0" borderId="0" xfId="0" applyNumberFormat="1" applyFont="1" applyFill="1" applyAlignment="1" applyProtection="1"/>
    <xf numFmtId="38" fontId="30" fillId="0" borderId="0" xfId="0" applyNumberFormat="1" applyFont="1" applyFill="1" applyBorder="1" applyProtection="1"/>
    <xf numFmtId="38" fontId="30" fillId="0" borderId="1" xfId="0" applyNumberFormat="1" applyFont="1" applyFill="1" applyBorder="1" applyProtection="1"/>
    <xf numFmtId="10" fontId="34" fillId="0" borderId="22" xfId="0" applyNumberFormat="1" applyFont="1" applyFill="1" applyBorder="1" applyAlignment="1" applyProtection="1"/>
    <xf numFmtId="173" fontId="34" fillId="53" borderId="22" xfId="0" applyFont="1" applyFill="1" applyBorder="1" applyAlignment="1" applyProtection="1">
      <alignment horizontal="centerContinuous"/>
      <protection locked="0"/>
    </xf>
    <xf numFmtId="0" fontId="130" fillId="4" borderId="0" xfId="0" applyNumberFormat="1" applyFont="1" applyFill="1" applyAlignment="1" applyProtection="1">
      <protection locked="0"/>
    </xf>
    <xf numFmtId="173" fontId="34" fillId="53" borderId="0" xfId="0" applyFont="1" applyFill="1" applyAlignment="1" applyProtection="1">
      <alignment horizontal="center"/>
      <protection locked="0"/>
    </xf>
    <xf numFmtId="43" fontId="30" fillId="0" borderId="0" xfId="0" applyNumberFormat="1" applyFont="1"/>
    <xf numFmtId="41" fontId="22" fillId="4" borderId="0" xfId="0" applyNumberFormat="1" applyFont="1" applyFill="1" applyAlignment="1"/>
    <xf numFmtId="41" fontId="22" fillId="0" borderId="0" xfId="0" applyNumberFormat="1" applyFont="1" applyFill="1" applyAlignment="1"/>
    <xf numFmtId="41" fontId="54" fillId="4" borderId="0" xfId="0" applyNumberFormat="1" applyFont="1" applyFill="1" applyAlignment="1"/>
    <xf numFmtId="221" fontId="46" fillId="0" borderId="0" xfId="552" applyFont="1" applyAlignment="1">
      <alignment horizontal="centerContinuous"/>
    </xf>
    <xf numFmtId="173" fontId="0" fillId="0" borderId="0" xfId="0" applyAlignment="1">
      <alignment horizontal="centerContinuous"/>
    </xf>
    <xf numFmtId="221" fontId="24" fillId="0" borderId="0" xfId="552" applyFont="1" applyAlignment="1">
      <alignment horizontal="centerContinuous"/>
    </xf>
    <xf numFmtId="173" fontId="216" fillId="0" borderId="0" xfId="0" applyFont="1" applyAlignment="1">
      <alignment horizontal="centerContinuous"/>
    </xf>
    <xf numFmtId="173" fontId="221" fillId="0" borderId="0" xfId="0" applyFont="1" applyAlignment="1">
      <alignment horizontal="centerContinuous"/>
    </xf>
    <xf numFmtId="39" fontId="216" fillId="0" borderId="0" xfId="0" applyNumberFormat="1" applyFont="1"/>
    <xf numFmtId="39" fontId="224" fillId="0" borderId="0" xfId="0" applyNumberFormat="1" applyFont="1"/>
    <xf numFmtId="173" fontId="221" fillId="0" borderId="0" xfId="0" applyFont="1" applyAlignment="1">
      <alignment horizontal="left" indent="1"/>
    </xf>
    <xf numFmtId="44" fontId="24" fillId="0" borderId="0" xfId="0" applyNumberFormat="1" applyFont="1" applyFill="1" applyBorder="1"/>
    <xf numFmtId="3" fontId="30" fillId="0" borderId="0" xfId="0" applyNumberFormat="1" applyFont="1" applyAlignment="1" applyProtection="1">
      <alignment horizontal="left"/>
      <protection locked="0"/>
    </xf>
    <xf numFmtId="3" fontId="30" fillId="0" borderId="0" xfId="0" applyNumberFormat="1" applyFont="1" applyFill="1" applyAlignment="1" applyProtection="1">
      <alignment horizontal="left" vertical="top"/>
      <protection locked="0"/>
    </xf>
    <xf numFmtId="3" fontId="30" fillId="0" borderId="0" xfId="0" applyNumberFormat="1" applyFont="1" applyFill="1" applyAlignment="1" applyProtection="1">
      <alignment horizontal="left"/>
      <protection locked="0"/>
    </xf>
    <xf numFmtId="173" fontId="133" fillId="0" borderId="0" xfId="0" applyFont="1" applyAlignment="1">
      <alignment horizontal="left"/>
    </xf>
    <xf numFmtId="3" fontId="30" fillId="0" borderId="1" xfId="0" applyNumberFormat="1" applyFont="1" applyBorder="1" applyAlignment="1" applyProtection="1">
      <alignment horizontal="left"/>
      <protection locked="0"/>
    </xf>
    <xf numFmtId="173" fontId="30" fillId="0" borderId="0" xfId="0" applyFont="1" applyAlignment="1" applyProtection="1">
      <alignment horizontal="left"/>
      <protection locked="0"/>
    </xf>
    <xf numFmtId="221" fontId="30" fillId="0" borderId="0" xfId="0" applyNumberFormat="1" applyFont="1" applyFill="1" applyAlignment="1" applyProtection="1">
      <alignment horizontal="left"/>
      <protection locked="0"/>
    </xf>
    <xf numFmtId="221" fontId="30" fillId="0" borderId="0" xfId="0" applyNumberFormat="1" applyFont="1" applyFill="1" applyAlignment="1" applyProtection="1">
      <alignment horizontal="left" vertical="top" wrapText="1"/>
      <protection locked="0"/>
    </xf>
    <xf numFmtId="221" fontId="30" fillId="0" borderId="0" xfId="0" applyNumberFormat="1" applyFont="1" applyFill="1" applyBorder="1" applyAlignment="1" applyProtection="1">
      <alignment horizontal="left"/>
      <protection locked="0"/>
    </xf>
    <xf numFmtId="173" fontId="30" fillId="0" borderId="24" xfId="0" applyFont="1" applyFill="1" applyBorder="1" applyAlignment="1" applyProtection="1">
      <alignment horizontal="left"/>
      <protection locked="0"/>
    </xf>
    <xf numFmtId="173" fontId="30" fillId="0" borderId="0" xfId="0" applyFont="1" applyFill="1" applyAlignment="1" applyProtection="1">
      <alignment horizontal="left"/>
      <protection locked="0"/>
    </xf>
    <xf numFmtId="3" fontId="30" fillId="0" borderId="0" xfId="0" applyNumberFormat="1" applyFont="1" applyBorder="1" applyAlignment="1" applyProtection="1">
      <alignment horizontal="left"/>
      <protection locked="0"/>
    </xf>
    <xf numFmtId="173" fontId="30" fillId="0" borderId="1" xfId="0" applyFont="1" applyBorder="1" applyAlignment="1" applyProtection="1">
      <alignment horizontal="left"/>
      <protection locked="0"/>
    </xf>
    <xf numFmtId="221" fontId="30" fillId="0" borderId="0" xfId="0" applyNumberFormat="1" applyFont="1" applyBorder="1" applyAlignment="1" applyProtection="1">
      <alignment horizontal="left"/>
      <protection locked="0"/>
    </xf>
    <xf numFmtId="173" fontId="30" fillId="0" borderId="20" xfId="0" applyFont="1" applyBorder="1" applyAlignment="1" applyProtection="1">
      <alignment horizontal="left"/>
      <protection locked="0"/>
    </xf>
    <xf numFmtId="0" fontId="22" fillId="0" borderId="0" xfId="0" applyNumberFormat="1" applyFont="1" applyFill="1" applyAlignment="1" applyProtection="1">
      <alignment horizontal="center" vertical="top"/>
      <protection locked="0"/>
    </xf>
    <xf numFmtId="173" fontId="22" fillId="0" borderId="0" xfId="0" applyFont="1" applyAlignment="1">
      <alignment vertical="top"/>
    </xf>
    <xf numFmtId="221" fontId="22" fillId="0" borderId="0" xfId="0" applyNumberFormat="1" applyFont="1" applyAlignment="1">
      <alignment vertical="top"/>
    </xf>
    <xf numFmtId="172" fontId="22" fillId="0" borderId="0" xfId="0" applyNumberFormat="1" applyFont="1" applyAlignment="1">
      <alignment vertical="top"/>
    </xf>
    <xf numFmtId="221" fontId="22" fillId="0" borderId="0" xfId="0" applyNumberFormat="1" applyFont="1" applyAlignment="1">
      <alignment vertical="top" wrapText="1"/>
    </xf>
    <xf numFmtId="221" fontId="54" fillId="0" borderId="0" xfId="0" applyNumberFormat="1" applyFont="1" applyAlignment="1">
      <alignment vertical="center"/>
    </xf>
    <xf numFmtId="221" fontId="22" fillId="0" borderId="0" xfId="0" applyNumberFormat="1" applyFont="1" applyAlignment="1">
      <alignment vertical="center"/>
    </xf>
    <xf numFmtId="173" fontId="22" fillId="0" borderId="0" xfId="0" applyFont="1" applyAlignment="1">
      <alignment vertical="center"/>
    </xf>
    <xf numFmtId="3" fontId="54" fillId="0" borderId="0" xfId="0" applyNumberFormat="1" applyFont="1" applyAlignment="1">
      <alignment vertical="center"/>
    </xf>
    <xf numFmtId="221" fontId="54" fillId="0" borderId="0" xfId="0" applyNumberFormat="1" applyFont="1" applyAlignment="1">
      <alignment vertical="center" wrapText="1"/>
    </xf>
    <xf numFmtId="173" fontId="54" fillId="0" borderId="0" xfId="0" applyFont="1" applyAlignment="1">
      <alignment vertical="center"/>
    </xf>
    <xf numFmtId="10" fontId="22" fillId="0" borderId="0" xfId="0" applyNumberFormat="1" applyFont="1" applyAlignment="1">
      <alignment horizontal="left" vertical="center"/>
    </xf>
    <xf numFmtId="167" fontId="22" fillId="0" borderId="0" xfId="0" applyNumberFormat="1" applyFont="1" applyAlignment="1">
      <alignment vertical="center"/>
    </xf>
    <xf numFmtId="164" fontId="22" fillId="0" borderId="0" xfId="0" applyNumberFormat="1" applyFont="1" applyAlignment="1">
      <alignment horizontal="center" vertical="center"/>
    </xf>
    <xf numFmtId="173" fontId="22" fillId="0" borderId="0" xfId="0" applyNumberFormat="1" applyFont="1" applyFill="1" applyBorder="1" applyAlignment="1"/>
    <xf numFmtId="173" fontId="21" fillId="0" borderId="0" xfId="0" applyNumberFormat="1" applyFont="1" applyFill="1" applyBorder="1" applyAlignment="1"/>
    <xf numFmtId="221" fontId="18" fillId="0" borderId="0" xfId="328" applyFill="1" applyAlignment="1">
      <alignment horizontal="right"/>
    </xf>
    <xf numFmtId="0" fontId="24" fillId="0" borderId="0" xfId="0" applyNumberFormat="1" applyFont="1" applyFill="1" applyAlignment="1">
      <alignment horizontal="centerContinuous"/>
    </xf>
    <xf numFmtId="173" fontId="22" fillId="0" borderId="1" xfId="0" applyFont="1" applyBorder="1" applyAlignment="1">
      <alignment horizontal="center"/>
    </xf>
    <xf numFmtId="221" fontId="26" fillId="0" borderId="1" xfId="0" applyNumberFormat="1" applyFont="1" applyBorder="1" applyAlignment="1" applyProtection="1">
      <alignment horizontal="center"/>
      <protection locked="0"/>
    </xf>
    <xf numFmtId="3" fontId="115" fillId="0" borderId="0" xfId="0" applyNumberFormat="1" applyFont="1" applyBorder="1" applyAlignment="1"/>
    <xf numFmtId="221" fontId="115" fillId="0" borderId="0" xfId="0" applyNumberFormat="1" applyFont="1" applyBorder="1" applyAlignment="1" applyProtection="1">
      <alignment horizontal="centerContinuous"/>
      <protection locked="0"/>
    </xf>
    <xf numFmtId="221" fontId="22" fillId="0" borderId="0" xfId="5" applyFont="1" applyFill="1" applyBorder="1" applyAlignment="1">
      <alignment horizontal="left"/>
    </xf>
    <xf numFmtId="41" fontId="54" fillId="0" borderId="0" xfId="6" applyNumberFormat="1" applyFont="1" applyFill="1" applyBorder="1" applyProtection="1">
      <protection locked="0"/>
    </xf>
    <xf numFmtId="221" fontId="22" fillId="0" borderId="0" xfId="7" applyFont="1" applyFill="1" applyAlignment="1">
      <alignment horizontal="left" vertical="center" indent="1"/>
    </xf>
    <xf numFmtId="221" fontId="35" fillId="0" borderId="0" xfId="7" applyFill="1"/>
    <xf numFmtId="221" fontId="24" fillId="0" borderId="8" xfId="7" applyFont="1" applyFill="1" applyBorder="1" applyAlignment="1">
      <alignment horizontal="center" vertical="center"/>
    </xf>
    <xf numFmtId="221" fontId="24" fillId="0" borderId="0" xfId="7" applyFont="1" applyFill="1" applyBorder="1" applyAlignment="1">
      <alignment horizontal="center"/>
    </xf>
    <xf numFmtId="173" fontId="46" fillId="0" borderId="0" xfId="0" applyFont="1" applyFill="1" applyAlignment="1">
      <alignment horizontal="centerContinuous"/>
    </xf>
    <xf numFmtId="173" fontId="24" fillId="0" borderId="0" xfId="0" applyFont="1" applyFill="1" applyAlignment="1">
      <alignment horizontal="centerContinuous"/>
    </xf>
    <xf numFmtId="221" fontId="24" fillId="0" borderId="0" xfId="5" applyFont="1" applyFill="1" applyBorder="1" applyAlignment="1">
      <alignment horizontal="center"/>
    </xf>
    <xf numFmtId="221" fontId="24" fillId="0" borderId="0" xfId="7" applyFont="1" applyFill="1" applyAlignment="1">
      <alignment horizontal="left"/>
    </xf>
    <xf numFmtId="221" fontId="22" fillId="0" borderId="0" xfId="0" applyNumberFormat="1" applyFont="1" applyFill="1" applyAlignment="1" applyProtection="1">
      <alignment horizontal="right"/>
    </xf>
    <xf numFmtId="173" fontId="22" fillId="0" borderId="0" xfId="0" applyFont="1" applyFill="1" applyAlignment="1">
      <alignment horizontal="center"/>
    </xf>
    <xf numFmtId="173" fontId="115" fillId="0" borderId="0" xfId="0" applyFont="1" applyFill="1" applyAlignment="1">
      <alignment horizontal="center"/>
    </xf>
    <xf numFmtId="44" fontId="22" fillId="0" borderId="0" xfId="0" applyNumberFormat="1" applyFont="1" applyFill="1" applyAlignment="1"/>
    <xf numFmtId="173" fontId="45" fillId="0" borderId="0" xfId="0" applyFont="1" applyFill="1" applyAlignment="1"/>
    <xf numFmtId="10" fontId="22" fillId="0" borderId="0" xfId="0" applyNumberFormat="1" applyFont="1" applyFill="1" applyAlignment="1"/>
    <xf numFmtId="221" fontId="22" fillId="0" borderId="0" xfId="5" applyFont="1" applyFill="1"/>
    <xf numFmtId="221" fontId="45" fillId="0" borderId="0" xfId="5" applyFont="1" applyFill="1" applyBorder="1" applyAlignment="1">
      <alignment horizontal="centerContinuous"/>
    </xf>
    <xf numFmtId="221" fontId="22" fillId="0" borderId="0" xfId="7" applyFont="1" applyFill="1" applyBorder="1" applyAlignment="1">
      <alignment horizontal="right"/>
    </xf>
    <xf numFmtId="41" fontId="57" fillId="0" borderId="0" xfId="1" applyNumberFormat="1" applyFont="1" applyFill="1"/>
    <xf numFmtId="10" fontId="54" fillId="0" borderId="0" xfId="579" applyNumberFormat="1" applyFont="1" applyFill="1" applyBorder="1" applyAlignment="1">
      <alignment vertical="center"/>
    </xf>
    <xf numFmtId="10" fontId="54" fillId="0" borderId="0" xfId="579" applyNumberFormat="1" applyFont="1" applyFill="1" applyAlignment="1">
      <alignment vertical="center"/>
    </xf>
    <xf numFmtId="175" fontId="24" fillId="0" borderId="13" xfId="578" applyNumberFormat="1" applyFont="1" applyFill="1" applyBorder="1"/>
    <xf numFmtId="42" fontId="30" fillId="0" borderId="2" xfId="0" applyNumberFormat="1" applyFont="1" applyFill="1" applyBorder="1" applyAlignment="1" applyProtection="1">
      <protection locked="0"/>
    </xf>
    <xf numFmtId="3" fontId="30" fillId="0" borderId="24" xfId="0" applyNumberFormat="1" applyFont="1" applyFill="1" applyBorder="1" applyAlignment="1" applyProtection="1">
      <protection locked="0"/>
    </xf>
    <xf numFmtId="3" fontId="30" fillId="0" borderId="1" xfId="0" applyNumberFormat="1" applyFont="1" applyFill="1" applyBorder="1" applyAlignment="1" applyProtection="1">
      <alignment horizontal="center"/>
      <protection locked="0"/>
    </xf>
    <xf numFmtId="3" fontId="30" fillId="0" borderId="0" xfId="0" applyNumberFormat="1" applyFont="1" applyFill="1" applyAlignment="1" applyProtection="1">
      <alignment horizontal="center"/>
      <protection locked="0"/>
    </xf>
    <xf numFmtId="37" fontId="57" fillId="0" borderId="0" xfId="0" applyNumberFormat="1" applyFont="1" applyFill="1" applyBorder="1" applyProtection="1">
      <protection locked="0"/>
    </xf>
    <xf numFmtId="221" fontId="30" fillId="0" borderId="1" xfId="0" applyNumberFormat="1" applyFont="1" applyFill="1" applyBorder="1" applyAlignment="1" applyProtection="1">
      <alignment horizontal="center"/>
      <protection locked="0"/>
    </xf>
    <xf numFmtId="42" fontId="22" fillId="0" borderId="0" xfId="7" applyNumberFormat="1" applyFont="1" applyFill="1" applyAlignment="1">
      <alignment vertical="top"/>
    </xf>
    <xf numFmtId="173" fontId="27" fillId="0" borderId="0" xfId="0" applyFont="1" applyAlignment="1">
      <alignment horizontal="centerContinuous"/>
    </xf>
    <xf numFmtId="2" fontId="18" fillId="0" borderId="0" xfId="328" applyNumberFormat="1" applyFill="1" applyAlignment="1">
      <alignment horizontal="right"/>
    </xf>
    <xf numFmtId="3" fontId="54" fillId="0" borderId="0" xfId="0" applyNumberFormat="1" applyFont="1" applyAlignment="1">
      <alignment horizontal="center" vertical="center"/>
    </xf>
    <xf numFmtId="221" fontId="22" fillId="0" borderId="0" xfId="0" applyNumberFormat="1" applyFont="1" applyAlignment="1">
      <alignment horizontal="center" vertical="center"/>
    </xf>
    <xf numFmtId="173" fontId="22" fillId="0" borderId="0" xfId="0" applyFont="1" applyAlignment="1">
      <alignment horizontal="center" vertical="center"/>
    </xf>
    <xf numFmtId="3" fontId="22" fillId="0" borderId="0" xfId="0" applyNumberFormat="1" applyFont="1" applyAlignment="1">
      <alignment horizontal="center" vertical="center"/>
    </xf>
    <xf numFmtId="3" fontId="54" fillId="0" borderId="0" xfId="0" applyNumberFormat="1" applyFont="1" applyFill="1" applyAlignment="1">
      <alignment horizontal="center" vertical="center"/>
    </xf>
    <xf numFmtId="221" fontId="54" fillId="0" borderId="0" xfId="0" applyNumberFormat="1" applyFont="1" applyAlignment="1">
      <alignment horizontal="center" vertical="center"/>
    </xf>
    <xf numFmtId="173" fontId="22" fillId="0" borderId="0" xfId="0" quotePrefix="1" applyFont="1" applyAlignment="1"/>
    <xf numFmtId="173" fontId="118" fillId="0" borderId="0" xfId="0" applyFont="1" applyAlignment="1"/>
    <xf numFmtId="190" fontId="22" fillId="0" borderId="0" xfId="0" applyNumberFormat="1" applyFont="1" applyFill="1" applyAlignment="1">
      <alignment horizontal="center"/>
    </xf>
    <xf numFmtId="190" fontId="22" fillId="0" borderId="0" xfId="0" applyNumberFormat="1" applyFont="1" applyFill="1"/>
    <xf numFmtId="49" fontId="38" fillId="0" borderId="0" xfId="0" applyNumberFormat="1" applyFont="1" applyFill="1" applyAlignment="1">
      <alignment horizontal="centerContinuous"/>
    </xf>
    <xf numFmtId="221" fontId="22" fillId="0" borderId="0" xfId="0" quotePrefix="1" applyNumberFormat="1" applyFont="1" applyAlignment="1">
      <alignment horizontal="center"/>
    </xf>
    <xf numFmtId="175" fontId="53" fillId="4" borderId="0" xfId="12" applyNumberFormat="1" applyFont="1" applyFill="1" applyBorder="1" applyAlignment="1"/>
    <xf numFmtId="0" fontId="22" fillId="0" borderId="3" xfId="577" applyFont="1" applyFill="1" applyBorder="1" applyAlignment="1">
      <alignment horizontal="left" vertical="center" indent="1"/>
    </xf>
    <xf numFmtId="10" fontId="54" fillId="0" borderId="0" xfId="0" applyNumberFormat="1" applyFont="1" applyAlignment="1">
      <alignment horizontal="left" vertical="center"/>
    </xf>
    <xf numFmtId="167" fontId="54" fillId="0" borderId="0" xfId="0" applyNumberFormat="1" applyFont="1" applyAlignment="1">
      <alignment vertical="center"/>
    </xf>
    <xf numFmtId="164" fontId="54" fillId="0" borderId="0" xfId="0" applyNumberFormat="1" applyFont="1" applyAlignment="1">
      <alignment horizontal="center" vertical="center"/>
    </xf>
    <xf numFmtId="2" fontId="57" fillId="0" borderId="0" xfId="328" applyNumberFormat="1" applyFont="1"/>
    <xf numFmtId="2" fontId="57" fillId="0" borderId="0" xfId="328" applyNumberFormat="1" applyFont="1" applyFill="1"/>
    <xf numFmtId="221" fontId="4" fillId="0" borderId="0" xfId="328" applyFont="1"/>
    <xf numFmtId="0" fontId="18" fillId="100" borderId="0" xfId="328" applyNumberFormat="1" applyFill="1" applyAlignment="1">
      <alignment horizontal="center"/>
    </xf>
    <xf numFmtId="221" fontId="18" fillId="100" borderId="0" xfId="328" applyFill="1"/>
    <xf numFmtId="221" fontId="18" fillId="100" borderId="0" xfId="328" applyFill="1" applyAlignment="1">
      <alignment horizontal="right"/>
    </xf>
    <xf numFmtId="37" fontId="30" fillId="0" borderId="24" xfId="0" applyNumberFormat="1" applyFont="1" applyFill="1" applyBorder="1" applyAlignment="1" applyProtection="1">
      <protection locked="0"/>
    </xf>
    <xf numFmtId="37" fontId="30" fillId="0" borderId="24" xfId="0" applyNumberFormat="1" applyFont="1" applyFill="1" applyBorder="1" applyAlignment="1" applyProtection="1"/>
    <xf numFmtId="37" fontId="30" fillId="0" borderId="24" xfId="0" quotePrefix="1" applyNumberFormat="1" applyFont="1" applyFill="1" applyBorder="1" applyAlignment="1" applyProtection="1"/>
    <xf numFmtId="173" fontId="30" fillId="0" borderId="24" xfId="0" applyFont="1" applyBorder="1" applyAlignment="1" applyProtection="1">
      <alignment horizontal="left"/>
      <protection locked="0"/>
    </xf>
    <xf numFmtId="221" fontId="30" fillId="0" borderId="24" xfId="0" quotePrefix="1" applyNumberFormat="1" applyFont="1" applyFill="1" applyBorder="1" applyAlignment="1" applyProtection="1">
      <alignment horizontal="left" vertical="top" wrapText="1" indent="1"/>
      <protection locked="0"/>
    </xf>
    <xf numFmtId="221" fontId="30" fillId="0" borderId="24" xfId="0" applyNumberFormat="1" applyFont="1" applyFill="1" applyBorder="1" applyAlignment="1" applyProtection="1">
      <alignment horizontal="left" vertical="top" wrapText="1"/>
      <protection locked="0"/>
    </xf>
    <xf numFmtId="221" fontId="30" fillId="0" borderId="24" xfId="0" applyNumberFormat="1" applyFont="1" applyBorder="1" applyAlignment="1" applyProtection="1">
      <protection locked="0"/>
    </xf>
    <xf numFmtId="221" fontId="30" fillId="0" borderId="24" xfId="0" applyNumberFormat="1" applyFont="1" applyBorder="1" applyAlignment="1" applyProtection="1">
      <alignment horizontal="left"/>
      <protection locked="0"/>
    </xf>
    <xf numFmtId="221" fontId="30" fillId="0" borderId="24" xfId="0" applyNumberFormat="1" applyFont="1" applyFill="1" applyBorder="1" applyAlignment="1" applyProtection="1">
      <protection locked="0"/>
    </xf>
    <xf numFmtId="173" fontId="22" fillId="0" borderId="0" xfId="0" quotePrefix="1" applyFont="1" applyAlignment="1">
      <alignment vertical="center"/>
    </xf>
    <xf numFmtId="42" fontId="54" fillId="0" borderId="0" xfId="0" applyNumberFormat="1" applyFont="1" applyFill="1" applyAlignment="1"/>
    <xf numFmtId="41" fontId="54" fillId="0" borderId="0" xfId="0" applyNumberFormat="1" applyFont="1" applyFill="1" applyAlignment="1"/>
    <xf numFmtId="37" fontId="227" fillId="0" borderId="0" xfId="0" applyNumberFormat="1" applyFont="1" applyAlignment="1"/>
    <xf numFmtId="10" fontId="115" fillId="0" borderId="0" xfId="0" applyNumberFormat="1" applyFont="1" applyFill="1" applyBorder="1" applyAlignment="1"/>
    <xf numFmtId="190" fontId="22" fillId="0" borderId="0" xfId="0" applyNumberFormat="1" applyFont="1" applyBorder="1" applyAlignment="1"/>
    <xf numFmtId="190" fontId="54" fillId="0" borderId="0" xfId="0" applyNumberFormat="1" applyFont="1" applyFill="1" applyBorder="1" applyAlignment="1"/>
    <xf numFmtId="190" fontId="22" fillId="0" borderId="0" xfId="0" applyNumberFormat="1" applyFont="1" applyFill="1" applyBorder="1" applyAlignment="1"/>
    <xf numFmtId="42" fontId="45" fillId="0" borderId="0" xfId="0" applyNumberFormat="1" applyFont="1" applyFill="1" applyAlignment="1"/>
    <xf numFmtId="173" fontId="22" fillId="0" borderId="0" xfId="0" applyFont="1" applyFill="1" applyAlignment="1">
      <alignment vertical="top" wrapText="1"/>
    </xf>
    <xf numFmtId="173" fontId="216" fillId="0" borderId="0" xfId="0" applyFont="1" applyAlignment="1">
      <alignment vertical="center"/>
    </xf>
    <xf numFmtId="37" fontId="30" fillId="0" borderId="0" xfId="0" quotePrefix="1" applyNumberFormat="1" applyFont="1" applyFill="1" applyBorder="1" applyProtection="1">
      <protection locked="0"/>
    </xf>
    <xf numFmtId="174" fontId="22" fillId="4" borderId="0" xfId="89" quotePrefix="1" applyNumberFormat="1" applyFont="1" applyFill="1" applyAlignment="1"/>
    <xf numFmtId="174" fontId="22" fillId="0" borderId="0" xfId="89" quotePrefix="1" applyNumberFormat="1" applyFont="1" applyFill="1" applyAlignment="1"/>
    <xf numFmtId="221" fontId="24" fillId="0" borderId="0" xfId="8" applyFont="1" applyAlignment="1" applyProtection="1">
      <alignment horizontal="centerContinuous"/>
    </xf>
    <xf numFmtId="221" fontId="24" fillId="0" borderId="0" xfId="9" applyFont="1" applyFill="1" applyAlignment="1">
      <alignment horizontal="centerContinuous"/>
    </xf>
    <xf numFmtId="221" fontId="24" fillId="0" borderId="0" xfId="15" applyFont="1" applyFill="1" applyAlignment="1">
      <alignment horizontal="centerContinuous" vertical="center"/>
    </xf>
    <xf numFmtId="221" fontId="24" fillId="0" borderId="0" xfId="15" applyFont="1" applyFill="1" applyAlignment="1">
      <alignment horizontal="centerContinuous"/>
    </xf>
    <xf numFmtId="15" fontId="24" fillId="0" borderId="0" xfId="15" quotePrefix="1" applyNumberFormat="1" applyFont="1" applyFill="1" applyAlignment="1">
      <alignment horizontal="centerContinuous"/>
    </xf>
    <xf numFmtId="15" fontId="24" fillId="0" borderId="0" xfId="15" applyNumberFormat="1" applyFont="1" applyFill="1" applyAlignment="1">
      <alignment horizontal="centerContinuous"/>
    </xf>
    <xf numFmtId="175" fontId="22" fillId="0" borderId="13" xfId="12" applyNumberFormat="1" applyFont="1" applyFill="1" applyBorder="1"/>
    <xf numFmtId="173" fontId="58" fillId="0" borderId="0" xfId="0" applyFont="1" applyAlignment="1">
      <alignment horizontal="center"/>
    </xf>
    <xf numFmtId="173" fontId="221" fillId="0" borderId="0" xfId="0" applyFont="1" applyAlignment="1">
      <alignment horizontal="center"/>
    </xf>
    <xf numFmtId="49" fontId="24" fillId="0" borderId="0" xfId="428" applyNumberFormat="1" applyFont="1" applyFill="1" applyAlignment="1">
      <alignment horizontal="center"/>
    </xf>
    <xf numFmtId="221" fontId="121" fillId="0" borderId="0" xfId="328" applyFont="1" applyAlignment="1">
      <alignment horizontal="center"/>
    </xf>
    <xf numFmtId="221" fontId="228" fillId="0" borderId="0" xfId="328" applyFont="1" applyAlignment="1">
      <alignment horizontal="center"/>
    </xf>
    <xf numFmtId="221" fontId="121" fillId="0" borderId="0" xfId="328" quotePrefix="1" applyFont="1" applyAlignment="1">
      <alignment horizontal="center"/>
    </xf>
    <xf numFmtId="221" fontId="121" fillId="0" borderId="0" xfId="328" applyFont="1" applyFill="1" applyAlignment="1">
      <alignment horizontal="center"/>
    </xf>
    <xf numFmtId="221" fontId="228" fillId="0" borderId="0" xfId="328" applyFont="1" applyFill="1" applyAlignment="1">
      <alignment horizontal="center"/>
    </xf>
    <xf numFmtId="221" fontId="121" fillId="0" borderId="0" xfId="328" quotePrefix="1" applyFont="1" applyFill="1" applyAlignment="1">
      <alignment horizontal="center"/>
    </xf>
    <xf numFmtId="2" fontId="57" fillId="0" borderId="0" xfId="328" applyNumberFormat="1" applyFont="1" applyFill="1" applyAlignment="1">
      <alignment horizontal="center"/>
    </xf>
    <xf numFmtId="221" fontId="57" fillId="0" borderId="0" xfId="328" applyFont="1" applyFill="1" applyAlignment="1">
      <alignment horizontal="center"/>
    </xf>
    <xf numFmtId="2" fontId="57" fillId="0" borderId="0" xfId="328" applyNumberFormat="1" applyFont="1" applyAlignment="1">
      <alignment horizontal="center"/>
    </xf>
    <xf numFmtId="2" fontId="18" fillId="0" borderId="0" xfId="328" applyNumberFormat="1" applyFill="1" applyAlignment="1">
      <alignment horizontal="center"/>
    </xf>
    <xf numFmtId="221" fontId="221" fillId="0" borderId="0" xfId="328" applyFont="1" applyAlignment="1">
      <alignment horizontal="centerContinuous"/>
    </xf>
    <xf numFmtId="0" fontId="5" fillId="0" borderId="0" xfId="1623" applyFill="1"/>
    <xf numFmtId="0" fontId="5" fillId="0" borderId="0" xfId="1623" applyFill="1" applyAlignment="1">
      <alignment horizontal="right"/>
    </xf>
    <xf numFmtId="0" fontId="5" fillId="0" borderId="0" xfId="1623" quotePrefix="1" applyFill="1"/>
    <xf numFmtId="0" fontId="219" fillId="0" borderId="0" xfId="1623" applyFont="1" applyFill="1" applyBorder="1" applyAlignment="1">
      <alignment horizontal="center"/>
    </xf>
    <xf numFmtId="0" fontId="5" fillId="0" borderId="0" xfId="1623" applyFill="1" applyAlignment="1">
      <alignment horizontal="left"/>
    </xf>
    <xf numFmtId="37" fontId="5" fillId="0" borderId="0" xfId="1623" applyNumberFormat="1" applyFill="1"/>
    <xf numFmtId="0" fontId="5" fillId="0" borderId="0" xfId="1623" applyFill="1" applyAlignment="1">
      <alignment horizontal="left" indent="1"/>
    </xf>
    <xf numFmtId="0" fontId="5" fillId="0" borderId="0" xfId="1623" applyFill="1" applyAlignment="1">
      <alignment horizontal="left" indent="2"/>
    </xf>
    <xf numFmtId="0" fontId="217" fillId="0" borderId="0" xfId="1623" applyFont="1" applyFill="1" applyAlignment="1">
      <alignment horizontal="center"/>
    </xf>
    <xf numFmtId="37" fontId="218" fillId="0" borderId="0" xfId="1623" applyNumberFormat="1" applyFont="1" applyFill="1"/>
    <xf numFmtId="0" fontId="5" fillId="0" borderId="0" xfId="1623" applyFill="1" applyAlignment="1">
      <alignment horizontal="center"/>
    </xf>
    <xf numFmtId="0" fontId="218" fillId="0" borderId="0" xfId="1623" applyFont="1" applyFill="1"/>
    <xf numFmtId="10" fontId="5" fillId="0" borderId="0" xfId="1623" applyNumberFormat="1" applyFill="1"/>
    <xf numFmtId="0" fontId="2" fillId="0" borderId="0" xfId="1623" applyFont="1" applyFill="1"/>
    <xf numFmtId="0" fontId="132" fillId="0" borderId="0" xfId="576" applyFont="1" applyAlignment="1">
      <alignment horizontal="centerContinuous"/>
    </xf>
    <xf numFmtId="173" fontId="22" fillId="0" borderId="1" xfId="0" applyFont="1" applyFill="1" applyBorder="1" applyAlignment="1">
      <alignment horizontal="center"/>
    </xf>
    <xf numFmtId="221" fontId="57" fillId="0" borderId="0" xfId="328" applyFont="1" applyFill="1" applyAlignment="1">
      <alignment horizontal="centerContinuous"/>
    </xf>
    <xf numFmtId="2" fontId="57" fillId="0" borderId="0" xfId="328" applyNumberFormat="1" applyFont="1" applyFill="1" applyAlignment="1">
      <alignment horizontal="centerContinuous"/>
    </xf>
    <xf numFmtId="0" fontId="22" fillId="0" borderId="4" xfId="577" applyFont="1" applyFill="1" applyBorder="1" applyAlignment="1">
      <alignment horizontal="center" vertical="center"/>
    </xf>
    <xf numFmtId="10" fontId="22" fillId="0" borderId="0" xfId="576" applyNumberFormat="1" applyFont="1" applyFill="1"/>
    <xf numFmtId="0" fontId="22" fillId="0" borderId="0" xfId="576" applyFont="1" applyBorder="1"/>
    <xf numFmtId="0" fontId="22" fillId="0" borderId="0" xfId="576" applyFont="1" applyFill="1" applyBorder="1"/>
    <xf numFmtId="0" fontId="22" fillId="0" borderId="0" xfId="577" applyFont="1" applyFill="1" applyBorder="1" applyAlignment="1">
      <alignment horizontal="left" wrapText="1" indent="1"/>
    </xf>
    <xf numFmtId="221" fontId="22" fillId="0" borderId="0" xfId="7" applyFont="1" applyAlignment="1">
      <alignment vertical="center"/>
    </xf>
    <xf numFmtId="221" fontId="22" fillId="0" borderId="0" xfId="5" applyFont="1" applyBorder="1" applyAlignment="1">
      <alignment horizontal="left" vertical="center"/>
    </xf>
    <xf numFmtId="221" fontId="24" fillId="0" borderId="0" xfId="5" applyFont="1" applyBorder="1" applyAlignment="1">
      <alignment horizontal="center" vertical="center"/>
    </xf>
    <xf numFmtId="221" fontId="11" fillId="0" borderId="0" xfId="455" applyAlignment="1">
      <alignment vertical="center"/>
    </xf>
    <xf numFmtId="221" fontId="22" fillId="0" borderId="0" xfId="355" applyFont="1" applyAlignment="1">
      <alignment vertical="center"/>
    </xf>
    <xf numFmtId="221" fontId="22" fillId="0" borderId="0" xfId="7" applyFont="1" applyFill="1" applyAlignment="1">
      <alignment vertical="center"/>
    </xf>
    <xf numFmtId="221" fontId="115" fillId="0" borderId="0" xfId="7" applyFont="1" applyAlignment="1">
      <alignment horizontal="center" vertical="center"/>
    </xf>
    <xf numFmtId="41" fontId="52" fillId="0" borderId="0" xfId="7" applyNumberFormat="1" applyFont="1" applyFill="1" applyAlignment="1">
      <alignment vertical="center"/>
    </xf>
    <xf numFmtId="221" fontId="22" fillId="0" borderId="0" xfId="7" applyFont="1" applyBorder="1" applyAlignment="1">
      <alignment vertical="center"/>
    </xf>
    <xf numFmtId="221" fontId="22" fillId="0" borderId="0" xfId="7" quotePrefix="1" applyFont="1" applyAlignment="1">
      <alignment horizontal="left"/>
    </xf>
    <xf numFmtId="221" fontId="22" fillId="0" borderId="0" xfId="7" applyFont="1" applyFill="1" applyAlignment="1">
      <alignment horizontal="left" vertical="center" wrapText="1"/>
    </xf>
    <xf numFmtId="170" fontId="22" fillId="0" borderId="0" xfId="0" applyNumberFormat="1" applyFont="1" applyFill="1" applyBorder="1" applyAlignment="1"/>
    <xf numFmtId="221" fontId="22" fillId="0" borderId="0" xfId="6" applyFont="1" applyAlignment="1">
      <alignment vertical="center"/>
    </xf>
    <xf numFmtId="221" fontId="22" fillId="0" borderId="0" xfId="8" applyFont="1" applyAlignment="1" applyProtection="1">
      <alignment horizontal="centerContinuous"/>
    </xf>
    <xf numFmtId="221" fontId="22" fillId="0" borderId="0" xfId="8" applyFont="1"/>
    <xf numFmtId="221" fontId="22" fillId="0" borderId="0" xfId="8" applyFont="1" applyProtection="1"/>
    <xf numFmtId="221" fontId="24" fillId="0" borderId="0" xfId="8" applyFont="1" applyAlignment="1">
      <alignment horizontal="centerContinuous"/>
    </xf>
    <xf numFmtId="221" fontId="22" fillId="0" borderId="0" xfId="8" applyFont="1" applyAlignment="1">
      <alignment horizontal="centerContinuous"/>
    </xf>
    <xf numFmtId="221" fontId="38" fillId="0" borderId="0" xfId="8" applyFont="1" applyAlignment="1">
      <alignment horizontal="left"/>
    </xf>
    <xf numFmtId="221" fontId="37" fillId="0" borderId="0" xfId="8" applyFont="1" applyAlignment="1">
      <alignment horizontal="left"/>
    </xf>
    <xf numFmtId="221" fontId="22" fillId="0" borderId="0" xfId="8" applyFont="1" applyAlignment="1">
      <alignment horizontal="left"/>
    </xf>
    <xf numFmtId="221" fontId="24" fillId="0" borderId="0" xfId="8" applyFont="1"/>
    <xf numFmtId="221" fontId="22" fillId="0" borderId="0" xfId="8" quotePrefix="1" applyFont="1"/>
    <xf numFmtId="221" fontId="22" fillId="0" borderId="0" xfId="8" applyFont="1" applyFill="1" applyBorder="1"/>
    <xf numFmtId="41" fontId="22" fillId="0" borderId="0" xfId="13" applyNumberFormat="1" applyFont="1" applyBorder="1"/>
    <xf numFmtId="41" fontId="22" fillId="0" borderId="0" xfId="423" applyNumberFormat="1" applyFont="1" applyBorder="1"/>
    <xf numFmtId="41" fontId="22" fillId="0" borderId="0" xfId="8" applyNumberFormat="1" applyFont="1" applyBorder="1"/>
    <xf numFmtId="221" fontId="22" fillId="0" borderId="0" xfId="8" applyFont="1" applyAlignment="1">
      <alignment vertical="center"/>
    </xf>
    <xf numFmtId="221" fontId="24" fillId="0" borderId="0" xfId="8" applyFont="1" applyAlignment="1">
      <alignment vertical="center"/>
    </xf>
    <xf numFmtId="221" fontId="22" fillId="0" borderId="0" xfId="8" applyFont="1" applyAlignment="1" applyProtection="1">
      <alignment vertical="center"/>
    </xf>
    <xf numFmtId="221" fontId="22" fillId="0" borderId="0" xfId="8" applyFont="1" applyAlignment="1" applyProtection="1">
      <alignment horizontal="right" vertical="center"/>
    </xf>
    <xf numFmtId="221" fontId="22" fillId="0" borderId="0" xfId="0" applyNumberFormat="1" applyFont="1" applyAlignment="1" applyProtection="1">
      <alignment horizontal="right" vertical="center"/>
    </xf>
    <xf numFmtId="221" fontId="22" fillId="0" borderId="0" xfId="0" applyNumberFormat="1" applyFont="1" applyFill="1" applyAlignment="1" applyProtection="1">
      <alignment horizontal="right" vertical="center"/>
      <protection locked="0"/>
    </xf>
    <xf numFmtId="221" fontId="22" fillId="0" borderId="0" xfId="8" applyFont="1" applyBorder="1" applyAlignment="1">
      <alignment vertical="center"/>
    </xf>
    <xf numFmtId="41" fontId="22" fillId="0" borderId="0" xfId="13" applyNumberFormat="1" applyFont="1" applyBorder="1" applyAlignment="1">
      <alignment vertical="center"/>
    </xf>
    <xf numFmtId="41" fontId="22" fillId="0" borderId="0" xfId="423" applyNumberFormat="1" applyFont="1" applyBorder="1" applyAlignment="1">
      <alignment vertical="center"/>
    </xf>
    <xf numFmtId="41" fontId="22" fillId="0" borderId="0" xfId="8" applyNumberFormat="1" applyFont="1" applyBorder="1" applyAlignment="1">
      <alignment vertical="center"/>
    </xf>
    <xf numFmtId="221" fontId="22" fillId="0" borderId="0" xfId="423" applyFont="1" applyFill="1" applyBorder="1" applyAlignment="1"/>
    <xf numFmtId="173" fontId="230" fillId="0" borderId="0" xfId="0" applyFont="1" applyFill="1" applyAlignment="1"/>
    <xf numFmtId="173" fontId="134" fillId="0" borderId="0" xfId="0" applyFont="1" applyFill="1" applyAlignment="1"/>
    <xf numFmtId="173" fontId="0" fillId="0" borderId="0" xfId="0" applyFont="1" applyFill="1" applyAlignment="1"/>
    <xf numFmtId="221" fontId="3" fillId="0" borderId="0" xfId="328" applyFont="1"/>
    <xf numFmtId="221" fontId="3" fillId="0" borderId="0" xfId="328" applyFont="1" applyFill="1"/>
    <xf numFmtId="221" fontId="54" fillId="0" borderId="0" xfId="7" applyFont="1" applyFill="1" applyProtection="1">
      <protection locked="0"/>
    </xf>
    <xf numFmtId="41" fontId="22" fillId="0" borderId="0" xfId="6" applyNumberFormat="1" applyFont="1" applyFill="1" applyProtection="1">
      <protection locked="0"/>
    </xf>
    <xf numFmtId="42" fontId="52" fillId="0" borderId="0" xfId="7" applyNumberFormat="1" applyFont="1" applyFill="1" applyAlignment="1">
      <alignment horizontal="left" vertical="center"/>
    </xf>
    <xf numFmtId="41" fontId="36" fillId="0" borderId="0" xfId="7" applyNumberFormat="1" applyFont="1" applyFill="1"/>
    <xf numFmtId="42" fontId="54" fillId="0" borderId="0" xfId="355" applyNumberFormat="1" applyFont="1" applyFill="1" applyProtection="1">
      <protection locked="0"/>
    </xf>
    <xf numFmtId="42" fontId="54" fillId="0" borderId="0" xfId="423" applyNumberFormat="1" applyFont="1" applyFill="1" applyAlignment="1" applyProtection="1">
      <alignment vertical="center"/>
      <protection locked="0"/>
    </xf>
    <xf numFmtId="42" fontId="22" fillId="0" borderId="0" xfId="423" applyNumberFormat="1" applyFont="1" applyFill="1" applyAlignment="1" applyProtection="1">
      <alignment vertical="center"/>
      <protection locked="0"/>
    </xf>
    <xf numFmtId="41" fontId="54" fillId="0" borderId="0" xfId="423" applyNumberFormat="1" applyFont="1" applyFill="1" applyAlignment="1">
      <alignment vertical="center"/>
    </xf>
    <xf numFmtId="10" fontId="22" fillId="0" borderId="0" xfId="11" applyNumberFormat="1" applyFont="1" applyFill="1" applyAlignment="1">
      <alignment vertical="center"/>
    </xf>
    <xf numFmtId="42" fontId="22" fillId="0" borderId="0" xfId="423" applyNumberFormat="1" applyFont="1" applyFill="1" applyAlignment="1">
      <alignment vertical="center"/>
    </xf>
    <xf numFmtId="221" fontId="22" fillId="0" borderId="0" xfId="423" quotePrefix="1" applyFont="1" applyFill="1" applyAlignment="1">
      <alignment vertical="center"/>
    </xf>
    <xf numFmtId="221" fontId="30" fillId="0" borderId="0" xfId="8" applyFont="1" applyFill="1" applyAlignment="1">
      <alignment vertical="center"/>
    </xf>
    <xf numFmtId="41" fontId="22" fillId="0" borderId="0" xfId="423" applyNumberFormat="1" applyFont="1" applyFill="1" applyBorder="1" applyAlignment="1" applyProtection="1">
      <alignment vertical="center"/>
      <protection locked="0"/>
    </xf>
    <xf numFmtId="221" fontId="22" fillId="0" borderId="0" xfId="423" applyFont="1" applyFill="1" applyAlignment="1">
      <alignment vertical="center"/>
    </xf>
    <xf numFmtId="10" fontId="45" fillId="0" borderId="0" xfId="11" applyNumberFormat="1" applyFont="1" applyFill="1" applyBorder="1" applyAlignment="1">
      <alignment vertical="center"/>
    </xf>
    <xf numFmtId="41" fontId="22" fillId="0" borderId="0" xfId="423" applyNumberFormat="1" applyFont="1" applyFill="1" applyAlignment="1">
      <alignment vertical="center"/>
    </xf>
    <xf numFmtId="42" fontId="22" fillId="0" borderId="0" xfId="423" quotePrefix="1" applyNumberFormat="1" applyFont="1" applyFill="1" applyAlignment="1">
      <alignment vertical="center"/>
    </xf>
    <xf numFmtId="10" fontId="37" fillId="0" borderId="0" xfId="8" applyNumberFormat="1" applyFont="1" applyFill="1" applyBorder="1" applyAlignment="1">
      <alignment vertical="center"/>
    </xf>
    <xf numFmtId="41" fontId="22" fillId="0" borderId="0" xfId="423" applyNumberFormat="1" applyFont="1" applyFill="1" applyBorder="1" applyAlignment="1">
      <alignment vertical="center"/>
    </xf>
    <xf numFmtId="41" fontId="55" fillId="0" borderId="0" xfId="423" applyNumberFormat="1" applyFont="1" applyFill="1" applyBorder="1" applyAlignment="1" applyProtection="1">
      <alignment vertical="center"/>
      <protection locked="0"/>
    </xf>
    <xf numFmtId="41" fontId="45" fillId="0" borderId="0" xfId="423" applyNumberFormat="1" applyFont="1" applyFill="1" applyBorder="1" applyAlignment="1" applyProtection="1">
      <alignment vertical="center"/>
      <protection locked="0"/>
    </xf>
    <xf numFmtId="10" fontId="229" fillId="0" borderId="0" xfId="8" applyNumberFormat="1" applyFont="1" applyFill="1" applyBorder="1" applyAlignment="1">
      <alignment vertical="center"/>
    </xf>
    <xf numFmtId="41" fontId="45" fillId="0" borderId="0" xfId="423" applyNumberFormat="1" applyFont="1" applyFill="1" applyBorder="1" applyAlignment="1">
      <alignment vertical="center"/>
    </xf>
    <xf numFmtId="42" fontId="52" fillId="0" borderId="0" xfId="423" applyNumberFormat="1" applyFont="1" applyFill="1" applyBorder="1" applyAlignment="1">
      <alignment vertical="center"/>
    </xf>
    <xf numFmtId="221" fontId="22" fillId="0" borderId="0" xfId="8" applyFont="1" applyFill="1" applyAlignment="1">
      <alignment horizontal="center" vertical="center"/>
    </xf>
    <xf numFmtId="42" fontId="229" fillId="0" borderId="0" xfId="423" applyNumberFormat="1" applyFont="1" applyFill="1" applyBorder="1" applyAlignment="1" applyProtection="1">
      <alignment vertical="center"/>
      <protection locked="0"/>
    </xf>
    <xf numFmtId="221" fontId="22" fillId="0" borderId="0" xfId="423" applyFont="1" applyFill="1" applyAlignment="1">
      <alignment horizontal="center" vertical="center"/>
    </xf>
    <xf numFmtId="37" fontId="22" fillId="0" borderId="0" xfId="8" applyNumberFormat="1" applyFont="1" applyFill="1" applyAlignment="1">
      <alignment vertical="center"/>
    </xf>
    <xf numFmtId="37" fontId="22" fillId="0" borderId="0" xfId="423" applyNumberFormat="1" applyFont="1" applyFill="1" applyAlignment="1">
      <alignment vertical="center"/>
    </xf>
    <xf numFmtId="221" fontId="22" fillId="0" borderId="0" xfId="8" applyFont="1" applyFill="1" applyAlignment="1">
      <alignment vertical="center"/>
    </xf>
    <xf numFmtId="221" fontId="45" fillId="0" borderId="0" xfId="423" applyFont="1" applyFill="1" applyBorder="1" applyAlignment="1">
      <alignment horizontal="center" vertical="center"/>
    </xf>
    <xf numFmtId="41" fontId="54" fillId="0" borderId="0" xfId="423" applyNumberFormat="1" applyFont="1" applyFill="1" applyAlignment="1" applyProtection="1">
      <alignment vertical="center"/>
      <protection locked="0"/>
    </xf>
    <xf numFmtId="41" fontId="22" fillId="0" borderId="0" xfId="423" applyNumberFormat="1" applyFont="1" applyFill="1" applyAlignment="1" applyProtection="1">
      <alignment vertical="center"/>
      <protection locked="0"/>
    </xf>
    <xf numFmtId="41" fontId="55" fillId="0" borderId="0" xfId="423" applyNumberFormat="1" applyFont="1" applyFill="1" applyBorder="1" applyAlignment="1">
      <alignment vertical="center"/>
    </xf>
    <xf numFmtId="41" fontId="229" fillId="0" borderId="0" xfId="423" applyNumberFormat="1" applyFont="1" applyFill="1" applyBorder="1" applyAlignment="1">
      <alignment vertical="center"/>
    </xf>
    <xf numFmtId="221" fontId="22" fillId="0" borderId="0" xfId="8" applyFont="1" applyFill="1" applyBorder="1" applyAlignment="1">
      <alignment vertical="center"/>
    </xf>
    <xf numFmtId="221" fontId="22" fillId="0" borderId="0" xfId="423" applyFont="1" applyFill="1" applyBorder="1" applyAlignment="1">
      <alignment vertical="center"/>
    </xf>
    <xf numFmtId="42" fontId="56" fillId="0" borderId="0" xfId="0" applyNumberFormat="1" applyFont="1" applyFill="1" applyAlignment="1" applyProtection="1">
      <protection locked="0"/>
    </xf>
    <xf numFmtId="42" fontId="54" fillId="0" borderId="0" xfId="7" applyNumberFormat="1" applyFont="1" applyFill="1" applyAlignment="1" applyProtection="1">
      <alignment vertical="center"/>
      <protection locked="0"/>
    </xf>
    <xf numFmtId="37" fontId="54" fillId="0" borderId="0" xfId="355" applyNumberFormat="1" applyFont="1" applyFill="1" applyAlignment="1" applyProtection="1">
      <alignment vertical="center"/>
      <protection locked="0"/>
    </xf>
    <xf numFmtId="42" fontId="54" fillId="0" borderId="0" xfId="7" applyNumberFormat="1" applyFont="1" applyFill="1"/>
    <xf numFmtId="10" fontId="54" fillId="0" borderId="0" xfId="0" applyNumberFormat="1" applyFont="1" applyFill="1" applyAlignment="1" applyProtection="1">
      <protection locked="0"/>
    </xf>
    <xf numFmtId="42" fontId="52" fillId="0" borderId="0" xfId="7" applyNumberFormat="1" applyFont="1" applyFill="1" applyAlignment="1">
      <alignment horizontal="left"/>
    </xf>
    <xf numFmtId="10" fontId="45" fillId="0" borderId="0" xfId="7" applyNumberFormat="1" applyFont="1" applyFill="1" applyProtection="1">
      <protection locked="0"/>
    </xf>
    <xf numFmtId="42" fontId="45" fillId="0" borderId="0" xfId="7" applyNumberFormat="1" applyFont="1" applyFill="1"/>
    <xf numFmtId="221" fontId="22" fillId="0" borderId="0" xfId="5" applyFont="1" applyFill="1" applyAlignment="1">
      <alignment horizontal="centerContinuous"/>
    </xf>
    <xf numFmtId="41" fontId="54" fillId="0" borderId="0" xfId="13" applyNumberFormat="1" applyFont="1" applyFill="1" applyProtection="1">
      <protection locked="0"/>
    </xf>
    <xf numFmtId="41" fontId="55" fillId="0" borderId="0" xfId="13" applyNumberFormat="1" applyFont="1" applyFill="1" applyProtection="1">
      <protection locked="0"/>
    </xf>
    <xf numFmtId="42" fontId="22" fillId="0" borderId="2" xfId="7" applyNumberFormat="1" applyFont="1" applyFill="1" applyBorder="1"/>
    <xf numFmtId="174" fontId="56" fillId="0" borderId="0" xfId="13" applyNumberFormat="1" applyFont="1" applyFill="1"/>
    <xf numFmtId="37" fontId="54" fillId="0" borderId="0" xfId="0" applyNumberFormat="1" applyFont="1" applyFill="1"/>
    <xf numFmtId="173" fontId="0" fillId="0" borderId="0" xfId="0" applyFill="1"/>
    <xf numFmtId="37" fontId="22" fillId="0" borderId="13" xfId="0" applyNumberFormat="1" applyFont="1" applyFill="1" applyBorder="1"/>
    <xf numFmtId="173" fontId="221" fillId="0" borderId="0" xfId="0" applyFont="1" applyFill="1" applyAlignment="1">
      <alignment horizontal="center"/>
    </xf>
    <xf numFmtId="173" fontId="216" fillId="0" borderId="0" xfId="0" applyFont="1" applyFill="1"/>
    <xf numFmtId="173" fontId="216" fillId="0" borderId="0" xfId="0" applyFont="1" applyFill="1" applyAlignment="1">
      <alignment horizontal="center"/>
    </xf>
    <xf numFmtId="173" fontId="223" fillId="0" borderId="0" xfId="0" applyFont="1" applyFill="1" applyAlignment="1">
      <alignment horizontal="center"/>
    </xf>
    <xf numFmtId="173" fontId="222" fillId="0" borderId="0" xfId="0" applyFont="1" applyFill="1" applyAlignment="1">
      <alignment horizontal="center"/>
    </xf>
    <xf numFmtId="173" fontId="216" fillId="0" borderId="0" xfId="0" quotePrefix="1" applyFont="1" applyFill="1"/>
    <xf numFmtId="44" fontId="224" fillId="0" borderId="0" xfId="0" applyNumberFormat="1" applyFont="1" applyFill="1"/>
    <xf numFmtId="39" fontId="216" fillId="0" borderId="0" xfId="0" applyNumberFormat="1" applyFont="1" applyFill="1"/>
    <xf numFmtId="39" fontId="224" fillId="0" borderId="0" xfId="0" applyNumberFormat="1" applyFont="1" applyFill="1"/>
    <xf numFmtId="173" fontId="221" fillId="0" borderId="0" xfId="0" applyFont="1" applyFill="1" applyAlignment="1">
      <alignment horizontal="left" indent="1"/>
    </xf>
    <xf numFmtId="44" fontId="24" fillId="0" borderId="14" xfId="0" applyNumberFormat="1" applyFont="1" applyFill="1" applyBorder="1"/>
    <xf numFmtId="174" fontId="55" fillId="0" borderId="0" xfId="13" applyNumberFormat="1" applyFont="1" applyFill="1" applyBorder="1" applyProtection="1">
      <protection locked="0"/>
    </xf>
    <xf numFmtId="37" fontId="22" fillId="0" borderId="0" xfId="7" applyNumberFormat="1" applyFont="1" applyFill="1" applyProtection="1">
      <protection locked="0"/>
    </xf>
    <xf numFmtId="10" fontId="22" fillId="0" borderId="2" xfId="7" applyNumberFormat="1" applyFont="1" applyFill="1" applyBorder="1" applyProtection="1">
      <protection locked="0"/>
    </xf>
    <xf numFmtId="174" fontId="22" fillId="0" borderId="0" xfId="13" applyNumberFormat="1" applyFont="1" applyFill="1"/>
    <xf numFmtId="42" fontId="53" fillId="0" borderId="0" xfId="0" applyNumberFormat="1" applyFont="1" applyFill="1" applyAlignment="1"/>
    <xf numFmtId="41" fontId="225" fillId="0" borderId="0" xfId="0" applyNumberFormat="1" applyFont="1" applyFill="1" applyAlignment="1"/>
    <xf numFmtId="42" fontId="0" fillId="0" borderId="0" xfId="0" applyNumberFormat="1" applyFill="1" applyAlignment="1"/>
    <xf numFmtId="164" fontId="118" fillId="0" borderId="0" xfId="0" applyNumberFormat="1" applyFont="1" applyFill="1" applyAlignment="1"/>
    <xf numFmtId="42" fontId="57" fillId="0" borderId="0" xfId="0" applyNumberFormat="1" applyFont="1" applyFill="1" applyAlignment="1" applyProtection="1">
      <protection locked="0"/>
    </xf>
    <xf numFmtId="37" fontId="57" fillId="0" borderId="1" xfId="0" applyNumberFormat="1" applyFont="1" applyFill="1" applyBorder="1" applyAlignment="1" applyProtection="1"/>
    <xf numFmtId="273" fontId="30" fillId="0" borderId="0" xfId="0" applyNumberFormat="1" applyFont="1" applyFill="1" applyAlignment="1" applyProtection="1">
      <alignment horizontal="right"/>
      <protection locked="0"/>
    </xf>
    <xf numFmtId="273" fontId="128" fillId="0" borderId="0" xfId="0" applyNumberFormat="1" applyFont="1" applyFill="1" applyAlignment="1" applyProtection="1">
      <alignment horizontal="right"/>
      <protection locked="0"/>
    </xf>
    <xf numFmtId="10" fontId="57" fillId="4" borderId="0" xfId="0" applyNumberFormat="1" applyFont="1" applyFill="1" applyAlignment="1" applyProtection="1">
      <protection locked="0"/>
    </xf>
    <xf numFmtId="41" fontId="57" fillId="0" borderId="0" xfId="0" applyNumberFormat="1" applyFont="1" applyFill="1" applyAlignment="1" applyProtection="1">
      <protection locked="0"/>
    </xf>
    <xf numFmtId="41" fontId="54" fillId="0" borderId="0" xfId="423" applyNumberFormat="1" applyFont="1" applyFill="1" applyBorder="1" applyAlignment="1" applyProtection="1">
      <alignment vertical="center"/>
      <protection locked="0"/>
    </xf>
    <xf numFmtId="221" fontId="24" fillId="0" borderId="0" xfId="7" applyFont="1" applyBorder="1" applyAlignment="1">
      <alignment horizontal="center" vertical="center"/>
    </xf>
    <xf numFmtId="175" fontId="24" fillId="0" borderId="0" xfId="16" applyNumberFormat="1" applyFont="1" applyFill="1" applyBorder="1"/>
    <xf numFmtId="37" fontId="22" fillId="0" borderId="0" xfId="0" applyNumberFormat="1" applyFont="1" applyAlignment="1">
      <alignment horizontal="center" vertical="center"/>
    </xf>
    <xf numFmtId="44" fontId="22" fillId="0" borderId="0" xfId="0" applyNumberFormat="1" applyFont="1" applyFill="1"/>
    <xf numFmtId="174" fontId="54" fillId="0" borderId="6" xfId="564" applyNumberFormat="1" applyFont="1" applyFill="1" applyBorder="1"/>
    <xf numFmtId="174" fontId="22" fillId="0" borderId="6" xfId="564" applyNumberFormat="1" applyFont="1" applyFill="1" applyBorder="1"/>
    <xf numFmtId="49" fontId="22" fillId="0" borderId="0" xfId="0" applyNumberFormat="1" applyFont="1" applyAlignment="1">
      <alignment horizontal="centerContinuous"/>
    </xf>
    <xf numFmtId="170" fontId="21" fillId="0" borderId="0" xfId="0" applyNumberFormat="1" applyFont="1" applyFill="1" applyBorder="1" applyAlignment="1"/>
    <xf numFmtId="42" fontId="0" fillId="0" borderId="17" xfId="0" applyNumberFormat="1" applyFill="1" applyBorder="1" applyAlignment="1"/>
    <xf numFmtId="42" fontId="0" fillId="2" borderId="0" xfId="0" applyNumberFormat="1" applyFill="1" applyBorder="1" applyAlignment="1"/>
    <xf numFmtId="221" fontId="1" fillId="0" borderId="0" xfId="328" applyFont="1"/>
    <xf numFmtId="0" fontId="0" fillId="0" borderId="0" xfId="0" applyNumberFormat="1" applyAlignment="1">
      <alignment horizontal="center"/>
    </xf>
    <xf numFmtId="173" fontId="34" fillId="0" borderId="0" xfId="0" applyFont="1" applyAlignment="1">
      <alignment horizontal="center"/>
    </xf>
    <xf numFmtId="173" fontId="31" fillId="0" borderId="0" xfId="0" applyFont="1" applyAlignment="1">
      <alignment horizontal="center"/>
    </xf>
    <xf numFmtId="0" fontId="35" fillId="0" borderId="0" xfId="10" applyNumberFormat="1" applyAlignment="1">
      <alignment horizontal="center"/>
    </xf>
    <xf numFmtId="221" fontId="44" fillId="0" borderId="0" xfId="15" applyFont="1" applyFill="1" applyAlignment="1">
      <alignment horizontal="center"/>
    </xf>
    <xf numFmtId="0" fontId="26" fillId="0" borderId="0" xfId="15" applyNumberFormat="1" applyFont="1" applyFill="1" applyAlignment="1">
      <alignment horizontal="center"/>
    </xf>
    <xf numFmtId="0" fontId="22" fillId="0" borderId="0" xfId="7" applyNumberFormat="1" applyFont="1" applyAlignment="1">
      <alignment horizontal="center"/>
    </xf>
    <xf numFmtId="0" fontId="22" fillId="0" borderId="0" xfId="6" applyNumberFormat="1" applyFont="1" applyAlignment="1">
      <alignment horizontal="center"/>
    </xf>
    <xf numFmtId="173" fontId="44" fillId="0" borderId="0" xfId="0" applyFont="1" applyAlignment="1">
      <alignment horizontal="center"/>
    </xf>
    <xf numFmtId="173" fontId="44" fillId="0" borderId="0" xfId="0" applyFont="1" applyAlignment="1">
      <alignment horizontal="center" wrapText="1"/>
    </xf>
    <xf numFmtId="221" fontId="44" fillId="0" borderId="0" xfId="423" applyFont="1" applyFill="1" applyBorder="1" applyAlignment="1">
      <alignment horizontal="center"/>
    </xf>
    <xf numFmtId="221" fontId="44" fillId="0" borderId="0" xfId="423" applyFont="1" applyFill="1" applyBorder="1" applyAlignment="1">
      <alignment horizontal="center" wrapText="1"/>
    </xf>
    <xf numFmtId="221" fontId="44" fillId="0" borderId="0" xfId="423" quotePrefix="1" applyFont="1" applyFill="1" applyBorder="1" applyAlignment="1">
      <alignment horizontal="center"/>
    </xf>
    <xf numFmtId="173" fontId="23" fillId="0" borderId="0" xfId="0" applyFont="1" applyAlignment="1">
      <alignment horizontal="center" wrapText="1"/>
    </xf>
    <xf numFmtId="0" fontId="22" fillId="0" borderId="0" xfId="0" applyNumberFormat="1" applyFont="1" applyAlignment="1">
      <alignment horizontal="center" vertical="center" wrapText="1"/>
    </xf>
    <xf numFmtId="173" fontId="216" fillId="0" borderId="0" xfId="0" applyFont="1" applyFill="1" applyBorder="1"/>
    <xf numFmtId="173" fontId="22" fillId="0" borderId="0" xfId="0" applyFont="1" applyFill="1" applyBorder="1"/>
    <xf numFmtId="37" fontId="216" fillId="0" borderId="45" xfId="0" applyNumberFormat="1" applyFont="1" applyFill="1" applyBorder="1"/>
    <xf numFmtId="37" fontId="54" fillId="0" borderId="0" xfId="0" applyNumberFormat="1" applyFont="1" applyFill="1" applyBorder="1"/>
    <xf numFmtId="37" fontId="216" fillId="0" borderId="0" xfId="0" applyNumberFormat="1" applyFont="1" applyFill="1" applyBorder="1"/>
    <xf numFmtId="173" fontId="216" fillId="0" borderId="0" xfId="0" applyFont="1" applyFill="1" applyBorder="1" applyAlignment="1">
      <alignment horizontal="center"/>
    </xf>
    <xf numFmtId="0" fontId="216" fillId="0" borderId="0" xfId="1623" applyFont="1" applyAlignment="1">
      <alignment horizontal="center"/>
    </xf>
    <xf numFmtId="221" fontId="44" fillId="0" borderId="0" xfId="7" applyFont="1" applyFill="1" applyAlignment="1">
      <alignment horizontal="centerContinuous"/>
    </xf>
    <xf numFmtId="42" fontId="45" fillId="0" borderId="0" xfId="0" applyNumberFormat="1" applyFont="1" applyAlignment="1"/>
    <xf numFmtId="43" fontId="44" fillId="0" borderId="0" xfId="355" applyNumberFormat="1" applyFont="1" applyAlignment="1">
      <alignment horizontal="center"/>
    </xf>
    <xf numFmtId="43" fontId="44" fillId="0" borderId="0" xfId="355" applyNumberFormat="1" applyFont="1" applyAlignment="1">
      <alignment horizontal="center" wrapText="1"/>
    </xf>
    <xf numFmtId="10" fontId="22" fillId="0" borderId="0" xfId="11" applyNumberFormat="1" applyFont="1" applyFill="1" applyAlignment="1">
      <alignment horizontal="center" vertical="center"/>
    </xf>
    <xf numFmtId="10" fontId="45" fillId="0" borderId="0" xfId="11" applyNumberFormat="1" applyFont="1" applyFill="1" applyBorder="1" applyAlignment="1">
      <alignment horizontal="center" vertical="center"/>
    </xf>
    <xf numFmtId="10" fontId="52" fillId="0" borderId="0" xfId="423" applyNumberFormat="1" applyFont="1" applyFill="1" applyBorder="1" applyAlignment="1">
      <alignment horizontal="center" vertical="center"/>
    </xf>
    <xf numFmtId="37" fontId="22" fillId="0" borderId="0" xfId="423" applyNumberFormat="1" applyFont="1" applyFill="1" applyAlignment="1">
      <alignment horizontal="center" vertical="center"/>
    </xf>
    <xf numFmtId="221" fontId="35" fillId="0" borderId="0" xfId="6" applyAlignment="1">
      <alignment horizontal="centerContinuous"/>
    </xf>
    <xf numFmtId="221" fontId="30" fillId="0" borderId="0" xfId="8" applyFont="1" applyAlignment="1">
      <alignment horizontal="centerContinuous"/>
    </xf>
    <xf numFmtId="221" fontId="22" fillId="0" borderId="0" xfId="6" applyFont="1" applyAlignment="1">
      <alignment horizontal="centerContinuous"/>
    </xf>
    <xf numFmtId="221" fontId="26" fillId="0" borderId="0" xfId="15" applyFont="1" applyFill="1" applyAlignment="1">
      <alignment horizontal="centerContinuous"/>
    </xf>
    <xf numFmtId="221" fontId="26" fillId="0" borderId="0" xfId="9" applyFont="1" applyFill="1" applyAlignment="1">
      <alignment horizontal="centerContinuous"/>
    </xf>
    <xf numFmtId="221" fontId="35" fillId="0" borderId="0" xfId="10" applyAlignment="1">
      <alignment horizontal="centerContinuous"/>
    </xf>
    <xf numFmtId="0" fontId="5" fillId="0" borderId="0" xfId="1623" applyAlignment="1">
      <alignment horizontal="centerContinuous"/>
    </xf>
    <xf numFmtId="42" fontId="37" fillId="0" borderId="0" xfId="355" applyNumberFormat="1" applyFont="1" applyFill="1" applyAlignment="1" applyProtection="1">
      <alignment vertical="center"/>
      <protection locked="0"/>
    </xf>
    <xf numFmtId="42" fontId="22" fillId="0" borderId="2" xfId="355" applyNumberFormat="1" applyFont="1" applyFill="1" applyBorder="1"/>
    <xf numFmtId="42" fontId="22" fillId="0" borderId="45" xfId="355" applyNumberFormat="1" applyFont="1" applyFill="1" applyBorder="1"/>
    <xf numFmtId="42" fontId="22" fillId="0" borderId="0" xfId="355" applyNumberFormat="1" applyFont="1" applyFill="1" applyBorder="1"/>
    <xf numFmtId="42" fontId="22" fillId="0" borderId="16" xfId="355" applyNumberFormat="1" applyFont="1" applyFill="1" applyBorder="1"/>
    <xf numFmtId="42" fontId="22" fillId="0" borderId="6" xfId="355" applyNumberFormat="1" applyFont="1" applyFill="1" applyBorder="1"/>
    <xf numFmtId="43" fontId="22" fillId="0" borderId="4" xfId="577" applyNumberFormat="1" applyFont="1" applyFill="1" applyBorder="1" applyAlignment="1">
      <alignment horizontal="center"/>
    </xf>
    <xf numFmtId="221" fontId="30" fillId="0" borderId="0" xfId="371"/>
    <xf numFmtId="221" fontId="34" fillId="0" borderId="0" xfId="371" applyFont="1" applyAlignment="1">
      <alignment horizontal="center"/>
    </xf>
    <xf numFmtId="221" fontId="41" fillId="0" borderId="0" xfId="371" applyFont="1" applyAlignment="1">
      <alignment horizontal="center"/>
    </xf>
    <xf numFmtId="221" fontId="41" fillId="0" borderId="0" xfId="371" applyFont="1" applyFill="1" applyAlignment="1">
      <alignment horizontal="center"/>
    </xf>
    <xf numFmtId="221" fontId="30" fillId="0" borderId="0" xfId="371" applyFont="1" applyAlignment="1">
      <alignment horizontal="left"/>
    </xf>
    <xf numFmtId="41" fontId="57" fillId="0" borderId="0" xfId="354" applyNumberFormat="1" applyFont="1" applyFill="1"/>
    <xf numFmtId="41" fontId="232" fillId="0" borderId="0" xfId="354" applyNumberFormat="1" applyFont="1" applyFill="1"/>
    <xf numFmtId="41" fontId="30" fillId="0" borderId="0" xfId="354" applyNumberFormat="1" applyFill="1"/>
    <xf numFmtId="41" fontId="33" fillId="0" borderId="0" xfId="354" applyNumberFormat="1" applyFont="1" applyFill="1"/>
    <xf numFmtId="221" fontId="30" fillId="0" borderId="0" xfId="371" applyFill="1"/>
    <xf numFmtId="221" fontId="30" fillId="0" borderId="0" xfId="371" applyFont="1"/>
    <xf numFmtId="221" fontId="34" fillId="0" borderId="0" xfId="371" applyFont="1" applyAlignment="1">
      <alignment horizontal="centerContinuous"/>
    </xf>
    <xf numFmtId="221" fontId="30" fillId="0" borderId="0" xfId="371" applyAlignment="1">
      <alignment horizontal="centerContinuous"/>
    </xf>
    <xf numFmtId="221" fontId="31" fillId="0" borderId="0" xfId="371" applyFont="1" applyAlignment="1">
      <alignment horizontal="centerContinuous"/>
    </xf>
    <xf numFmtId="221" fontId="40" fillId="0" borderId="0" xfId="371" applyFont="1" applyAlignment="1">
      <alignment horizontal="centerContinuous"/>
    </xf>
    <xf numFmtId="41" fontId="35" fillId="0" borderId="0" xfId="1" applyNumberFormat="1" applyFill="1" applyAlignment="1">
      <alignment horizontal="centerContinuous"/>
    </xf>
    <xf numFmtId="174" fontId="54" fillId="0" borderId="0" xfId="564" applyNumberFormat="1" applyFont="1" applyFill="1" applyBorder="1" applyAlignment="1">
      <alignment vertical="center"/>
    </xf>
    <xf numFmtId="0" fontId="22" fillId="0" borderId="3" xfId="577" applyFont="1" applyFill="1" applyBorder="1" applyAlignment="1">
      <alignment horizontal="left" vertical="top" wrapText="1" indent="1"/>
    </xf>
    <xf numFmtId="0" fontId="24" fillId="0" borderId="0" xfId="1624" applyFont="1" applyAlignment="1">
      <alignment horizontal="centerContinuous"/>
    </xf>
    <xf numFmtId="10" fontId="54" fillId="0" borderId="0" xfId="0" applyNumberFormat="1" applyFont="1" applyFill="1" applyBorder="1" applyAlignment="1"/>
    <xf numFmtId="221" fontId="22" fillId="101" borderId="0" xfId="7" applyFont="1" applyFill="1" applyAlignment="1">
      <alignment horizontal="left" vertical="center" wrapText="1"/>
    </xf>
    <xf numFmtId="41" fontId="55" fillId="101" borderId="0" xfId="6" applyNumberFormat="1" applyFont="1" applyFill="1"/>
    <xf numFmtId="41" fontId="54" fillId="101" borderId="0" xfId="6" applyNumberFormat="1" applyFont="1" applyFill="1" applyProtection="1">
      <protection locked="0"/>
    </xf>
    <xf numFmtId="0" fontId="22" fillId="101" borderId="0" xfId="0" applyNumberFormat="1" applyFont="1" applyFill="1" applyAlignment="1">
      <alignment horizontal="center"/>
    </xf>
    <xf numFmtId="221" fontId="22" fillId="101" borderId="0" xfId="355" applyFont="1" applyFill="1" applyAlignment="1">
      <alignment horizontal="left" vertical="center" wrapText="1"/>
    </xf>
    <xf numFmtId="41" fontId="55" fillId="101" borderId="0" xfId="370" applyNumberFormat="1" applyFont="1" applyFill="1"/>
    <xf numFmtId="41" fontId="54" fillId="101" borderId="0" xfId="370" applyNumberFormat="1" applyFont="1" applyFill="1" applyProtection="1">
      <protection locked="0"/>
    </xf>
    <xf numFmtId="170" fontId="22" fillId="0" borderId="0" xfId="0" applyNumberFormat="1" applyFont="1" applyAlignment="1"/>
    <xf numFmtId="170" fontId="22" fillId="0" borderId="0" xfId="0" applyNumberFormat="1" applyFont="1" applyFill="1" applyAlignment="1"/>
    <xf numFmtId="170" fontId="115" fillId="0" borderId="0" xfId="0" quotePrefix="1" applyNumberFormat="1" applyFont="1" applyAlignment="1">
      <alignment horizontal="center"/>
    </xf>
    <xf numFmtId="170" fontId="54" fillId="0" borderId="0" xfId="0" applyNumberFormat="1" applyFont="1" applyAlignment="1"/>
    <xf numFmtId="41" fontId="227" fillId="0" borderId="0" xfId="0" applyNumberFormat="1" applyFont="1" applyAlignment="1"/>
    <xf numFmtId="41" fontId="227" fillId="0" borderId="0" xfId="0" applyNumberFormat="1" applyFont="1" applyFill="1" applyAlignment="1"/>
    <xf numFmtId="173" fontId="22" fillId="0" borderId="0" xfId="0" applyFont="1" applyFill="1" applyAlignment="1">
      <alignment vertical="center"/>
    </xf>
    <xf numFmtId="173" fontId="0" fillId="0" borderId="0" xfId="0" applyFont="1" applyFill="1" applyBorder="1" applyAlignment="1">
      <alignment horizontal="left"/>
    </xf>
    <xf numFmtId="173" fontId="19" fillId="0" borderId="0" xfId="0" applyFont="1" applyFill="1" applyBorder="1" applyAlignment="1">
      <alignment horizontal="left"/>
    </xf>
    <xf numFmtId="173" fontId="19" fillId="0" borderId="0" xfId="0" applyFont="1" applyFill="1" applyBorder="1" applyAlignment="1">
      <alignment horizontal="left" wrapText="1"/>
    </xf>
    <xf numFmtId="173" fontId="22" fillId="0" borderId="0" xfId="0" applyFont="1" applyAlignment="1">
      <alignment wrapText="1"/>
    </xf>
    <xf numFmtId="221" fontId="44" fillId="0" borderId="0" xfId="5" applyFont="1" applyFill="1" applyAlignment="1">
      <alignment horizontal="center"/>
    </xf>
  </cellXfs>
  <cellStyles count="1625">
    <cellStyle name="_x0013_" xfId="580" xr:uid="{00000000-0005-0000-0000-000000000000}"/>
    <cellStyle name="¢ Currency [1]" xfId="18" xr:uid="{00000000-0005-0000-0000-000001000000}"/>
    <cellStyle name="¢ Currency [2]" xfId="19" xr:uid="{00000000-0005-0000-0000-000002000000}"/>
    <cellStyle name="¢ Currency [3]" xfId="20" xr:uid="{00000000-0005-0000-0000-000003000000}"/>
    <cellStyle name="£ Currency [0]" xfId="21" xr:uid="{00000000-0005-0000-0000-000004000000}"/>
    <cellStyle name="£ Currency [1]" xfId="22" xr:uid="{00000000-0005-0000-0000-000005000000}"/>
    <cellStyle name="£ Currency [2]" xfId="23" xr:uid="{00000000-0005-0000-0000-000006000000}"/>
    <cellStyle name="=C:\WINNT35\SYSTEM32\COMMAND.COM" xfId="17" xr:uid="{00000000-0005-0000-0000-000007000000}"/>
    <cellStyle name="20% - Accent1" xfId="529" builtinId="30" customBuiltin="1"/>
    <cellStyle name="20% - Accent1 2" xfId="581" xr:uid="{00000000-0005-0000-0000-000009000000}"/>
    <cellStyle name="20% - Accent1 2 2" xfId="582" xr:uid="{00000000-0005-0000-0000-00000A000000}"/>
    <cellStyle name="20% - Accent1 2 2 2" xfId="583" xr:uid="{00000000-0005-0000-0000-00000B000000}"/>
    <cellStyle name="20% - Accent1 2 2 2 2" xfId="584" xr:uid="{00000000-0005-0000-0000-00000C000000}"/>
    <cellStyle name="20% - Accent1 2 3" xfId="585" xr:uid="{00000000-0005-0000-0000-00000D000000}"/>
    <cellStyle name="20% - Accent1 3" xfId="586" xr:uid="{00000000-0005-0000-0000-00000E000000}"/>
    <cellStyle name="20% - Accent1 3 2" xfId="587" xr:uid="{00000000-0005-0000-0000-00000F000000}"/>
    <cellStyle name="20% - Accent1 3 2 2" xfId="588" xr:uid="{00000000-0005-0000-0000-000010000000}"/>
    <cellStyle name="20% - Accent1 4" xfId="589" xr:uid="{00000000-0005-0000-0000-000011000000}"/>
    <cellStyle name="20% - Accent1 4 2" xfId="590" xr:uid="{00000000-0005-0000-0000-000012000000}"/>
    <cellStyle name="20% - Accent2" xfId="533" builtinId="34" customBuiltin="1"/>
    <cellStyle name="20% - Accent2 2" xfId="591" xr:uid="{00000000-0005-0000-0000-000014000000}"/>
    <cellStyle name="20% - Accent2 2 2" xfId="592" xr:uid="{00000000-0005-0000-0000-000015000000}"/>
    <cellStyle name="20% - Accent2 2 2 2" xfId="593" xr:uid="{00000000-0005-0000-0000-000016000000}"/>
    <cellStyle name="20% - Accent2 2 2 2 2" xfId="594" xr:uid="{00000000-0005-0000-0000-000017000000}"/>
    <cellStyle name="20% - Accent2 2 3" xfId="595" xr:uid="{00000000-0005-0000-0000-000018000000}"/>
    <cellStyle name="20% - Accent2 3" xfId="596" xr:uid="{00000000-0005-0000-0000-000019000000}"/>
    <cellStyle name="20% - Accent2 3 2" xfId="597" xr:uid="{00000000-0005-0000-0000-00001A000000}"/>
    <cellStyle name="20% - Accent2 3 2 2" xfId="598" xr:uid="{00000000-0005-0000-0000-00001B000000}"/>
    <cellStyle name="20% - Accent2 4" xfId="599" xr:uid="{00000000-0005-0000-0000-00001C000000}"/>
    <cellStyle name="20% - Accent2 4 2" xfId="600" xr:uid="{00000000-0005-0000-0000-00001D000000}"/>
    <cellStyle name="20% - Accent3" xfId="537" builtinId="38" customBuiltin="1"/>
    <cellStyle name="20% - Accent3 2" xfId="601" xr:uid="{00000000-0005-0000-0000-00001F000000}"/>
    <cellStyle name="20% - Accent3 2 2" xfId="602" xr:uid="{00000000-0005-0000-0000-000020000000}"/>
    <cellStyle name="20% - Accent3 2 2 2" xfId="603" xr:uid="{00000000-0005-0000-0000-000021000000}"/>
    <cellStyle name="20% - Accent3 2 2 2 2" xfId="604" xr:uid="{00000000-0005-0000-0000-000022000000}"/>
    <cellStyle name="20% - Accent3 2 3" xfId="605" xr:uid="{00000000-0005-0000-0000-000023000000}"/>
    <cellStyle name="20% - Accent3 3" xfId="606" xr:uid="{00000000-0005-0000-0000-000024000000}"/>
    <cellStyle name="20% - Accent3 3 2" xfId="607" xr:uid="{00000000-0005-0000-0000-000025000000}"/>
    <cellStyle name="20% - Accent3 3 2 2" xfId="608" xr:uid="{00000000-0005-0000-0000-000026000000}"/>
    <cellStyle name="20% - Accent3 4" xfId="609" xr:uid="{00000000-0005-0000-0000-000027000000}"/>
    <cellStyle name="20% - Accent3 4 2" xfId="610" xr:uid="{00000000-0005-0000-0000-000028000000}"/>
    <cellStyle name="20% - Accent4" xfId="541" builtinId="42" customBuiltin="1"/>
    <cellStyle name="20% - Accent4 2" xfId="611" xr:uid="{00000000-0005-0000-0000-00002A000000}"/>
    <cellStyle name="20% - Accent4 2 2" xfId="612" xr:uid="{00000000-0005-0000-0000-00002B000000}"/>
    <cellStyle name="20% - Accent4 2 2 2" xfId="613" xr:uid="{00000000-0005-0000-0000-00002C000000}"/>
    <cellStyle name="20% - Accent4 2 2 2 2" xfId="614" xr:uid="{00000000-0005-0000-0000-00002D000000}"/>
    <cellStyle name="20% - Accent4 2 3" xfId="615" xr:uid="{00000000-0005-0000-0000-00002E000000}"/>
    <cellStyle name="20% - Accent4 3" xfId="616" xr:uid="{00000000-0005-0000-0000-00002F000000}"/>
    <cellStyle name="20% - Accent4 3 2" xfId="617" xr:uid="{00000000-0005-0000-0000-000030000000}"/>
    <cellStyle name="20% - Accent4 3 2 2" xfId="618" xr:uid="{00000000-0005-0000-0000-000031000000}"/>
    <cellStyle name="20% - Accent4 4" xfId="619" xr:uid="{00000000-0005-0000-0000-000032000000}"/>
    <cellStyle name="20% - Accent4 4 2" xfId="620" xr:uid="{00000000-0005-0000-0000-000033000000}"/>
    <cellStyle name="20% - Accent5" xfId="545" builtinId="46" customBuiltin="1"/>
    <cellStyle name="20% - Accent5 2" xfId="621" xr:uid="{00000000-0005-0000-0000-000035000000}"/>
    <cellStyle name="20% - Accent5 2 2" xfId="622" xr:uid="{00000000-0005-0000-0000-000036000000}"/>
    <cellStyle name="20% - Accent5 2 2 2" xfId="623" xr:uid="{00000000-0005-0000-0000-000037000000}"/>
    <cellStyle name="20% - Accent5 2 2 2 2" xfId="624" xr:uid="{00000000-0005-0000-0000-000038000000}"/>
    <cellStyle name="20% - Accent5 2 3" xfId="625" xr:uid="{00000000-0005-0000-0000-000039000000}"/>
    <cellStyle name="20% - Accent5 3" xfId="626" xr:uid="{00000000-0005-0000-0000-00003A000000}"/>
    <cellStyle name="20% - Accent5 3 2" xfId="627" xr:uid="{00000000-0005-0000-0000-00003B000000}"/>
    <cellStyle name="20% - Accent5 3 2 2" xfId="628" xr:uid="{00000000-0005-0000-0000-00003C000000}"/>
    <cellStyle name="20% - Accent5 4" xfId="629" xr:uid="{00000000-0005-0000-0000-00003D000000}"/>
    <cellStyle name="20% - Accent5 4 2" xfId="630" xr:uid="{00000000-0005-0000-0000-00003E000000}"/>
    <cellStyle name="20% - Accent6" xfId="549" builtinId="50" customBuiltin="1"/>
    <cellStyle name="20% - Accent6 2" xfId="631" xr:uid="{00000000-0005-0000-0000-000040000000}"/>
    <cellStyle name="20% - Accent6 2 2" xfId="632" xr:uid="{00000000-0005-0000-0000-000041000000}"/>
    <cellStyle name="20% - Accent6 2 2 2" xfId="633" xr:uid="{00000000-0005-0000-0000-000042000000}"/>
    <cellStyle name="20% - Accent6 2 2 2 2" xfId="634" xr:uid="{00000000-0005-0000-0000-000043000000}"/>
    <cellStyle name="20% - Accent6 2 3" xfId="635" xr:uid="{00000000-0005-0000-0000-000044000000}"/>
    <cellStyle name="20% - Accent6 3" xfId="636" xr:uid="{00000000-0005-0000-0000-000045000000}"/>
    <cellStyle name="20% - Accent6 3 2" xfId="637" xr:uid="{00000000-0005-0000-0000-000046000000}"/>
    <cellStyle name="20% - Accent6 3 2 2" xfId="638" xr:uid="{00000000-0005-0000-0000-000047000000}"/>
    <cellStyle name="20% - Accent6 4" xfId="639" xr:uid="{00000000-0005-0000-0000-000048000000}"/>
    <cellStyle name="20% - Accent6 4 2" xfId="640" xr:uid="{00000000-0005-0000-0000-000049000000}"/>
    <cellStyle name="40% - Accent1" xfId="530" builtinId="31" customBuiltin="1"/>
    <cellStyle name="40% - Accent1 2" xfId="641" xr:uid="{00000000-0005-0000-0000-00004B000000}"/>
    <cellStyle name="40% - Accent1 2 2" xfId="642" xr:uid="{00000000-0005-0000-0000-00004C000000}"/>
    <cellStyle name="40% - Accent1 2 2 2" xfId="643" xr:uid="{00000000-0005-0000-0000-00004D000000}"/>
    <cellStyle name="40% - Accent1 2 2 2 2" xfId="644" xr:uid="{00000000-0005-0000-0000-00004E000000}"/>
    <cellStyle name="40% - Accent1 2 3" xfId="645" xr:uid="{00000000-0005-0000-0000-00004F000000}"/>
    <cellStyle name="40% - Accent1 3" xfId="646" xr:uid="{00000000-0005-0000-0000-000050000000}"/>
    <cellStyle name="40% - Accent1 3 2" xfId="647" xr:uid="{00000000-0005-0000-0000-000051000000}"/>
    <cellStyle name="40% - Accent1 3 2 2" xfId="648" xr:uid="{00000000-0005-0000-0000-000052000000}"/>
    <cellStyle name="40% - Accent1 4" xfId="649" xr:uid="{00000000-0005-0000-0000-000053000000}"/>
    <cellStyle name="40% - Accent1 4 2" xfId="650" xr:uid="{00000000-0005-0000-0000-000054000000}"/>
    <cellStyle name="40% - Accent2" xfId="534" builtinId="35" customBuiltin="1"/>
    <cellStyle name="40% - Accent2 2" xfId="651" xr:uid="{00000000-0005-0000-0000-000056000000}"/>
    <cellStyle name="40% - Accent2 2 2" xfId="652" xr:uid="{00000000-0005-0000-0000-000057000000}"/>
    <cellStyle name="40% - Accent2 2 2 2" xfId="653" xr:uid="{00000000-0005-0000-0000-000058000000}"/>
    <cellStyle name="40% - Accent2 2 2 2 2" xfId="654" xr:uid="{00000000-0005-0000-0000-000059000000}"/>
    <cellStyle name="40% - Accent2 2 3" xfId="655" xr:uid="{00000000-0005-0000-0000-00005A000000}"/>
    <cellStyle name="40% - Accent2 3" xfId="656" xr:uid="{00000000-0005-0000-0000-00005B000000}"/>
    <cellStyle name="40% - Accent2 3 2" xfId="657" xr:uid="{00000000-0005-0000-0000-00005C000000}"/>
    <cellStyle name="40% - Accent2 3 2 2" xfId="658" xr:uid="{00000000-0005-0000-0000-00005D000000}"/>
    <cellStyle name="40% - Accent2 4" xfId="659" xr:uid="{00000000-0005-0000-0000-00005E000000}"/>
    <cellStyle name="40% - Accent2 4 2" xfId="660" xr:uid="{00000000-0005-0000-0000-00005F000000}"/>
    <cellStyle name="40% - Accent3" xfId="538" builtinId="39" customBuiltin="1"/>
    <cellStyle name="40% - Accent3 2" xfId="661" xr:uid="{00000000-0005-0000-0000-000061000000}"/>
    <cellStyle name="40% - Accent3 2 2" xfId="662" xr:uid="{00000000-0005-0000-0000-000062000000}"/>
    <cellStyle name="40% - Accent3 2 2 2" xfId="663" xr:uid="{00000000-0005-0000-0000-000063000000}"/>
    <cellStyle name="40% - Accent3 2 2 2 2" xfId="664" xr:uid="{00000000-0005-0000-0000-000064000000}"/>
    <cellStyle name="40% - Accent3 2 3" xfId="665" xr:uid="{00000000-0005-0000-0000-000065000000}"/>
    <cellStyle name="40% - Accent3 3" xfId="666" xr:uid="{00000000-0005-0000-0000-000066000000}"/>
    <cellStyle name="40% - Accent3 3 2" xfId="667" xr:uid="{00000000-0005-0000-0000-000067000000}"/>
    <cellStyle name="40% - Accent3 3 2 2" xfId="668" xr:uid="{00000000-0005-0000-0000-000068000000}"/>
    <cellStyle name="40% - Accent3 4" xfId="669" xr:uid="{00000000-0005-0000-0000-000069000000}"/>
    <cellStyle name="40% - Accent3 4 2" xfId="670" xr:uid="{00000000-0005-0000-0000-00006A000000}"/>
    <cellStyle name="40% - Accent4" xfId="542" builtinId="43" customBuiltin="1"/>
    <cellStyle name="40% - Accent4 2" xfId="671" xr:uid="{00000000-0005-0000-0000-00006C000000}"/>
    <cellStyle name="40% - Accent4 2 2" xfId="672" xr:uid="{00000000-0005-0000-0000-00006D000000}"/>
    <cellStyle name="40% - Accent4 2 2 2" xfId="673" xr:uid="{00000000-0005-0000-0000-00006E000000}"/>
    <cellStyle name="40% - Accent4 2 2 2 2" xfId="674" xr:uid="{00000000-0005-0000-0000-00006F000000}"/>
    <cellStyle name="40% - Accent4 2 3" xfId="675" xr:uid="{00000000-0005-0000-0000-000070000000}"/>
    <cellStyle name="40% - Accent4 3" xfId="676" xr:uid="{00000000-0005-0000-0000-000071000000}"/>
    <cellStyle name="40% - Accent4 3 2" xfId="677" xr:uid="{00000000-0005-0000-0000-000072000000}"/>
    <cellStyle name="40% - Accent4 3 2 2" xfId="678" xr:uid="{00000000-0005-0000-0000-000073000000}"/>
    <cellStyle name="40% - Accent4 4" xfId="679" xr:uid="{00000000-0005-0000-0000-000074000000}"/>
    <cellStyle name="40% - Accent4 4 2" xfId="680" xr:uid="{00000000-0005-0000-0000-000075000000}"/>
    <cellStyle name="40% - Accent5" xfId="546" builtinId="47" customBuiltin="1"/>
    <cellStyle name="40% - Accent5 2" xfId="681" xr:uid="{00000000-0005-0000-0000-000077000000}"/>
    <cellStyle name="40% - Accent5 2 2" xfId="682" xr:uid="{00000000-0005-0000-0000-000078000000}"/>
    <cellStyle name="40% - Accent5 2 2 2" xfId="683" xr:uid="{00000000-0005-0000-0000-000079000000}"/>
    <cellStyle name="40% - Accent5 2 2 2 2" xfId="684" xr:uid="{00000000-0005-0000-0000-00007A000000}"/>
    <cellStyle name="40% - Accent5 2 3" xfId="685" xr:uid="{00000000-0005-0000-0000-00007B000000}"/>
    <cellStyle name="40% - Accent5 3" xfId="686" xr:uid="{00000000-0005-0000-0000-00007C000000}"/>
    <cellStyle name="40% - Accent5 3 2" xfId="687" xr:uid="{00000000-0005-0000-0000-00007D000000}"/>
    <cellStyle name="40% - Accent5 3 2 2" xfId="688" xr:uid="{00000000-0005-0000-0000-00007E000000}"/>
    <cellStyle name="40% - Accent5 4" xfId="689" xr:uid="{00000000-0005-0000-0000-00007F000000}"/>
    <cellStyle name="40% - Accent5 4 2" xfId="690" xr:uid="{00000000-0005-0000-0000-000080000000}"/>
    <cellStyle name="40% - Accent6" xfId="550" builtinId="51" customBuiltin="1"/>
    <cellStyle name="40% - Accent6 2" xfId="691" xr:uid="{00000000-0005-0000-0000-000082000000}"/>
    <cellStyle name="40% - Accent6 2 2" xfId="692" xr:uid="{00000000-0005-0000-0000-000083000000}"/>
    <cellStyle name="40% - Accent6 2 2 2" xfId="693" xr:uid="{00000000-0005-0000-0000-000084000000}"/>
    <cellStyle name="40% - Accent6 2 2 2 2" xfId="694" xr:uid="{00000000-0005-0000-0000-000085000000}"/>
    <cellStyle name="40% - Accent6 2 3" xfId="695" xr:uid="{00000000-0005-0000-0000-000086000000}"/>
    <cellStyle name="40% - Accent6 3" xfId="696" xr:uid="{00000000-0005-0000-0000-000087000000}"/>
    <cellStyle name="40% - Accent6 3 2" xfId="697" xr:uid="{00000000-0005-0000-0000-000088000000}"/>
    <cellStyle name="40% - Accent6 3 2 2" xfId="698" xr:uid="{00000000-0005-0000-0000-000089000000}"/>
    <cellStyle name="40% - Accent6 4" xfId="699" xr:uid="{00000000-0005-0000-0000-00008A000000}"/>
    <cellStyle name="40% - Accent6 4 2" xfId="700" xr:uid="{00000000-0005-0000-0000-00008B000000}"/>
    <cellStyle name="60% - Accent1" xfId="531" builtinId="32" customBuiltin="1"/>
    <cellStyle name="60% - Accent1 2" xfId="701" xr:uid="{00000000-0005-0000-0000-00008D000000}"/>
    <cellStyle name="60% - Accent1 2 2" xfId="702" xr:uid="{00000000-0005-0000-0000-00008E000000}"/>
    <cellStyle name="60% - Accent1 2 3" xfId="703" xr:uid="{00000000-0005-0000-0000-00008F000000}"/>
    <cellStyle name="60% - Accent1 3" xfId="704" xr:uid="{00000000-0005-0000-0000-000090000000}"/>
    <cellStyle name="60% - Accent1 4" xfId="705" xr:uid="{00000000-0005-0000-0000-000091000000}"/>
    <cellStyle name="60% - Accent2" xfId="535" builtinId="36" customBuiltin="1"/>
    <cellStyle name="60% - Accent2 2" xfId="706" xr:uid="{00000000-0005-0000-0000-000093000000}"/>
    <cellStyle name="60% - Accent2 2 2" xfId="707" xr:uid="{00000000-0005-0000-0000-000094000000}"/>
    <cellStyle name="60% - Accent2 2 3" xfId="708" xr:uid="{00000000-0005-0000-0000-000095000000}"/>
    <cellStyle name="60% - Accent2 3" xfId="709" xr:uid="{00000000-0005-0000-0000-000096000000}"/>
    <cellStyle name="60% - Accent2 4" xfId="710" xr:uid="{00000000-0005-0000-0000-000097000000}"/>
    <cellStyle name="60% - Accent3" xfId="539" builtinId="40" customBuiltin="1"/>
    <cellStyle name="60% - Accent3 2" xfId="711" xr:uid="{00000000-0005-0000-0000-000099000000}"/>
    <cellStyle name="60% - Accent3 2 2" xfId="712" xr:uid="{00000000-0005-0000-0000-00009A000000}"/>
    <cellStyle name="60% - Accent3 2 3" xfId="713" xr:uid="{00000000-0005-0000-0000-00009B000000}"/>
    <cellStyle name="60% - Accent3 3" xfId="714" xr:uid="{00000000-0005-0000-0000-00009C000000}"/>
    <cellStyle name="60% - Accent3 4" xfId="715" xr:uid="{00000000-0005-0000-0000-00009D000000}"/>
    <cellStyle name="60% - Accent4" xfId="543" builtinId="44" customBuiltin="1"/>
    <cellStyle name="60% - Accent4 2" xfId="716" xr:uid="{00000000-0005-0000-0000-00009F000000}"/>
    <cellStyle name="60% - Accent4 2 2" xfId="717" xr:uid="{00000000-0005-0000-0000-0000A0000000}"/>
    <cellStyle name="60% - Accent4 2 3" xfId="718" xr:uid="{00000000-0005-0000-0000-0000A1000000}"/>
    <cellStyle name="60% - Accent4 3" xfId="719" xr:uid="{00000000-0005-0000-0000-0000A2000000}"/>
    <cellStyle name="60% - Accent4 4" xfId="720" xr:uid="{00000000-0005-0000-0000-0000A3000000}"/>
    <cellStyle name="60% - Accent5" xfId="547" builtinId="48" customBuiltin="1"/>
    <cellStyle name="60% - Accent5 2" xfId="721" xr:uid="{00000000-0005-0000-0000-0000A5000000}"/>
    <cellStyle name="60% - Accent5 2 2" xfId="722" xr:uid="{00000000-0005-0000-0000-0000A6000000}"/>
    <cellStyle name="60% - Accent5 2 3" xfId="723" xr:uid="{00000000-0005-0000-0000-0000A7000000}"/>
    <cellStyle name="60% - Accent5 3" xfId="724" xr:uid="{00000000-0005-0000-0000-0000A8000000}"/>
    <cellStyle name="60% - Accent5 4" xfId="725" xr:uid="{00000000-0005-0000-0000-0000A9000000}"/>
    <cellStyle name="60% - Accent6" xfId="551" builtinId="52" customBuiltin="1"/>
    <cellStyle name="60% - Accent6 2" xfId="726" xr:uid="{00000000-0005-0000-0000-0000AB000000}"/>
    <cellStyle name="60% - Accent6 2 2" xfId="727" xr:uid="{00000000-0005-0000-0000-0000AC000000}"/>
    <cellStyle name="60% - Accent6 2 3" xfId="728" xr:uid="{00000000-0005-0000-0000-0000AD000000}"/>
    <cellStyle name="60% - Accent6 3" xfId="729" xr:uid="{00000000-0005-0000-0000-0000AE000000}"/>
    <cellStyle name="60% - Accent6 4" xfId="730" xr:uid="{00000000-0005-0000-0000-0000AF000000}"/>
    <cellStyle name="Accent1" xfId="528" builtinId="29" customBuiltin="1"/>
    <cellStyle name="Accent1 2" xfId="731" xr:uid="{00000000-0005-0000-0000-0000B1000000}"/>
    <cellStyle name="Accent1 2 2" xfId="732" xr:uid="{00000000-0005-0000-0000-0000B2000000}"/>
    <cellStyle name="Accent1 2 3" xfId="733" xr:uid="{00000000-0005-0000-0000-0000B3000000}"/>
    <cellStyle name="Accent1 3" xfId="734" xr:uid="{00000000-0005-0000-0000-0000B4000000}"/>
    <cellStyle name="Accent1 4" xfId="735" xr:uid="{00000000-0005-0000-0000-0000B5000000}"/>
    <cellStyle name="Accent2" xfId="532" builtinId="33" customBuiltin="1"/>
    <cellStyle name="Accent2 2" xfId="736" xr:uid="{00000000-0005-0000-0000-0000B7000000}"/>
    <cellStyle name="Accent2 2 2" xfId="737" xr:uid="{00000000-0005-0000-0000-0000B8000000}"/>
    <cellStyle name="Accent2 2 3" xfId="738" xr:uid="{00000000-0005-0000-0000-0000B9000000}"/>
    <cellStyle name="Accent2 3" xfId="739" xr:uid="{00000000-0005-0000-0000-0000BA000000}"/>
    <cellStyle name="Accent2 4" xfId="740" xr:uid="{00000000-0005-0000-0000-0000BB000000}"/>
    <cellStyle name="Accent3" xfId="536" builtinId="37" customBuiltin="1"/>
    <cellStyle name="Accent3 2" xfId="741" xr:uid="{00000000-0005-0000-0000-0000BD000000}"/>
    <cellStyle name="Accent3 2 2" xfId="742" xr:uid="{00000000-0005-0000-0000-0000BE000000}"/>
    <cellStyle name="Accent3 2 3" xfId="743" xr:uid="{00000000-0005-0000-0000-0000BF000000}"/>
    <cellStyle name="Accent3 3" xfId="744" xr:uid="{00000000-0005-0000-0000-0000C0000000}"/>
    <cellStyle name="Accent3 4" xfId="745" xr:uid="{00000000-0005-0000-0000-0000C1000000}"/>
    <cellStyle name="Accent4" xfId="540" builtinId="41" customBuiltin="1"/>
    <cellStyle name="Accent4 2" xfId="746" xr:uid="{00000000-0005-0000-0000-0000C3000000}"/>
    <cellStyle name="Accent4 2 2" xfId="747" xr:uid="{00000000-0005-0000-0000-0000C4000000}"/>
    <cellStyle name="Accent4 2 3" xfId="748" xr:uid="{00000000-0005-0000-0000-0000C5000000}"/>
    <cellStyle name="Accent4 3" xfId="749" xr:uid="{00000000-0005-0000-0000-0000C6000000}"/>
    <cellStyle name="Accent4 4" xfId="750" xr:uid="{00000000-0005-0000-0000-0000C7000000}"/>
    <cellStyle name="Accent5" xfId="544" builtinId="45" customBuiltin="1"/>
    <cellStyle name="Accent5 2" xfId="751" xr:uid="{00000000-0005-0000-0000-0000C9000000}"/>
    <cellStyle name="Accent5 2 2" xfId="752" xr:uid="{00000000-0005-0000-0000-0000CA000000}"/>
    <cellStyle name="Accent5 2 3" xfId="753" xr:uid="{00000000-0005-0000-0000-0000CB000000}"/>
    <cellStyle name="Accent5 3" xfId="754" xr:uid="{00000000-0005-0000-0000-0000CC000000}"/>
    <cellStyle name="Accent6" xfId="548" builtinId="49" customBuiltin="1"/>
    <cellStyle name="Accent6 2" xfId="755" xr:uid="{00000000-0005-0000-0000-0000CE000000}"/>
    <cellStyle name="Accent6 2 2" xfId="756" xr:uid="{00000000-0005-0000-0000-0000CF000000}"/>
    <cellStyle name="Accent6 2 3" xfId="757" xr:uid="{00000000-0005-0000-0000-0000D0000000}"/>
    <cellStyle name="Accent6 3" xfId="758" xr:uid="{00000000-0005-0000-0000-0000D1000000}"/>
    <cellStyle name="Accent6 4" xfId="759" xr:uid="{00000000-0005-0000-0000-0000D2000000}"/>
    <cellStyle name="Actual Date" xfId="760" xr:uid="{00000000-0005-0000-0000-0000D3000000}"/>
    <cellStyle name="Bad" xfId="518" builtinId="27" customBuiltin="1"/>
    <cellStyle name="Bad 2" xfId="761" xr:uid="{00000000-0005-0000-0000-0000D5000000}"/>
    <cellStyle name="Bad 2 2" xfId="762" xr:uid="{00000000-0005-0000-0000-0000D6000000}"/>
    <cellStyle name="Bad 2 3" xfId="763" xr:uid="{00000000-0005-0000-0000-0000D7000000}"/>
    <cellStyle name="Bad 3" xfId="764" xr:uid="{00000000-0005-0000-0000-0000D8000000}"/>
    <cellStyle name="Bad 4" xfId="765" xr:uid="{00000000-0005-0000-0000-0000D9000000}"/>
    <cellStyle name="Basic" xfId="24" xr:uid="{00000000-0005-0000-0000-0000DA000000}"/>
    <cellStyle name="black" xfId="25" xr:uid="{00000000-0005-0000-0000-0000DB000000}"/>
    <cellStyle name="blu" xfId="26" xr:uid="{00000000-0005-0000-0000-0000DC000000}"/>
    <cellStyle name="bot" xfId="27" xr:uid="{00000000-0005-0000-0000-0000DD000000}"/>
    <cellStyle name="Brand Align Left Text" xfId="766" xr:uid="{00000000-0005-0000-0000-0000DE000000}"/>
    <cellStyle name="Brand Default" xfId="767" xr:uid="{00000000-0005-0000-0000-0000DF000000}"/>
    <cellStyle name="Brand Percent" xfId="768" xr:uid="{00000000-0005-0000-0000-0000E0000000}"/>
    <cellStyle name="Brand Source" xfId="769" xr:uid="{00000000-0005-0000-0000-0000E1000000}"/>
    <cellStyle name="Brand Subtitle with Underline" xfId="770" xr:uid="{00000000-0005-0000-0000-0000E2000000}"/>
    <cellStyle name="Brand Subtitle without Underline" xfId="771" xr:uid="{00000000-0005-0000-0000-0000E3000000}"/>
    <cellStyle name="Brand Title" xfId="772" xr:uid="{00000000-0005-0000-0000-0000E4000000}"/>
    <cellStyle name="Bullet" xfId="28" xr:uid="{00000000-0005-0000-0000-0000E5000000}"/>
    <cellStyle name="Bullet [0]" xfId="29" xr:uid="{00000000-0005-0000-0000-0000E6000000}"/>
    <cellStyle name="Bullet [2]" xfId="30" xr:uid="{00000000-0005-0000-0000-0000E7000000}"/>
    <cellStyle name="Bullet [4]" xfId="31" xr:uid="{00000000-0005-0000-0000-0000E8000000}"/>
    <cellStyle name="c" xfId="32" xr:uid="{00000000-0005-0000-0000-0000E9000000}"/>
    <cellStyle name="c," xfId="33" xr:uid="{00000000-0005-0000-0000-0000EA000000}"/>
    <cellStyle name="c_HardInc " xfId="34" xr:uid="{00000000-0005-0000-0000-0000EB000000}"/>
    <cellStyle name="c_HardInc _ITC Great Plains Formula 1-12-09a" xfId="35" xr:uid="{00000000-0005-0000-0000-0000EC000000}"/>
    <cellStyle name="C00A" xfId="36" xr:uid="{00000000-0005-0000-0000-0000ED000000}"/>
    <cellStyle name="C00B" xfId="37" xr:uid="{00000000-0005-0000-0000-0000EE000000}"/>
    <cellStyle name="C00L" xfId="38" xr:uid="{00000000-0005-0000-0000-0000EF000000}"/>
    <cellStyle name="C01A" xfId="39" xr:uid="{00000000-0005-0000-0000-0000F0000000}"/>
    <cellStyle name="C01B" xfId="40" xr:uid="{00000000-0005-0000-0000-0000F1000000}"/>
    <cellStyle name="C01H" xfId="41" xr:uid="{00000000-0005-0000-0000-0000F2000000}"/>
    <cellStyle name="C01L" xfId="42" xr:uid="{00000000-0005-0000-0000-0000F3000000}"/>
    <cellStyle name="C02A" xfId="43" xr:uid="{00000000-0005-0000-0000-0000F4000000}"/>
    <cellStyle name="C02B" xfId="44" xr:uid="{00000000-0005-0000-0000-0000F5000000}"/>
    <cellStyle name="C02H" xfId="45" xr:uid="{00000000-0005-0000-0000-0000F6000000}"/>
    <cellStyle name="C02L" xfId="46" xr:uid="{00000000-0005-0000-0000-0000F7000000}"/>
    <cellStyle name="C03A" xfId="47" xr:uid="{00000000-0005-0000-0000-0000F8000000}"/>
    <cellStyle name="C03B" xfId="48" xr:uid="{00000000-0005-0000-0000-0000F9000000}"/>
    <cellStyle name="C03H" xfId="49" xr:uid="{00000000-0005-0000-0000-0000FA000000}"/>
    <cellStyle name="C03L" xfId="50" xr:uid="{00000000-0005-0000-0000-0000FB000000}"/>
    <cellStyle name="C04A" xfId="51" xr:uid="{00000000-0005-0000-0000-0000FC000000}"/>
    <cellStyle name="C04B" xfId="52" xr:uid="{00000000-0005-0000-0000-0000FD000000}"/>
    <cellStyle name="C04H" xfId="53" xr:uid="{00000000-0005-0000-0000-0000FE000000}"/>
    <cellStyle name="C04L" xfId="54" xr:uid="{00000000-0005-0000-0000-0000FF000000}"/>
    <cellStyle name="C05A" xfId="55" xr:uid="{00000000-0005-0000-0000-000000010000}"/>
    <cellStyle name="C05B" xfId="56" xr:uid="{00000000-0005-0000-0000-000001010000}"/>
    <cellStyle name="C05H" xfId="57" xr:uid="{00000000-0005-0000-0000-000002010000}"/>
    <cellStyle name="C05L" xfId="58" xr:uid="{00000000-0005-0000-0000-000003010000}"/>
    <cellStyle name="C06A" xfId="59" xr:uid="{00000000-0005-0000-0000-000004010000}"/>
    <cellStyle name="C06B" xfId="60" xr:uid="{00000000-0005-0000-0000-000005010000}"/>
    <cellStyle name="C06H" xfId="61" xr:uid="{00000000-0005-0000-0000-000006010000}"/>
    <cellStyle name="C06L" xfId="62" xr:uid="{00000000-0005-0000-0000-000007010000}"/>
    <cellStyle name="C07A" xfId="63" xr:uid="{00000000-0005-0000-0000-000008010000}"/>
    <cellStyle name="C07B" xfId="64" xr:uid="{00000000-0005-0000-0000-000009010000}"/>
    <cellStyle name="C07H" xfId="65" xr:uid="{00000000-0005-0000-0000-00000A010000}"/>
    <cellStyle name="C07L" xfId="66" xr:uid="{00000000-0005-0000-0000-00000B010000}"/>
    <cellStyle name="c1" xfId="67" xr:uid="{00000000-0005-0000-0000-00000C010000}"/>
    <cellStyle name="c1," xfId="68" xr:uid="{00000000-0005-0000-0000-00000D010000}"/>
    <cellStyle name="c2" xfId="69" xr:uid="{00000000-0005-0000-0000-00000E010000}"/>
    <cellStyle name="c2," xfId="70" xr:uid="{00000000-0005-0000-0000-00000F010000}"/>
    <cellStyle name="c3" xfId="71" xr:uid="{00000000-0005-0000-0000-000010010000}"/>
    <cellStyle name="Calculation" xfId="522" builtinId="22" customBuiltin="1"/>
    <cellStyle name="Calculation 2" xfId="773" xr:uid="{00000000-0005-0000-0000-000012010000}"/>
    <cellStyle name="Calculation 2 2" xfId="774" xr:uid="{00000000-0005-0000-0000-000013010000}"/>
    <cellStyle name="Calculation 2 3" xfId="775" xr:uid="{00000000-0005-0000-0000-000014010000}"/>
    <cellStyle name="Calculation 3" xfId="776" xr:uid="{00000000-0005-0000-0000-000015010000}"/>
    <cellStyle name="Calculation 4" xfId="777" xr:uid="{00000000-0005-0000-0000-000016010000}"/>
    <cellStyle name="cas" xfId="72" xr:uid="{00000000-0005-0000-0000-000017010000}"/>
    <cellStyle name="Centered Heading" xfId="73" xr:uid="{00000000-0005-0000-0000-000018010000}"/>
    <cellStyle name="ChartingText" xfId="778" xr:uid="{00000000-0005-0000-0000-000019010000}"/>
    <cellStyle name="Check Cell" xfId="524" builtinId="23" customBuiltin="1"/>
    <cellStyle name="Check Cell 2" xfId="779" xr:uid="{00000000-0005-0000-0000-00001B010000}"/>
    <cellStyle name="Check Cell 2 2" xfId="780" xr:uid="{00000000-0005-0000-0000-00001C010000}"/>
    <cellStyle name="Check Cell 2 3" xfId="781" xr:uid="{00000000-0005-0000-0000-00001D010000}"/>
    <cellStyle name="Check Cell 3" xfId="782" xr:uid="{00000000-0005-0000-0000-00001E010000}"/>
    <cellStyle name="column1" xfId="783" xr:uid="{00000000-0005-0000-0000-00001F010000}"/>
    <cellStyle name="ColumnHeaderNormal" xfId="784" xr:uid="{00000000-0005-0000-0000-000020010000}"/>
    <cellStyle name="Comma" xfId="1" builtinId="3"/>
    <cellStyle name="Comma  - Style1" xfId="74" xr:uid="{00000000-0005-0000-0000-000022010000}"/>
    <cellStyle name="Comma  - Style2" xfId="75" xr:uid="{00000000-0005-0000-0000-000023010000}"/>
    <cellStyle name="Comma  - Style3" xfId="76" xr:uid="{00000000-0005-0000-0000-000024010000}"/>
    <cellStyle name="Comma  - Style4" xfId="77" xr:uid="{00000000-0005-0000-0000-000025010000}"/>
    <cellStyle name="Comma  - Style5" xfId="78" xr:uid="{00000000-0005-0000-0000-000026010000}"/>
    <cellStyle name="Comma  - Style6" xfId="79" xr:uid="{00000000-0005-0000-0000-000027010000}"/>
    <cellStyle name="Comma  - Style7" xfId="80" xr:uid="{00000000-0005-0000-0000-000028010000}"/>
    <cellStyle name="Comma  - Style8" xfId="81" xr:uid="{00000000-0005-0000-0000-000029010000}"/>
    <cellStyle name="Comma [1]" xfId="82" xr:uid="{00000000-0005-0000-0000-00002A010000}"/>
    <cellStyle name="Comma [2]" xfId="83" xr:uid="{00000000-0005-0000-0000-00002B010000}"/>
    <cellStyle name="Comma [3]" xfId="84" xr:uid="{00000000-0005-0000-0000-00002C010000}"/>
    <cellStyle name="Comma 0.0" xfId="85" xr:uid="{00000000-0005-0000-0000-00002D010000}"/>
    <cellStyle name="Comma 0.00" xfId="86" xr:uid="{00000000-0005-0000-0000-00002E010000}"/>
    <cellStyle name="Comma 0.000" xfId="87" xr:uid="{00000000-0005-0000-0000-00002F010000}"/>
    <cellStyle name="Comma 0.0000" xfId="88" xr:uid="{00000000-0005-0000-0000-000030010000}"/>
    <cellStyle name="Comma 10" xfId="354" xr:uid="{00000000-0005-0000-0000-000031010000}"/>
    <cellStyle name="Comma 10 2" xfId="785" xr:uid="{00000000-0005-0000-0000-000032010000}"/>
    <cellStyle name="Comma 10 3" xfId="786" xr:uid="{00000000-0005-0000-0000-000033010000}"/>
    <cellStyle name="Comma 10 4" xfId="787" xr:uid="{00000000-0005-0000-0000-000034010000}"/>
    <cellStyle name="Comma 10 5" xfId="788" xr:uid="{00000000-0005-0000-0000-000035010000}"/>
    <cellStyle name="Comma 10 6" xfId="789" xr:uid="{00000000-0005-0000-0000-000036010000}"/>
    <cellStyle name="Comma 11" xfId="356" xr:uid="{00000000-0005-0000-0000-000037010000}"/>
    <cellStyle name="Comma 11 2" xfId="790" xr:uid="{00000000-0005-0000-0000-000038010000}"/>
    <cellStyle name="Comma 12" xfId="361" xr:uid="{00000000-0005-0000-0000-000039010000}"/>
    <cellStyle name="Comma 12 2" xfId="791" xr:uid="{00000000-0005-0000-0000-00003A010000}"/>
    <cellStyle name="Comma 13" xfId="366" xr:uid="{00000000-0005-0000-0000-00003B010000}"/>
    <cellStyle name="Comma 14" xfId="362" xr:uid="{00000000-0005-0000-0000-00003C010000}"/>
    <cellStyle name="Comma 14 2" xfId="792" xr:uid="{00000000-0005-0000-0000-00003D010000}"/>
    <cellStyle name="Comma 15" xfId="365" xr:uid="{00000000-0005-0000-0000-00003E010000}"/>
    <cellStyle name="Comma 15 2" xfId="793" xr:uid="{00000000-0005-0000-0000-00003F010000}"/>
    <cellStyle name="Comma 16" xfId="363" xr:uid="{00000000-0005-0000-0000-000040010000}"/>
    <cellStyle name="Comma 17" xfId="364" xr:uid="{00000000-0005-0000-0000-000041010000}"/>
    <cellStyle name="Comma 18" xfId="368" xr:uid="{00000000-0005-0000-0000-000042010000}"/>
    <cellStyle name="Comma 19" xfId="414" xr:uid="{00000000-0005-0000-0000-000043010000}"/>
    <cellStyle name="Comma 2" xfId="2" xr:uid="{00000000-0005-0000-0000-000044010000}"/>
    <cellStyle name="Comma 2 2" xfId="89" xr:uid="{00000000-0005-0000-0000-000045010000}"/>
    <cellStyle name="Comma 2 2 2" xfId="794" xr:uid="{00000000-0005-0000-0000-000046010000}"/>
    <cellStyle name="Comma 2 2 2 2" xfId="795" xr:uid="{00000000-0005-0000-0000-000047010000}"/>
    <cellStyle name="Comma 2 3" xfId="444" xr:uid="{00000000-0005-0000-0000-000048010000}"/>
    <cellStyle name="Comma 2 3 2" xfId="796" xr:uid="{00000000-0005-0000-0000-000049010000}"/>
    <cellStyle name="Comma 2 4" xfId="797" xr:uid="{00000000-0005-0000-0000-00004A010000}"/>
    <cellStyle name="Comma 2 4 2" xfId="798" xr:uid="{00000000-0005-0000-0000-00004B010000}"/>
    <cellStyle name="Comma 20" xfId="373" xr:uid="{00000000-0005-0000-0000-00004C010000}"/>
    <cellStyle name="Comma 21" xfId="410" xr:uid="{00000000-0005-0000-0000-00004D010000}"/>
    <cellStyle name="Comma 22" xfId="377" xr:uid="{00000000-0005-0000-0000-00004E010000}"/>
    <cellStyle name="Comma 23" xfId="406" xr:uid="{00000000-0005-0000-0000-00004F010000}"/>
    <cellStyle name="Comma 24" xfId="380" xr:uid="{00000000-0005-0000-0000-000050010000}"/>
    <cellStyle name="Comma 25" xfId="403" xr:uid="{00000000-0005-0000-0000-000051010000}"/>
    <cellStyle name="Comma 26" xfId="372" xr:uid="{00000000-0005-0000-0000-000052010000}"/>
    <cellStyle name="Comma 27" xfId="400" xr:uid="{00000000-0005-0000-0000-000053010000}"/>
    <cellStyle name="Comma 28" xfId="385" xr:uid="{00000000-0005-0000-0000-000054010000}"/>
    <cellStyle name="Comma 29" xfId="398" xr:uid="{00000000-0005-0000-0000-000055010000}"/>
    <cellStyle name="Comma 3" xfId="13" xr:uid="{00000000-0005-0000-0000-000056010000}"/>
    <cellStyle name="Comma 3 2" xfId="90" xr:uid="{00000000-0005-0000-0000-000057010000}"/>
    <cellStyle name="Comma 3 2 2" xfId="432" xr:uid="{00000000-0005-0000-0000-000058010000}"/>
    <cellStyle name="Comma 30" xfId="387" xr:uid="{00000000-0005-0000-0000-000059010000}"/>
    <cellStyle name="Comma 31" xfId="396" xr:uid="{00000000-0005-0000-0000-00005A010000}"/>
    <cellStyle name="Comma 32" xfId="389" xr:uid="{00000000-0005-0000-0000-00005B010000}"/>
    <cellStyle name="Comma 33" xfId="394" xr:uid="{00000000-0005-0000-0000-00005C010000}"/>
    <cellStyle name="Comma 34" xfId="391" xr:uid="{00000000-0005-0000-0000-00005D010000}"/>
    <cellStyle name="Comma 35" xfId="392" xr:uid="{00000000-0005-0000-0000-00005E010000}"/>
    <cellStyle name="Comma 36" xfId="416" xr:uid="{00000000-0005-0000-0000-00005F010000}"/>
    <cellStyle name="Comma 37" xfId="411" xr:uid="{00000000-0005-0000-0000-000060010000}"/>
    <cellStyle name="Comma 38" xfId="376" xr:uid="{00000000-0005-0000-0000-000061010000}"/>
    <cellStyle name="Comma 39" xfId="407" xr:uid="{00000000-0005-0000-0000-000062010000}"/>
    <cellStyle name="Comma 4" xfId="14" xr:uid="{00000000-0005-0000-0000-000063010000}"/>
    <cellStyle name="Comma 4 2" xfId="91" xr:uid="{00000000-0005-0000-0000-000064010000}"/>
    <cellStyle name="Comma 4 3" xfId="360" xr:uid="{00000000-0005-0000-0000-000065010000}"/>
    <cellStyle name="Comma 40" xfId="379" xr:uid="{00000000-0005-0000-0000-000066010000}"/>
    <cellStyle name="Comma 41" xfId="404" xr:uid="{00000000-0005-0000-0000-000067010000}"/>
    <cellStyle name="Comma 42" xfId="382" xr:uid="{00000000-0005-0000-0000-000068010000}"/>
    <cellStyle name="Comma 43" xfId="401" xr:uid="{00000000-0005-0000-0000-000069010000}"/>
    <cellStyle name="Comma 44" xfId="384" xr:uid="{00000000-0005-0000-0000-00006A010000}"/>
    <cellStyle name="Comma 45" xfId="412" xr:uid="{00000000-0005-0000-0000-00006B010000}"/>
    <cellStyle name="Comma 46" xfId="375" xr:uid="{00000000-0005-0000-0000-00006C010000}"/>
    <cellStyle name="Comma 47" xfId="408" xr:uid="{00000000-0005-0000-0000-00006D010000}"/>
    <cellStyle name="Comma 48" xfId="378" xr:uid="{00000000-0005-0000-0000-00006E010000}"/>
    <cellStyle name="Comma 49" xfId="405" xr:uid="{00000000-0005-0000-0000-00006F010000}"/>
    <cellStyle name="Comma 5" xfId="92" xr:uid="{00000000-0005-0000-0000-000070010000}"/>
    <cellStyle name="Comma 5 2" xfId="799" xr:uid="{00000000-0005-0000-0000-000071010000}"/>
    <cellStyle name="Comma 5 2 2" xfId="800" xr:uid="{00000000-0005-0000-0000-000072010000}"/>
    <cellStyle name="Comma 5 2 2 2" xfId="801" xr:uid="{00000000-0005-0000-0000-000073010000}"/>
    <cellStyle name="Comma 5 3" xfId="802" xr:uid="{00000000-0005-0000-0000-000074010000}"/>
    <cellStyle name="Comma 5 4" xfId="803" xr:uid="{00000000-0005-0000-0000-000075010000}"/>
    <cellStyle name="Comma 5 5" xfId="804" xr:uid="{00000000-0005-0000-0000-000076010000}"/>
    <cellStyle name="Comma 50" xfId="381" xr:uid="{00000000-0005-0000-0000-000077010000}"/>
    <cellStyle name="Comma 51" xfId="402" xr:uid="{00000000-0005-0000-0000-000078010000}"/>
    <cellStyle name="Comma 52" xfId="383" xr:uid="{00000000-0005-0000-0000-000079010000}"/>
    <cellStyle name="Comma 53" xfId="399" xr:uid="{00000000-0005-0000-0000-00007A010000}"/>
    <cellStyle name="Comma 54" xfId="386" xr:uid="{00000000-0005-0000-0000-00007B010000}"/>
    <cellStyle name="Comma 55" xfId="397" xr:uid="{00000000-0005-0000-0000-00007C010000}"/>
    <cellStyle name="Comma 56" xfId="388" xr:uid="{00000000-0005-0000-0000-00007D010000}"/>
    <cellStyle name="Comma 57" xfId="395" xr:uid="{00000000-0005-0000-0000-00007E010000}"/>
    <cellStyle name="Comma 58" xfId="390" xr:uid="{00000000-0005-0000-0000-00007F010000}"/>
    <cellStyle name="Comma 59" xfId="393" xr:uid="{00000000-0005-0000-0000-000080010000}"/>
    <cellStyle name="Comma 6" xfId="327" xr:uid="{00000000-0005-0000-0000-000081010000}"/>
    <cellStyle name="Comma 6 2" xfId="441" xr:uid="{00000000-0005-0000-0000-000082010000}"/>
    <cellStyle name="Comma 6 2 2" xfId="805" xr:uid="{00000000-0005-0000-0000-000083010000}"/>
    <cellStyle name="Comma 60" xfId="413" xr:uid="{00000000-0005-0000-0000-000084010000}"/>
    <cellStyle name="Comma 61" xfId="374" xr:uid="{00000000-0005-0000-0000-000085010000}"/>
    <cellStyle name="Comma 62" xfId="409" xr:uid="{00000000-0005-0000-0000-000086010000}"/>
    <cellStyle name="Comma 63" xfId="417" xr:uid="{00000000-0005-0000-0000-000087010000}"/>
    <cellStyle name="Comma 64" xfId="418" xr:uid="{00000000-0005-0000-0000-000088010000}"/>
    <cellStyle name="Comma 65" xfId="420" xr:uid="{00000000-0005-0000-0000-000089010000}"/>
    <cellStyle name="Comma 66" xfId="446" xr:uid="{00000000-0005-0000-0000-00008A010000}"/>
    <cellStyle name="Comma 67" xfId="460" xr:uid="{00000000-0005-0000-0000-00008B010000}"/>
    <cellStyle name="Comma 68" xfId="422" xr:uid="{00000000-0005-0000-0000-00008C010000}"/>
    <cellStyle name="Comma 69" xfId="437" xr:uid="{00000000-0005-0000-0000-00008D010000}"/>
    <cellStyle name="Comma 7" xfId="331" xr:uid="{00000000-0005-0000-0000-00008E010000}"/>
    <cellStyle name="Comma 7 2" xfId="806" xr:uid="{00000000-0005-0000-0000-00008F010000}"/>
    <cellStyle name="Comma 70" xfId="452" xr:uid="{00000000-0005-0000-0000-000090010000}"/>
    <cellStyle name="Comma 71" xfId="424" xr:uid="{00000000-0005-0000-0000-000091010000}"/>
    <cellStyle name="Comma 72" xfId="436" xr:uid="{00000000-0005-0000-0000-000092010000}"/>
    <cellStyle name="Comma 73" xfId="429" xr:uid="{00000000-0005-0000-0000-000093010000}"/>
    <cellStyle name="Comma 74" xfId="434" xr:uid="{00000000-0005-0000-0000-000094010000}"/>
    <cellStyle name="Comma 75" xfId="426" xr:uid="{00000000-0005-0000-0000-000095010000}"/>
    <cellStyle name="Comma 76" xfId="435" xr:uid="{00000000-0005-0000-0000-000096010000}"/>
    <cellStyle name="Comma 77" xfId="431" xr:uid="{00000000-0005-0000-0000-000097010000}"/>
    <cellStyle name="Comma 78" xfId="427" xr:uid="{00000000-0005-0000-0000-000098010000}"/>
    <cellStyle name="Comma 79" xfId="425" xr:uid="{00000000-0005-0000-0000-000099010000}"/>
    <cellStyle name="Comma 8" xfId="337" xr:uid="{00000000-0005-0000-0000-00009A010000}"/>
    <cellStyle name="Comma 8 2" xfId="807" xr:uid="{00000000-0005-0000-0000-00009B010000}"/>
    <cellStyle name="Comma 80" xfId="454" xr:uid="{00000000-0005-0000-0000-00009C010000}"/>
    <cellStyle name="Comma 81" xfId="469" xr:uid="{00000000-0005-0000-0000-00009D010000}"/>
    <cellStyle name="Comma 82" xfId="470" xr:uid="{00000000-0005-0000-0000-00009E010000}"/>
    <cellStyle name="Comma 83" xfId="503" xr:uid="{00000000-0005-0000-0000-00009F010000}"/>
    <cellStyle name="Comma 84" xfId="564" xr:uid="{00000000-0005-0000-0000-0000A0010000}"/>
    <cellStyle name="Comma 85" xfId="565" xr:uid="{00000000-0005-0000-0000-0000A1010000}"/>
    <cellStyle name="Comma 86" xfId="566" xr:uid="{00000000-0005-0000-0000-0000A2010000}"/>
    <cellStyle name="Comma 87" xfId="567" xr:uid="{00000000-0005-0000-0000-0000A3010000}"/>
    <cellStyle name="Comma 88" xfId="568" xr:uid="{00000000-0005-0000-0000-0000A4010000}"/>
    <cellStyle name="Comma 89" xfId="569" xr:uid="{00000000-0005-0000-0000-0000A5010000}"/>
    <cellStyle name="Comma 9" xfId="334" xr:uid="{00000000-0005-0000-0000-0000A6010000}"/>
    <cellStyle name="Comma 90" xfId="570" xr:uid="{00000000-0005-0000-0000-0000A7010000}"/>
    <cellStyle name="Comma 91" xfId="571" xr:uid="{00000000-0005-0000-0000-0000A8010000}"/>
    <cellStyle name="Comma 92" xfId="572" xr:uid="{00000000-0005-0000-0000-0000A9010000}"/>
    <cellStyle name="Comma 93" xfId="573" xr:uid="{00000000-0005-0000-0000-0000AA010000}"/>
    <cellStyle name="Comma 94" xfId="574" xr:uid="{00000000-0005-0000-0000-0000AB010000}"/>
    <cellStyle name="Comma Input" xfId="93" xr:uid="{00000000-0005-0000-0000-0000AC010000}"/>
    <cellStyle name="Comma(1)" xfId="808" xr:uid="{00000000-0005-0000-0000-0000AD010000}"/>
    <cellStyle name="Comma0" xfId="94" xr:uid="{00000000-0005-0000-0000-0000AE010000}"/>
    <cellStyle name="Company Name" xfId="95" xr:uid="{00000000-0005-0000-0000-0000AF010000}"/>
    <cellStyle name="Currency [1]" xfId="96" xr:uid="{00000000-0005-0000-0000-0000B0010000}"/>
    <cellStyle name="Currency [2]" xfId="97" xr:uid="{00000000-0005-0000-0000-0000B1010000}"/>
    <cellStyle name="Currency [3]" xfId="98" xr:uid="{00000000-0005-0000-0000-0000B2010000}"/>
    <cellStyle name="Currency 0.0" xfId="99" xr:uid="{00000000-0005-0000-0000-0000B3010000}"/>
    <cellStyle name="Currency 0.00" xfId="100" xr:uid="{00000000-0005-0000-0000-0000B4010000}"/>
    <cellStyle name="Currency 0.000" xfId="101" xr:uid="{00000000-0005-0000-0000-0000B5010000}"/>
    <cellStyle name="Currency 0.0000" xfId="102" xr:uid="{00000000-0005-0000-0000-0000B6010000}"/>
    <cellStyle name="Currency 10" xfId="349" xr:uid="{00000000-0005-0000-0000-0000B7010000}"/>
    <cellStyle name="Currency 11" xfId="351" xr:uid="{00000000-0005-0000-0000-0000B8010000}"/>
    <cellStyle name="Currency 12" xfId="353" xr:uid="{00000000-0005-0000-0000-0000B9010000}"/>
    <cellStyle name="Currency 13" xfId="578" xr:uid="{00000000-0005-0000-0000-0000BA010000}"/>
    <cellStyle name="Currency 14" xfId="809" xr:uid="{00000000-0005-0000-0000-0000BB010000}"/>
    <cellStyle name="Currency 15" xfId="810" xr:uid="{00000000-0005-0000-0000-0000BC010000}"/>
    <cellStyle name="Currency 16" xfId="811" xr:uid="{00000000-0005-0000-0000-0000BD010000}"/>
    <cellStyle name="Currency 2" xfId="12" xr:uid="{00000000-0005-0000-0000-0000BE010000}"/>
    <cellStyle name="Currency 2 2" xfId="103" xr:uid="{00000000-0005-0000-0000-0000BF010000}"/>
    <cellStyle name="Currency 2 2 2" xfId="812" xr:uid="{00000000-0005-0000-0000-0000C0010000}"/>
    <cellStyle name="Currency 2 2 2 2" xfId="813" xr:uid="{00000000-0005-0000-0000-0000C1010000}"/>
    <cellStyle name="Currency 2 2 2 2 2" xfId="814" xr:uid="{00000000-0005-0000-0000-0000C2010000}"/>
    <cellStyle name="Currency 2 2 2 2 3" xfId="815" xr:uid="{00000000-0005-0000-0000-0000C3010000}"/>
    <cellStyle name="Currency 2 2 2 3" xfId="816" xr:uid="{00000000-0005-0000-0000-0000C4010000}"/>
    <cellStyle name="Currency 2 2 2 4" xfId="817" xr:uid="{00000000-0005-0000-0000-0000C5010000}"/>
    <cellStyle name="Currency 2 2 2 5" xfId="818" xr:uid="{00000000-0005-0000-0000-0000C6010000}"/>
    <cellStyle name="Currency 2 2 2 6" xfId="819" xr:uid="{00000000-0005-0000-0000-0000C7010000}"/>
    <cellStyle name="Currency 2 2 2 7" xfId="820" xr:uid="{00000000-0005-0000-0000-0000C8010000}"/>
    <cellStyle name="Currency 2 2 3" xfId="821" xr:uid="{00000000-0005-0000-0000-0000C9010000}"/>
    <cellStyle name="Currency 2 2 3 2" xfId="822" xr:uid="{00000000-0005-0000-0000-0000CA010000}"/>
    <cellStyle name="Currency 2 2 4" xfId="823" xr:uid="{00000000-0005-0000-0000-0000CB010000}"/>
    <cellStyle name="Currency 2 2 4 2" xfId="824" xr:uid="{00000000-0005-0000-0000-0000CC010000}"/>
    <cellStyle name="Currency 2 3" xfId="430" xr:uid="{00000000-0005-0000-0000-0000CD010000}"/>
    <cellStyle name="Currency 2 3 2" xfId="825" xr:uid="{00000000-0005-0000-0000-0000CE010000}"/>
    <cellStyle name="Currency 2 3 2 2" xfId="826" xr:uid="{00000000-0005-0000-0000-0000CF010000}"/>
    <cellStyle name="Currency 2 3 3" xfId="827" xr:uid="{00000000-0005-0000-0000-0000D0010000}"/>
    <cellStyle name="Currency 2 4" xfId="828" xr:uid="{00000000-0005-0000-0000-0000D1010000}"/>
    <cellStyle name="Currency 2 4 2" xfId="829" xr:uid="{00000000-0005-0000-0000-0000D2010000}"/>
    <cellStyle name="Currency 2 5" xfId="830" xr:uid="{00000000-0005-0000-0000-0000D3010000}"/>
    <cellStyle name="Currency 2 5 2" xfId="831" xr:uid="{00000000-0005-0000-0000-0000D4010000}"/>
    <cellStyle name="Currency 2 6" xfId="832" xr:uid="{00000000-0005-0000-0000-0000D5010000}"/>
    <cellStyle name="Currency 3" xfId="104" xr:uid="{00000000-0005-0000-0000-0000D6010000}"/>
    <cellStyle name="Currency 3 2" xfId="105" xr:uid="{00000000-0005-0000-0000-0000D7010000}"/>
    <cellStyle name="Currency 3 2 2" xfId="833" xr:uid="{00000000-0005-0000-0000-0000D8010000}"/>
    <cellStyle name="Currency 3 2 2 2" xfId="834" xr:uid="{00000000-0005-0000-0000-0000D9010000}"/>
    <cellStyle name="Currency 3 2 3" xfId="835" xr:uid="{00000000-0005-0000-0000-0000DA010000}"/>
    <cellStyle name="Currency 3 2 4" xfId="836" xr:uid="{00000000-0005-0000-0000-0000DB010000}"/>
    <cellStyle name="Currency 3 3" xfId="837" xr:uid="{00000000-0005-0000-0000-0000DC010000}"/>
    <cellStyle name="Currency 3 3 2" xfId="838" xr:uid="{00000000-0005-0000-0000-0000DD010000}"/>
    <cellStyle name="Currency 3 4" xfId="839" xr:uid="{00000000-0005-0000-0000-0000DE010000}"/>
    <cellStyle name="Currency 3 4 2" xfId="840" xr:uid="{00000000-0005-0000-0000-0000DF010000}"/>
    <cellStyle name="Currency 4" xfId="16" xr:uid="{00000000-0005-0000-0000-0000E0010000}"/>
    <cellStyle name="Currency 5" xfId="332" xr:uid="{00000000-0005-0000-0000-0000E1010000}"/>
    <cellStyle name="Currency 5 2" xfId="841" xr:uid="{00000000-0005-0000-0000-0000E2010000}"/>
    <cellStyle name="Currency 6" xfId="336" xr:uid="{00000000-0005-0000-0000-0000E3010000}"/>
    <cellStyle name="Currency 6 2" xfId="842" xr:uid="{00000000-0005-0000-0000-0000E4010000}"/>
    <cellStyle name="Currency 7" xfId="343" xr:uid="{00000000-0005-0000-0000-0000E5010000}"/>
    <cellStyle name="Currency 8" xfId="345" xr:uid="{00000000-0005-0000-0000-0000E6010000}"/>
    <cellStyle name="Currency 9" xfId="347" xr:uid="{00000000-0005-0000-0000-0000E7010000}"/>
    <cellStyle name="Currency 9 2" xfId="843" xr:uid="{00000000-0005-0000-0000-0000E8010000}"/>
    <cellStyle name="Currency Input" xfId="106" xr:uid="{00000000-0005-0000-0000-0000E9010000}"/>
    <cellStyle name="Currency0" xfId="107" xr:uid="{00000000-0005-0000-0000-0000EA010000}"/>
    <cellStyle name="d" xfId="108" xr:uid="{00000000-0005-0000-0000-0000EB010000}"/>
    <cellStyle name="d," xfId="109" xr:uid="{00000000-0005-0000-0000-0000EC010000}"/>
    <cellStyle name="d1" xfId="110" xr:uid="{00000000-0005-0000-0000-0000ED010000}"/>
    <cellStyle name="d1," xfId="111" xr:uid="{00000000-0005-0000-0000-0000EE010000}"/>
    <cellStyle name="d2" xfId="112" xr:uid="{00000000-0005-0000-0000-0000EF010000}"/>
    <cellStyle name="d2," xfId="113" xr:uid="{00000000-0005-0000-0000-0000F0010000}"/>
    <cellStyle name="d3" xfId="114" xr:uid="{00000000-0005-0000-0000-0000F1010000}"/>
    <cellStyle name="Dash" xfId="115" xr:uid="{00000000-0005-0000-0000-0000F2010000}"/>
    <cellStyle name="Date" xfId="116" xr:uid="{00000000-0005-0000-0000-0000F3010000}"/>
    <cellStyle name="Date [Abbreviated]" xfId="117" xr:uid="{00000000-0005-0000-0000-0000F4010000}"/>
    <cellStyle name="Date [Long Europe]" xfId="118" xr:uid="{00000000-0005-0000-0000-0000F5010000}"/>
    <cellStyle name="Date [Long U.S.]" xfId="119" xr:uid="{00000000-0005-0000-0000-0000F6010000}"/>
    <cellStyle name="Date [Short Europe]" xfId="120" xr:uid="{00000000-0005-0000-0000-0000F7010000}"/>
    <cellStyle name="Date [Short U.S.]" xfId="121" xr:uid="{00000000-0005-0000-0000-0000F8010000}"/>
    <cellStyle name="Date_ITCM 2010 Template" xfId="122" xr:uid="{00000000-0005-0000-0000-0000F9010000}"/>
    <cellStyle name="Define$0" xfId="123" xr:uid="{00000000-0005-0000-0000-0000FA010000}"/>
    <cellStyle name="Define$1" xfId="124" xr:uid="{00000000-0005-0000-0000-0000FB010000}"/>
    <cellStyle name="Define$2" xfId="125" xr:uid="{00000000-0005-0000-0000-0000FC010000}"/>
    <cellStyle name="Define0" xfId="126" xr:uid="{00000000-0005-0000-0000-0000FD010000}"/>
    <cellStyle name="Define1" xfId="127" xr:uid="{00000000-0005-0000-0000-0000FE010000}"/>
    <cellStyle name="Define1x" xfId="128" xr:uid="{00000000-0005-0000-0000-0000FF010000}"/>
    <cellStyle name="Define2" xfId="129" xr:uid="{00000000-0005-0000-0000-000000020000}"/>
    <cellStyle name="Define2x" xfId="130" xr:uid="{00000000-0005-0000-0000-000001020000}"/>
    <cellStyle name="Detail" xfId="844" xr:uid="{00000000-0005-0000-0000-000002020000}"/>
    <cellStyle name="Dollar" xfId="131" xr:uid="{00000000-0005-0000-0000-000003020000}"/>
    <cellStyle name="e" xfId="132" xr:uid="{00000000-0005-0000-0000-000004020000}"/>
    <cellStyle name="e1" xfId="133" xr:uid="{00000000-0005-0000-0000-000005020000}"/>
    <cellStyle name="e2" xfId="134" xr:uid="{00000000-0005-0000-0000-000006020000}"/>
    <cellStyle name="Euro" xfId="135" xr:uid="{00000000-0005-0000-0000-000007020000}"/>
    <cellStyle name="Explanatory Text" xfId="526" builtinId="53" customBuiltin="1"/>
    <cellStyle name="Explanatory Text 2" xfId="845" xr:uid="{00000000-0005-0000-0000-000009020000}"/>
    <cellStyle name="Explanatory Text 2 2" xfId="846" xr:uid="{00000000-0005-0000-0000-00000A020000}"/>
    <cellStyle name="Explanatory Text 2 3" xfId="847" xr:uid="{00000000-0005-0000-0000-00000B020000}"/>
    <cellStyle name="Explanatory Text 3" xfId="848" xr:uid="{00000000-0005-0000-0000-00000C020000}"/>
    <cellStyle name="f" xfId="849" xr:uid="{00000000-0005-0000-0000-00000D020000}"/>
    <cellStyle name="Fixed" xfId="136" xr:uid="{00000000-0005-0000-0000-00000E020000}"/>
    <cellStyle name="FOOTER - Style1" xfId="137" xr:uid="{00000000-0005-0000-0000-00000F020000}"/>
    <cellStyle name="g" xfId="138" xr:uid="{00000000-0005-0000-0000-000010020000}"/>
    <cellStyle name="general" xfId="139" xr:uid="{00000000-0005-0000-0000-000011020000}"/>
    <cellStyle name="General [C]" xfId="140" xr:uid="{00000000-0005-0000-0000-000012020000}"/>
    <cellStyle name="General [R]" xfId="141" xr:uid="{00000000-0005-0000-0000-000013020000}"/>
    <cellStyle name="Good" xfId="517" builtinId="26" customBuiltin="1"/>
    <cellStyle name="Good 2" xfId="850" xr:uid="{00000000-0005-0000-0000-000015020000}"/>
    <cellStyle name="Good 2 2" xfId="851" xr:uid="{00000000-0005-0000-0000-000016020000}"/>
    <cellStyle name="Good 2 3" xfId="852" xr:uid="{00000000-0005-0000-0000-000017020000}"/>
    <cellStyle name="Good 3" xfId="853" xr:uid="{00000000-0005-0000-0000-000018020000}"/>
    <cellStyle name="Good 4" xfId="854" xr:uid="{00000000-0005-0000-0000-000019020000}"/>
    <cellStyle name="Green" xfId="142" xr:uid="{00000000-0005-0000-0000-00001A020000}"/>
    <cellStyle name="grey" xfId="143" xr:uid="{00000000-0005-0000-0000-00001B020000}"/>
    <cellStyle name="HEADER" xfId="855" xr:uid="{00000000-0005-0000-0000-00001C020000}"/>
    <cellStyle name="Header1" xfId="144" xr:uid="{00000000-0005-0000-0000-00001D020000}"/>
    <cellStyle name="Header2" xfId="145" xr:uid="{00000000-0005-0000-0000-00001E020000}"/>
    <cellStyle name="Heading" xfId="146" xr:uid="{00000000-0005-0000-0000-00001F020000}"/>
    <cellStyle name="Heading 1" xfId="513" builtinId="16" customBuiltin="1"/>
    <cellStyle name="Heading 1 2" xfId="856" xr:uid="{00000000-0005-0000-0000-000021020000}"/>
    <cellStyle name="Heading 1 2 2" xfId="857" xr:uid="{00000000-0005-0000-0000-000022020000}"/>
    <cellStyle name="Heading 1 2 3" xfId="858" xr:uid="{00000000-0005-0000-0000-000023020000}"/>
    <cellStyle name="Heading 1 3" xfId="859" xr:uid="{00000000-0005-0000-0000-000024020000}"/>
    <cellStyle name="Heading 1 4" xfId="860" xr:uid="{00000000-0005-0000-0000-000025020000}"/>
    <cellStyle name="Heading 2" xfId="514" builtinId="17" customBuiltin="1"/>
    <cellStyle name="Heading 2 2" xfId="861" xr:uid="{00000000-0005-0000-0000-000027020000}"/>
    <cellStyle name="Heading 2 2 2" xfId="862" xr:uid="{00000000-0005-0000-0000-000028020000}"/>
    <cellStyle name="Heading 2 2 3" xfId="863" xr:uid="{00000000-0005-0000-0000-000029020000}"/>
    <cellStyle name="Heading 2 3" xfId="864" xr:uid="{00000000-0005-0000-0000-00002A020000}"/>
    <cellStyle name="Heading 2 4" xfId="865" xr:uid="{00000000-0005-0000-0000-00002B020000}"/>
    <cellStyle name="Heading 3" xfId="515" builtinId="18" customBuiltin="1"/>
    <cellStyle name="Heading 3 2" xfId="866" xr:uid="{00000000-0005-0000-0000-00002D020000}"/>
    <cellStyle name="Heading 3 2 2" xfId="867" xr:uid="{00000000-0005-0000-0000-00002E020000}"/>
    <cellStyle name="Heading 3 2 3" xfId="868" xr:uid="{00000000-0005-0000-0000-00002F020000}"/>
    <cellStyle name="Heading 3 3" xfId="869" xr:uid="{00000000-0005-0000-0000-000030020000}"/>
    <cellStyle name="Heading 3 4" xfId="870" xr:uid="{00000000-0005-0000-0000-000031020000}"/>
    <cellStyle name="Heading 4" xfId="516" builtinId="19" customBuiltin="1"/>
    <cellStyle name="Heading 4 2" xfId="871" xr:uid="{00000000-0005-0000-0000-000033020000}"/>
    <cellStyle name="Heading 4 2 2" xfId="872" xr:uid="{00000000-0005-0000-0000-000034020000}"/>
    <cellStyle name="Heading 4 2 3" xfId="873" xr:uid="{00000000-0005-0000-0000-000035020000}"/>
    <cellStyle name="Heading 4 3" xfId="874" xr:uid="{00000000-0005-0000-0000-000036020000}"/>
    <cellStyle name="Heading 4 4" xfId="875" xr:uid="{00000000-0005-0000-0000-000037020000}"/>
    <cellStyle name="Heading No Underline" xfId="147" xr:uid="{00000000-0005-0000-0000-000038020000}"/>
    <cellStyle name="Heading With Underline" xfId="148" xr:uid="{00000000-0005-0000-0000-000039020000}"/>
    <cellStyle name="Heading1" xfId="149" xr:uid="{00000000-0005-0000-0000-00003A020000}"/>
    <cellStyle name="Heading2" xfId="150" xr:uid="{00000000-0005-0000-0000-00003B020000}"/>
    <cellStyle name="Headline" xfId="151" xr:uid="{00000000-0005-0000-0000-00003C020000}"/>
    <cellStyle name="Highlight" xfId="152" xr:uid="{00000000-0005-0000-0000-00003D020000}"/>
    <cellStyle name="Hyperlink 2" xfId="876" xr:uid="{00000000-0005-0000-0000-00003E020000}"/>
    <cellStyle name="in" xfId="153" xr:uid="{00000000-0005-0000-0000-00003F020000}"/>
    <cellStyle name="inc/dec" xfId="877" xr:uid="{00000000-0005-0000-0000-000040020000}"/>
    <cellStyle name="Indented [0]" xfId="154" xr:uid="{00000000-0005-0000-0000-000041020000}"/>
    <cellStyle name="Indented [2]" xfId="155" xr:uid="{00000000-0005-0000-0000-000042020000}"/>
    <cellStyle name="Indented [4]" xfId="156" xr:uid="{00000000-0005-0000-0000-000043020000}"/>
    <cellStyle name="Indented [6]" xfId="157" xr:uid="{00000000-0005-0000-0000-000044020000}"/>
    <cellStyle name="Input" xfId="520" builtinId="20" customBuiltin="1"/>
    <cellStyle name="Input [yellow]" xfId="158" xr:uid="{00000000-0005-0000-0000-000046020000}"/>
    <cellStyle name="Input 2" xfId="878" xr:uid="{00000000-0005-0000-0000-000047020000}"/>
    <cellStyle name="Input 2 2" xfId="879" xr:uid="{00000000-0005-0000-0000-000048020000}"/>
    <cellStyle name="Input 2 3" xfId="880" xr:uid="{00000000-0005-0000-0000-000049020000}"/>
    <cellStyle name="Input 3" xfId="881" xr:uid="{00000000-0005-0000-0000-00004A020000}"/>
    <cellStyle name="Input 4" xfId="882" xr:uid="{00000000-0005-0000-0000-00004B020000}"/>
    <cellStyle name="Input$0" xfId="159" xr:uid="{00000000-0005-0000-0000-00004C020000}"/>
    <cellStyle name="Input$1" xfId="160" xr:uid="{00000000-0005-0000-0000-00004D020000}"/>
    <cellStyle name="Input$2" xfId="161" xr:uid="{00000000-0005-0000-0000-00004E020000}"/>
    <cellStyle name="Input0" xfId="162" xr:uid="{00000000-0005-0000-0000-00004F020000}"/>
    <cellStyle name="Input1" xfId="163" xr:uid="{00000000-0005-0000-0000-000050020000}"/>
    <cellStyle name="Input1x" xfId="164" xr:uid="{00000000-0005-0000-0000-000051020000}"/>
    <cellStyle name="Input2" xfId="165" xr:uid="{00000000-0005-0000-0000-000052020000}"/>
    <cellStyle name="Input2x" xfId="166" xr:uid="{00000000-0005-0000-0000-000053020000}"/>
    <cellStyle name="Invisible" xfId="883" xr:uid="{00000000-0005-0000-0000-000054020000}"/>
    <cellStyle name="lborder" xfId="167" xr:uid="{00000000-0005-0000-0000-000055020000}"/>
    <cellStyle name="LeftSubtitle" xfId="168" xr:uid="{00000000-0005-0000-0000-000056020000}"/>
    <cellStyle name="Lines" xfId="884" xr:uid="{00000000-0005-0000-0000-000057020000}"/>
    <cellStyle name="Linked Cell" xfId="523" builtinId="24" customBuiltin="1"/>
    <cellStyle name="Linked Cell 2" xfId="885" xr:uid="{00000000-0005-0000-0000-000059020000}"/>
    <cellStyle name="Linked Cell 2 2" xfId="886" xr:uid="{00000000-0005-0000-0000-00005A020000}"/>
    <cellStyle name="Linked Cell 2 3" xfId="887" xr:uid="{00000000-0005-0000-0000-00005B020000}"/>
    <cellStyle name="Linked Cell 3" xfId="888" xr:uid="{00000000-0005-0000-0000-00005C020000}"/>
    <cellStyle name="Linked Cell 4" xfId="889" xr:uid="{00000000-0005-0000-0000-00005D020000}"/>
    <cellStyle name="Long Date" xfId="890" xr:uid="{00000000-0005-0000-0000-00005E020000}"/>
    <cellStyle name="Long Date 2" xfId="891" xr:uid="{00000000-0005-0000-0000-00005F020000}"/>
    <cellStyle name="m" xfId="169" xr:uid="{00000000-0005-0000-0000-000060020000}"/>
    <cellStyle name="m1" xfId="170" xr:uid="{00000000-0005-0000-0000-000061020000}"/>
    <cellStyle name="m2" xfId="171" xr:uid="{00000000-0005-0000-0000-000062020000}"/>
    <cellStyle name="m3" xfId="172" xr:uid="{00000000-0005-0000-0000-000063020000}"/>
    <cellStyle name="Multiple" xfId="173" xr:uid="{00000000-0005-0000-0000-000064020000}"/>
    <cellStyle name="Negative" xfId="174" xr:uid="{00000000-0005-0000-0000-000065020000}"/>
    <cellStyle name="Neutral" xfId="519" builtinId="28" customBuiltin="1"/>
    <cellStyle name="Neutral 2" xfId="892" xr:uid="{00000000-0005-0000-0000-000067020000}"/>
    <cellStyle name="Neutral 2 2" xfId="893" xr:uid="{00000000-0005-0000-0000-000068020000}"/>
    <cellStyle name="Neutral 2 3" xfId="894" xr:uid="{00000000-0005-0000-0000-000069020000}"/>
    <cellStyle name="Neutral 3" xfId="895" xr:uid="{00000000-0005-0000-0000-00006A020000}"/>
    <cellStyle name="Neutral 4" xfId="896" xr:uid="{00000000-0005-0000-0000-00006B020000}"/>
    <cellStyle name="NewColumnHeaderNormal" xfId="897" xr:uid="{00000000-0005-0000-0000-00006C020000}"/>
    <cellStyle name="NewSectionHeaderNormal" xfId="898" xr:uid="{00000000-0005-0000-0000-00006D020000}"/>
    <cellStyle name="NewTitleNormal" xfId="899" xr:uid="{00000000-0005-0000-0000-00006E020000}"/>
    <cellStyle name="no dec" xfId="175" xr:uid="{00000000-0005-0000-0000-00006F020000}"/>
    <cellStyle name="Normal" xfId="0" builtinId="0"/>
    <cellStyle name="Normal - Style1" xfId="176" xr:uid="{00000000-0005-0000-0000-000071020000}"/>
    <cellStyle name="Normal 10" xfId="340" xr:uid="{00000000-0005-0000-0000-000072020000}"/>
    <cellStyle name="Normal 10 2" xfId="900" xr:uid="{00000000-0005-0000-0000-000073020000}"/>
    <cellStyle name="Normal 10 2 2" xfId="901" xr:uid="{00000000-0005-0000-0000-000074020000}"/>
    <cellStyle name="Normal 10 3" xfId="902" xr:uid="{00000000-0005-0000-0000-000075020000}"/>
    <cellStyle name="Normal 10 3 2" xfId="903" xr:uid="{00000000-0005-0000-0000-000076020000}"/>
    <cellStyle name="Normal 100" xfId="904" xr:uid="{00000000-0005-0000-0000-000077020000}"/>
    <cellStyle name="Normal 100 2" xfId="905" xr:uid="{00000000-0005-0000-0000-000078020000}"/>
    <cellStyle name="Normal 101" xfId="906" xr:uid="{00000000-0005-0000-0000-000079020000}"/>
    <cellStyle name="Normal 101 2" xfId="907" xr:uid="{00000000-0005-0000-0000-00007A020000}"/>
    <cellStyle name="Normal 102" xfId="908" xr:uid="{00000000-0005-0000-0000-00007B020000}"/>
    <cellStyle name="Normal 102 2" xfId="909" xr:uid="{00000000-0005-0000-0000-00007C020000}"/>
    <cellStyle name="Normal 103" xfId="910" xr:uid="{00000000-0005-0000-0000-00007D020000}"/>
    <cellStyle name="Normal 103 2" xfId="911" xr:uid="{00000000-0005-0000-0000-00007E020000}"/>
    <cellStyle name="Normal 104" xfId="912" xr:uid="{00000000-0005-0000-0000-00007F020000}"/>
    <cellStyle name="Normal 104 2" xfId="913" xr:uid="{00000000-0005-0000-0000-000080020000}"/>
    <cellStyle name="Normal 105" xfId="914" xr:uid="{00000000-0005-0000-0000-000081020000}"/>
    <cellStyle name="Normal 105 2" xfId="915" xr:uid="{00000000-0005-0000-0000-000082020000}"/>
    <cellStyle name="Normal 106" xfId="916" xr:uid="{00000000-0005-0000-0000-000083020000}"/>
    <cellStyle name="Normal 106 2" xfId="917" xr:uid="{00000000-0005-0000-0000-000084020000}"/>
    <cellStyle name="Normal 107" xfId="918" xr:uid="{00000000-0005-0000-0000-000085020000}"/>
    <cellStyle name="Normal 107 2" xfId="919" xr:uid="{00000000-0005-0000-0000-000086020000}"/>
    <cellStyle name="Normal 108" xfId="920" xr:uid="{00000000-0005-0000-0000-000087020000}"/>
    <cellStyle name="Normal 108 2" xfId="921" xr:uid="{00000000-0005-0000-0000-000088020000}"/>
    <cellStyle name="Normal 109" xfId="922" xr:uid="{00000000-0005-0000-0000-000089020000}"/>
    <cellStyle name="Normal 109 2" xfId="923" xr:uid="{00000000-0005-0000-0000-00008A020000}"/>
    <cellStyle name="Normal 11" xfId="341" xr:uid="{00000000-0005-0000-0000-00008B020000}"/>
    <cellStyle name="Normal 11 2" xfId="924" xr:uid="{00000000-0005-0000-0000-00008C020000}"/>
    <cellStyle name="Normal 11 2 2" xfId="925" xr:uid="{00000000-0005-0000-0000-00008D020000}"/>
    <cellStyle name="Normal 11 2 2 2" xfId="926" xr:uid="{00000000-0005-0000-0000-00008E020000}"/>
    <cellStyle name="Normal 11 3" xfId="927" xr:uid="{00000000-0005-0000-0000-00008F020000}"/>
    <cellStyle name="Normal 11 4" xfId="928" xr:uid="{00000000-0005-0000-0000-000090020000}"/>
    <cellStyle name="Normal 11 5" xfId="929" xr:uid="{00000000-0005-0000-0000-000091020000}"/>
    <cellStyle name="Normal 11 5 2" xfId="930" xr:uid="{00000000-0005-0000-0000-000092020000}"/>
    <cellStyle name="Normal 110" xfId="931" xr:uid="{00000000-0005-0000-0000-000093020000}"/>
    <cellStyle name="Normal 110 2" xfId="932" xr:uid="{00000000-0005-0000-0000-000094020000}"/>
    <cellStyle name="Normal 111" xfId="933" xr:uid="{00000000-0005-0000-0000-000095020000}"/>
    <cellStyle name="Normal 111 2" xfId="934" xr:uid="{00000000-0005-0000-0000-000096020000}"/>
    <cellStyle name="Normal 112" xfId="935" xr:uid="{00000000-0005-0000-0000-000097020000}"/>
    <cellStyle name="Normal 112 2" xfId="936" xr:uid="{00000000-0005-0000-0000-000098020000}"/>
    <cellStyle name="Normal 113" xfId="937" xr:uid="{00000000-0005-0000-0000-000099020000}"/>
    <cellStyle name="Normal 113 2" xfId="938" xr:uid="{00000000-0005-0000-0000-00009A020000}"/>
    <cellStyle name="Normal 114" xfId="939" xr:uid="{00000000-0005-0000-0000-00009B020000}"/>
    <cellStyle name="Normal 114 2" xfId="940" xr:uid="{00000000-0005-0000-0000-00009C020000}"/>
    <cellStyle name="Normal 115" xfId="941" xr:uid="{00000000-0005-0000-0000-00009D020000}"/>
    <cellStyle name="Normal 115 2" xfId="942" xr:uid="{00000000-0005-0000-0000-00009E020000}"/>
    <cellStyle name="Normal 116" xfId="943" xr:uid="{00000000-0005-0000-0000-00009F020000}"/>
    <cellStyle name="Normal 116 2" xfId="944" xr:uid="{00000000-0005-0000-0000-0000A0020000}"/>
    <cellStyle name="Normal 117" xfId="945" xr:uid="{00000000-0005-0000-0000-0000A1020000}"/>
    <cellStyle name="Normal 117 2" xfId="946" xr:uid="{00000000-0005-0000-0000-0000A2020000}"/>
    <cellStyle name="Normal 118" xfId="947" xr:uid="{00000000-0005-0000-0000-0000A3020000}"/>
    <cellStyle name="Normal 118 2" xfId="948" xr:uid="{00000000-0005-0000-0000-0000A4020000}"/>
    <cellStyle name="Normal 119" xfId="949" xr:uid="{00000000-0005-0000-0000-0000A5020000}"/>
    <cellStyle name="Normal 119 2" xfId="950" xr:uid="{00000000-0005-0000-0000-0000A6020000}"/>
    <cellStyle name="Normal 12" xfId="342" xr:uid="{00000000-0005-0000-0000-0000A7020000}"/>
    <cellStyle name="Normal 12 2" xfId="951" xr:uid="{00000000-0005-0000-0000-0000A8020000}"/>
    <cellStyle name="Normal 12 2 2" xfId="952" xr:uid="{00000000-0005-0000-0000-0000A9020000}"/>
    <cellStyle name="Normal 12 3" xfId="953" xr:uid="{00000000-0005-0000-0000-0000AA020000}"/>
    <cellStyle name="Normal 12 4" xfId="954" xr:uid="{00000000-0005-0000-0000-0000AB020000}"/>
    <cellStyle name="Normal 120" xfId="955" xr:uid="{00000000-0005-0000-0000-0000AC020000}"/>
    <cellStyle name="Normal 120 2" xfId="956" xr:uid="{00000000-0005-0000-0000-0000AD020000}"/>
    <cellStyle name="Normal 121" xfId="957" xr:uid="{00000000-0005-0000-0000-0000AE020000}"/>
    <cellStyle name="Normal 121 2" xfId="958" xr:uid="{00000000-0005-0000-0000-0000AF020000}"/>
    <cellStyle name="Normal 122" xfId="959" xr:uid="{00000000-0005-0000-0000-0000B0020000}"/>
    <cellStyle name="Normal 122 2" xfId="960" xr:uid="{00000000-0005-0000-0000-0000B1020000}"/>
    <cellStyle name="Normal 123" xfId="961" xr:uid="{00000000-0005-0000-0000-0000B2020000}"/>
    <cellStyle name="Normal 123 2" xfId="962" xr:uid="{00000000-0005-0000-0000-0000B3020000}"/>
    <cellStyle name="Normal 124" xfId="963" xr:uid="{00000000-0005-0000-0000-0000B4020000}"/>
    <cellStyle name="Normal 124 2" xfId="964" xr:uid="{00000000-0005-0000-0000-0000B5020000}"/>
    <cellStyle name="Normal 125" xfId="965" xr:uid="{00000000-0005-0000-0000-0000B6020000}"/>
    <cellStyle name="Normal 125 2" xfId="966" xr:uid="{00000000-0005-0000-0000-0000B7020000}"/>
    <cellStyle name="Normal 126" xfId="967" xr:uid="{00000000-0005-0000-0000-0000B8020000}"/>
    <cellStyle name="Normal 126 2" xfId="968" xr:uid="{00000000-0005-0000-0000-0000B9020000}"/>
    <cellStyle name="Normal 127" xfId="969" xr:uid="{00000000-0005-0000-0000-0000BA020000}"/>
    <cellStyle name="Normal 127 2" xfId="970" xr:uid="{00000000-0005-0000-0000-0000BB020000}"/>
    <cellStyle name="Normal 128" xfId="971" xr:uid="{00000000-0005-0000-0000-0000BC020000}"/>
    <cellStyle name="Normal 128 2" xfId="972" xr:uid="{00000000-0005-0000-0000-0000BD020000}"/>
    <cellStyle name="Normal 129" xfId="973" xr:uid="{00000000-0005-0000-0000-0000BE020000}"/>
    <cellStyle name="Normal 129 2" xfId="974" xr:uid="{00000000-0005-0000-0000-0000BF020000}"/>
    <cellStyle name="Normal 13" xfId="344" xr:uid="{00000000-0005-0000-0000-0000C0020000}"/>
    <cellStyle name="Normal 13 2" xfId="975" xr:uid="{00000000-0005-0000-0000-0000C1020000}"/>
    <cellStyle name="Normal 130" xfId="976" xr:uid="{00000000-0005-0000-0000-0000C2020000}"/>
    <cellStyle name="Normal 130 2" xfId="977" xr:uid="{00000000-0005-0000-0000-0000C3020000}"/>
    <cellStyle name="Normal 131" xfId="978" xr:uid="{00000000-0005-0000-0000-0000C4020000}"/>
    <cellStyle name="Normal 131 2" xfId="979" xr:uid="{00000000-0005-0000-0000-0000C5020000}"/>
    <cellStyle name="Normal 132" xfId="980" xr:uid="{00000000-0005-0000-0000-0000C6020000}"/>
    <cellStyle name="Normal 132 2" xfId="981" xr:uid="{00000000-0005-0000-0000-0000C7020000}"/>
    <cellStyle name="Normal 133" xfId="982" xr:uid="{00000000-0005-0000-0000-0000C8020000}"/>
    <cellStyle name="Normal 133 2" xfId="983" xr:uid="{00000000-0005-0000-0000-0000C9020000}"/>
    <cellStyle name="Normal 134" xfId="984" xr:uid="{00000000-0005-0000-0000-0000CA020000}"/>
    <cellStyle name="Normal 134 2" xfId="985" xr:uid="{00000000-0005-0000-0000-0000CB020000}"/>
    <cellStyle name="Normal 135" xfId="986" xr:uid="{00000000-0005-0000-0000-0000CC020000}"/>
    <cellStyle name="Normal 135 2" xfId="987" xr:uid="{00000000-0005-0000-0000-0000CD020000}"/>
    <cellStyle name="Normal 136" xfId="988" xr:uid="{00000000-0005-0000-0000-0000CE020000}"/>
    <cellStyle name="Normal 136 2" xfId="989" xr:uid="{00000000-0005-0000-0000-0000CF020000}"/>
    <cellStyle name="Normal 137" xfId="990" xr:uid="{00000000-0005-0000-0000-0000D0020000}"/>
    <cellStyle name="Normal 137 2" xfId="991" xr:uid="{00000000-0005-0000-0000-0000D1020000}"/>
    <cellStyle name="Normal 138" xfId="992" xr:uid="{00000000-0005-0000-0000-0000D2020000}"/>
    <cellStyle name="Normal 138 2" xfId="993" xr:uid="{00000000-0005-0000-0000-0000D3020000}"/>
    <cellStyle name="Normal 139" xfId="994" xr:uid="{00000000-0005-0000-0000-0000D4020000}"/>
    <cellStyle name="Normal 139 2" xfId="995" xr:uid="{00000000-0005-0000-0000-0000D5020000}"/>
    <cellStyle name="Normal 14" xfId="346" xr:uid="{00000000-0005-0000-0000-0000D6020000}"/>
    <cellStyle name="Normal 14 2" xfId="996" xr:uid="{00000000-0005-0000-0000-0000D7020000}"/>
    <cellStyle name="Normal 14 3" xfId="997" xr:uid="{00000000-0005-0000-0000-0000D8020000}"/>
    <cellStyle name="Normal 140" xfId="998" xr:uid="{00000000-0005-0000-0000-0000D9020000}"/>
    <cellStyle name="Normal 140 2" xfId="999" xr:uid="{00000000-0005-0000-0000-0000DA020000}"/>
    <cellStyle name="Normal 141" xfId="1000" xr:uid="{00000000-0005-0000-0000-0000DB020000}"/>
    <cellStyle name="Normal 141 2" xfId="1001" xr:uid="{00000000-0005-0000-0000-0000DC020000}"/>
    <cellStyle name="Normal 142" xfId="1002" xr:uid="{00000000-0005-0000-0000-0000DD020000}"/>
    <cellStyle name="Normal 142 2" xfId="1003" xr:uid="{00000000-0005-0000-0000-0000DE020000}"/>
    <cellStyle name="Normal 143" xfId="1004" xr:uid="{00000000-0005-0000-0000-0000DF020000}"/>
    <cellStyle name="Normal 143 2" xfId="1005" xr:uid="{00000000-0005-0000-0000-0000E0020000}"/>
    <cellStyle name="Normal 144" xfId="1006" xr:uid="{00000000-0005-0000-0000-0000E1020000}"/>
    <cellStyle name="Normal 145" xfId="1007" xr:uid="{00000000-0005-0000-0000-0000E2020000}"/>
    <cellStyle name="Normal 146" xfId="1008" xr:uid="{00000000-0005-0000-0000-0000E3020000}"/>
    <cellStyle name="Normal 147" xfId="1009" xr:uid="{00000000-0005-0000-0000-0000E4020000}"/>
    <cellStyle name="Normal 148" xfId="1010" xr:uid="{00000000-0005-0000-0000-0000E5020000}"/>
    <cellStyle name="Normal 149" xfId="1011" xr:uid="{00000000-0005-0000-0000-0000E6020000}"/>
    <cellStyle name="Normal 15" xfId="348" xr:uid="{00000000-0005-0000-0000-0000E7020000}"/>
    <cellStyle name="Normal 15 2" xfId="1012" xr:uid="{00000000-0005-0000-0000-0000E8020000}"/>
    <cellStyle name="Normal 150" xfId="1013" xr:uid="{00000000-0005-0000-0000-0000E9020000}"/>
    <cellStyle name="Normal 151" xfId="1014" xr:uid="{00000000-0005-0000-0000-0000EA020000}"/>
    <cellStyle name="Normal 152" xfId="1015" xr:uid="{00000000-0005-0000-0000-0000EB020000}"/>
    <cellStyle name="Normal 153" xfId="1016" xr:uid="{00000000-0005-0000-0000-0000EC020000}"/>
    <cellStyle name="Normal 154" xfId="1017" xr:uid="{00000000-0005-0000-0000-0000ED020000}"/>
    <cellStyle name="Normal 155" xfId="1018" xr:uid="{00000000-0005-0000-0000-0000EE020000}"/>
    <cellStyle name="Normal 156" xfId="1019" xr:uid="{00000000-0005-0000-0000-0000EF020000}"/>
    <cellStyle name="Normal 157" xfId="1020" xr:uid="{00000000-0005-0000-0000-0000F0020000}"/>
    <cellStyle name="Normal 158" xfId="1021" xr:uid="{00000000-0005-0000-0000-0000F1020000}"/>
    <cellStyle name="Normal 159" xfId="1022" xr:uid="{00000000-0005-0000-0000-0000F2020000}"/>
    <cellStyle name="Normal 16" xfId="350" xr:uid="{00000000-0005-0000-0000-0000F3020000}"/>
    <cellStyle name="Normal 16 2" xfId="1023" xr:uid="{00000000-0005-0000-0000-0000F4020000}"/>
    <cellStyle name="Normal 16 3" xfId="1024" xr:uid="{00000000-0005-0000-0000-0000F5020000}"/>
    <cellStyle name="Normal 160" xfId="1025" xr:uid="{00000000-0005-0000-0000-0000F6020000}"/>
    <cellStyle name="Normal 161" xfId="1026" xr:uid="{00000000-0005-0000-0000-0000F7020000}"/>
    <cellStyle name="Normal 162" xfId="1027" xr:uid="{00000000-0005-0000-0000-0000F8020000}"/>
    <cellStyle name="Normal 163" xfId="1028" xr:uid="{00000000-0005-0000-0000-0000F9020000}"/>
    <cellStyle name="Normal 164" xfId="1029" xr:uid="{00000000-0005-0000-0000-0000FA020000}"/>
    <cellStyle name="Normal 165" xfId="1030" xr:uid="{00000000-0005-0000-0000-0000FB020000}"/>
    <cellStyle name="Normal 166" xfId="1031" xr:uid="{00000000-0005-0000-0000-0000FC020000}"/>
    <cellStyle name="Normal 167" xfId="1032" xr:uid="{00000000-0005-0000-0000-0000FD020000}"/>
    <cellStyle name="Normal 168" xfId="1033" xr:uid="{00000000-0005-0000-0000-0000FE020000}"/>
    <cellStyle name="Normal 169" xfId="1034" xr:uid="{00000000-0005-0000-0000-0000FF020000}"/>
    <cellStyle name="Normal 17" xfId="352" xr:uid="{00000000-0005-0000-0000-000000030000}"/>
    <cellStyle name="Normal 17 2" xfId="1035" xr:uid="{00000000-0005-0000-0000-000001030000}"/>
    <cellStyle name="Normal 17 3" xfId="1036" xr:uid="{00000000-0005-0000-0000-000002030000}"/>
    <cellStyle name="Normal 170" xfId="1037" xr:uid="{00000000-0005-0000-0000-000003030000}"/>
    <cellStyle name="Normal 171" xfId="1038" xr:uid="{00000000-0005-0000-0000-000004030000}"/>
    <cellStyle name="Normal 172" xfId="1039" xr:uid="{00000000-0005-0000-0000-000005030000}"/>
    <cellStyle name="Normal 173" xfId="1040" xr:uid="{00000000-0005-0000-0000-000006030000}"/>
    <cellStyle name="Normal 174" xfId="1041" xr:uid="{00000000-0005-0000-0000-000007030000}"/>
    <cellStyle name="Normal 175" xfId="1042" xr:uid="{00000000-0005-0000-0000-000008030000}"/>
    <cellStyle name="Normal 176" xfId="1043" xr:uid="{00000000-0005-0000-0000-000009030000}"/>
    <cellStyle name="Normal 177" xfId="1044" xr:uid="{00000000-0005-0000-0000-00000A030000}"/>
    <cellStyle name="Normal 178" xfId="1045" xr:uid="{00000000-0005-0000-0000-00000B030000}"/>
    <cellStyle name="Normal 179" xfId="1046" xr:uid="{00000000-0005-0000-0000-00000C030000}"/>
    <cellStyle name="Normal 18" xfId="358" xr:uid="{00000000-0005-0000-0000-00000D030000}"/>
    <cellStyle name="Normal 18 2" xfId="450" xr:uid="{00000000-0005-0000-0000-00000E030000}"/>
    <cellStyle name="Normal 18 2 2" xfId="487" xr:uid="{00000000-0005-0000-0000-00000F030000}"/>
    <cellStyle name="Normal 18 3" xfId="464" xr:uid="{00000000-0005-0000-0000-000010030000}"/>
    <cellStyle name="Normal 18 3 2" xfId="498" xr:uid="{00000000-0005-0000-0000-000011030000}"/>
    <cellStyle name="Normal 18 4" xfId="443" xr:uid="{00000000-0005-0000-0000-000012030000}"/>
    <cellStyle name="Normal 18 4 2" xfId="482" xr:uid="{00000000-0005-0000-0000-000013030000}"/>
    <cellStyle name="Normal 18 5" xfId="474" xr:uid="{00000000-0005-0000-0000-000014030000}"/>
    <cellStyle name="Normal 18 6" xfId="507" xr:uid="{00000000-0005-0000-0000-000015030000}"/>
    <cellStyle name="Normal 180" xfId="1047" xr:uid="{00000000-0005-0000-0000-000016030000}"/>
    <cellStyle name="Normal 181" xfId="1048" xr:uid="{00000000-0005-0000-0000-000017030000}"/>
    <cellStyle name="Normal 182" xfId="1049" xr:uid="{00000000-0005-0000-0000-000018030000}"/>
    <cellStyle name="Normal 183" xfId="1050" xr:uid="{00000000-0005-0000-0000-000019030000}"/>
    <cellStyle name="Normal 184" xfId="1051" xr:uid="{00000000-0005-0000-0000-00001A030000}"/>
    <cellStyle name="Normal 185" xfId="1052" xr:uid="{00000000-0005-0000-0000-00001B030000}"/>
    <cellStyle name="Normal 186" xfId="1053" xr:uid="{00000000-0005-0000-0000-00001C030000}"/>
    <cellStyle name="Normal 187" xfId="1054" xr:uid="{00000000-0005-0000-0000-00001D030000}"/>
    <cellStyle name="Normal 188" xfId="1055" xr:uid="{00000000-0005-0000-0000-00001E030000}"/>
    <cellStyle name="Normal 189" xfId="1056" xr:uid="{00000000-0005-0000-0000-00001F030000}"/>
    <cellStyle name="Normal 19" xfId="455" xr:uid="{00000000-0005-0000-0000-000020030000}"/>
    <cellStyle name="Normal 19 2" xfId="490" xr:uid="{00000000-0005-0000-0000-000021030000}"/>
    <cellStyle name="Normal 19 3" xfId="1057" xr:uid="{00000000-0005-0000-0000-000022030000}"/>
    <cellStyle name="Normal 19 3 2" xfId="1058" xr:uid="{00000000-0005-0000-0000-000023030000}"/>
    <cellStyle name="Normal 19 4" xfId="1059" xr:uid="{00000000-0005-0000-0000-000024030000}"/>
    <cellStyle name="Normal 19 4 2" xfId="1060" xr:uid="{00000000-0005-0000-0000-000025030000}"/>
    <cellStyle name="Normal 19 5" xfId="1061" xr:uid="{00000000-0005-0000-0000-000026030000}"/>
    <cellStyle name="Normal 190" xfId="1062" xr:uid="{00000000-0005-0000-0000-000027030000}"/>
    <cellStyle name="Normal 191" xfId="1063" xr:uid="{00000000-0005-0000-0000-000028030000}"/>
    <cellStyle name="Normal 192" xfId="1064" xr:uid="{00000000-0005-0000-0000-000029030000}"/>
    <cellStyle name="Normal 193" xfId="1065" xr:uid="{00000000-0005-0000-0000-00002A030000}"/>
    <cellStyle name="Normal 194" xfId="1066" xr:uid="{00000000-0005-0000-0000-00002B030000}"/>
    <cellStyle name="Normal 195" xfId="1067" xr:uid="{00000000-0005-0000-0000-00002C030000}"/>
    <cellStyle name="Normal 196" xfId="1068" xr:uid="{00000000-0005-0000-0000-00002D030000}"/>
    <cellStyle name="Normal 197" xfId="1069" xr:uid="{00000000-0005-0000-0000-00002E030000}"/>
    <cellStyle name="Normal 198" xfId="1070" xr:uid="{00000000-0005-0000-0000-00002F030000}"/>
    <cellStyle name="Normal 199" xfId="1071" xr:uid="{00000000-0005-0000-0000-000030030000}"/>
    <cellStyle name="Normal 2" xfId="3" xr:uid="{00000000-0005-0000-0000-000031030000}"/>
    <cellStyle name="Normal 2 2" xfId="359" xr:uid="{00000000-0005-0000-0000-000032030000}"/>
    <cellStyle name="Normal 2 2 10" xfId="1072" xr:uid="{00000000-0005-0000-0000-000033030000}"/>
    <cellStyle name="Normal 2 2 2" xfId="428" xr:uid="{00000000-0005-0000-0000-000034030000}"/>
    <cellStyle name="Normal 2 2 2 2" xfId="1073" xr:uid="{00000000-0005-0000-0000-000035030000}"/>
    <cellStyle name="Normal 2 2 2 2 2" xfId="1074" xr:uid="{00000000-0005-0000-0000-000036030000}"/>
    <cellStyle name="Normal 2 2 2 3" xfId="1075" xr:uid="{00000000-0005-0000-0000-000037030000}"/>
    <cellStyle name="Normal 2 2 2 3 2" xfId="1076" xr:uid="{00000000-0005-0000-0000-000038030000}"/>
    <cellStyle name="Normal 2 2 2 4" xfId="1077" xr:uid="{00000000-0005-0000-0000-000039030000}"/>
    <cellStyle name="Normal 2 2 2 4 2" xfId="1078" xr:uid="{00000000-0005-0000-0000-00003A030000}"/>
    <cellStyle name="Normal 2 2 3" xfId="1079" xr:uid="{00000000-0005-0000-0000-00003B030000}"/>
    <cellStyle name="Normal 2 2 3 2" xfId="1080" xr:uid="{00000000-0005-0000-0000-00003C030000}"/>
    <cellStyle name="Normal 2 2 3 2 2" xfId="1081" xr:uid="{00000000-0005-0000-0000-00003D030000}"/>
    <cellStyle name="Normal 2 2 3 2 2 2" xfId="1082" xr:uid="{00000000-0005-0000-0000-00003E030000}"/>
    <cellStyle name="Normal 2 2 3 3" xfId="1083" xr:uid="{00000000-0005-0000-0000-00003F030000}"/>
    <cellStyle name="Normal 2 2 3 3 2" xfId="1084" xr:uid="{00000000-0005-0000-0000-000040030000}"/>
    <cellStyle name="Normal 2 2 3 4" xfId="1085" xr:uid="{00000000-0005-0000-0000-000041030000}"/>
    <cellStyle name="Normal 2 2 3 4 2" xfId="1086" xr:uid="{00000000-0005-0000-0000-000042030000}"/>
    <cellStyle name="Normal 2 2 3 5" xfId="1087" xr:uid="{00000000-0005-0000-0000-000043030000}"/>
    <cellStyle name="Normal 2 2 4" xfId="1088" xr:uid="{00000000-0005-0000-0000-000044030000}"/>
    <cellStyle name="Normal 2 2 4 2" xfId="1089" xr:uid="{00000000-0005-0000-0000-000045030000}"/>
    <cellStyle name="Normal 2 2 4 2 2" xfId="1090" xr:uid="{00000000-0005-0000-0000-000046030000}"/>
    <cellStyle name="Normal 2 2 4 2 2 2" xfId="1091" xr:uid="{00000000-0005-0000-0000-000047030000}"/>
    <cellStyle name="Normal 2 2 4 2 3" xfId="1092" xr:uid="{00000000-0005-0000-0000-000048030000}"/>
    <cellStyle name="Normal 2 2 4 3" xfId="1093" xr:uid="{00000000-0005-0000-0000-000049030000}"/>
    <cellStyle name="Normal 2 2 4 3 2" xfId="1094" xr:uid="{00000000-0005-0000-0000-00004A030000}"/>
    <cellStyle name="Normal 2 2 4 4" xfId="1095" xr:uid="{00000000-0005-0000-0000-00004B030000}"/>
    <cellStyle name="Normal 2 2 4 4 2" xfId="1096" xr:uid="{00000000-0005-0000-0000-00004C030000}"/>
    <cellStyle name="Normal 2 2 5" xfId="1097" xr:uid="{00000000-0005-0000-0000-00004D030000}"/>
    <cellStyle name="Normal 2 2 5 2" xfId="1098" xr:uid="{00000000-0005-0000-0000-00004E030000}"/>
    <cellStyle name="Normal 2 2 5 2 2" xfId="1099" xr:uid="{00000000-0005-0000-0000-00004F030000}"/>
    <cellStyle name="Normal 2 2 5 3" xfId="1100" xr:uid="{00000000-0005-0000-0000-000050030000}"/>
    <cellStyle name="Normal 2 2 6" xfId="1101" xr:uid="{00000000-0005-0000-0000-000051030000}"/>
    <cellStyle name="Normal 2 2 6 2" xfId="1102" xr:uid="{00000000-0005-0000-0000-000052030000}"/>
    <cellStyle name="Normal 2 2 7" xfId="1103" xr:uid="{00000000-0005-0000-0000-000053030000}"/>
    <cellStyle name="Normal 2 2 7 2" xfId="1104" xr:uid="{00000000-0005-0000-0000-000054030000}"/>
    <cellStyle name="Normal 2 2 8" xfId="1105" xr:uid="{00000000-0005-0000-0000-000055030000}"/>
    <cellStyle name="Normal 2 2 9" xfId="1106" xr:uid="{00000000-0005-0000-0000-000056030000}"/>
    <cellStyle name="Normal 2 3" xfId="439" xr:uid="{00000000-0005-0000-0000-000057030000}"/>
    <cellStyle name="Normal 2 3 2" xfId="1107" xr:uid="{00000000-0005-0000-0000-000058030000}"/>
    <cellStyle name="Normal 2 3 2 2" xfId="1108" xr:uid="{00000000-0005-0000-0000-000059030000}"/>
    <cellStyle name="Normal 2 3 2 2 2" xfId="1109" xr:uid="{00000000-0005-0000-0000-00005A030000}"/>
    <cellStyle name="Normal 2 3 2 2 2 2" xfId="1110" xr:uid="{00000000-0005-0000-0000-00005B030000}"/>
    <cellStyle name="Normal 2 3 2 2 3" xfId="1111" xr:uid="{00000000-0005-0000-0000-00005C030000}"/>
    <cellStyle name="Normal 2 3 2 3" xfId="1112" xr:uid="{00000000-0005-0000-0000-00005D030000}"/>
    <cellStyle name="Normal 2 3 2 3 2" xfId="1113" xr:uid="{00000000-0005-0000-0000-00005E030000}"/>
    <cellStyle name="Normal 2 3 2 4" xfId="1114" xr:uid="{00000000-0005-0000-0000-00005F030000}"/>
    <cellStyle name="Normal 2 3 2 4 2" xfId="1115" xr:uid="{00000000-0005-0000-0000-000060030000}"/>
    <cellStyle name="Normal 2 3 26" xfId="1116" xr:uid="{00000000-0005-0000-0000-000061030000}"/>
    <cellStyle name="Normal 2 3 3" xfId="1117" xr:uid="{00000000-0005-0000-0000-000062030000}"/>
    <cellStyle name="Normal 2 3 3 2" xfId="1118" xr:uid="{00000000-0005-0000-0000-000063030000}"/>
    <cellStyle name="Normal 2 3 3 2 2" xfId="1119" xr:uid="{00000000-0005-0000-0000-000064030000}"/>
    <cellStyle name="Normal 2 3 3 3" xfId="1120" xr:uid="{00000000-0005-0000-0000-000065030000}"/>
    <cellStyle name="Normal 2 3 4" xfId="1121" xr:uid="{00000000-0005-0000-0000-000066030000}"/>
    <cellStyle name="Normal 2 3 4 2" xfId="1122" xr:uid="{00000000-0005-0000-0000-000067030000}"/>
    <cellStyle name="Normal 2 3 5" xfId="1123" xr:uid="{00000000-0005-0000-0000-000068030000}"/>
    <cellStyle name="Normal 2 3 5 2" xfId="1124" xr:uid="{00000000-0005-0000-0000-000069030000}"/>
    <cellStyle name="Normal 2 4" xfId="1125" xr:uid="{00000000-0005-0000-0000-00006A030000}"/>
    <cellStyle name="Normal 2 4 2" xfId="1126" xr:uid="{00000000-0005-0000-0000-00006B030000}"/>
    <cellStyle name="Normal 2 4 2 2" xfId="1127" xr:uid="{00000000-0005-0000-0000-00006C030000}"/>
    <cellStyle name="Normal 2 4 2 2 2" xfId="1128" xr:uid="{00000000-0005-0000-0000-00006D030000}"/>
    <cellStyle name="Normal 2 4 2 3" xfId="1129" xr:uid="{00000000-0005-0000-0000-00006E030000}"/>
    <cellStyle name="Normal 2 4 2 4" xfId="1130" xr:uid="{00000000-0005-0000-0000-00006F030000}"/>
    <cellStyle name="Normal 2 4 3" xfId="1131" xr:uid="{00000000-0005-0000-0000-000070030000}"/>
    <cellStyle name="Normal 2 4 3 2" xfId="1132" xr:uid="{00000000-0005-0000-0000-000071030000}"/>
    <cellStyle name="Normal 2 4 4" xfId="1133" xr:uid="{00000000-0005-0000-0000-000072030000}"/>
    <cellStyle name="Normal 2 4 4 2" xfId="1134" xr:uid="{00000000-0005-0000-0000-000073030000}"/>
    <cellStyle name="Normal 2 4 5" xfId="1135" xr:uid="{00000000-0005-0000-0000-000074030000}"/>
    <cellStyle name="Normal 2 4 6" xfId="1136" xr:uid="{00000000-0005-0000-0000-000075030000}"/>
    <cellStyle name="Normal 2 45" xfId="1137" xr:uid="{00000000-0005-0000-0000-000076030000}"/>
    <cellStyle name="Normal 2 5" xfId="1138" xr:uid="{00000000-0005-0000-0000-000077030000}"/>
    <cellStyle name="Normal 2 6" xfId="1139" xr:uid="{00000000-0005-0000-0000-000078030000}"/>
    <cellStyle name="Normal 2 6 2" xfId="1140" xr:uid="{00000000-0005-0000-0000-000079030000}"/>
    <cellStyle name="Normal 2 6 2 2" xfId="1141" xr:uid="{00000000-0005-0000-0000-00007A030000}"/>
    <cellStyle name="Normal 2 6 3" xfId="1142" xr:uid="{00000000-0005-0000-0000-00007B030000}"/>
    <cellStyle name="Normal 2 7" xfId="1143" xr:uid="{00000000-0005-0000-0000-00007C030000}"/>
    <cellStyle name="Normal 2 7 2" xfId="1144" xr:uid="{00000000-0005-0000-0000-00007D030000}"/>
    <cellStyle name="Normal 2 8" xfId="1145" xr:uid="{00000000-0005-0000-0000-00007E030000}"/>
    <cellStyle name="Normal 2 8 2" xfId="1146" xr:uid="{00000000-0005-0000-0000-00007F030000}"/>
    <cellStyle name="Normal 2_Duke - Allocations Disclosure 01.24.12" xfId="1147" xr:uid="{00000000-0005-0000-0000-000080030000}"/>
    <cellStyle name="Normal 20" xfId="456" xr:uid="{00000000-0005-0000-0000-000081030000}"/>
    <cellStyle name="Normal 20 2" xfId="491" xr:uid="{00000000-0005-0000-0000-000082030000}"/>
    <cellStyle name="Normal 200" xfId="1148" xr:uid="{00000000-0005-0000-0000-000083030000}"/>
    <cellStyle name="Normal 201" xfId="1149" xr:uid="{00000000-0005-0000-0000-000084030000}"/>
    <cellStyle name="Normal 202" xfId="1150" xr:uid="{00000000-0005-0000-0000-000085030000}"/>
    <cellStyle name="Normal 203" xfId="1151" xr:uid="{00000000-0005-0000-0000-000086030000}"/>
    <cellStyle name="Normal 204" xfId="1152" xr:uid="{00000000-0005-0000-0000-000087030000}"/>
    <cellStyle name="Normal 205" xfId="1153" xr:uid="{00000000-0005-0000-0000-000088030000}"/>
    <cellStyle name="Normal 206" xfId="1154" xr:uid="{00000000-0005-0000-0000-000089030000}"/>
    <cellStyle name="Normal 207" xfId="1155" xr:uid="{00000000-0005-0000-0000-00008A030000}"/>
    <cellStyle name="Normal 208" xfId="1156" xr:uid="{00000000-0005-0000-0000-00008B030000}"/>
    <cellStyle name="Normal 209" xfId="1157" xr:uid="{00000000-0005-0000-0000-00008C030000}"/>
    <cellStyle name="Normal 21" xfId="453" xr:uid="{00000000-0005-0000-0000-00008D030000}"/>
    <cellStyle name="Normal 21 2" xfId="489" xr:uid="{00000000-0005-0000-0000-00008E030000}"/>
    <cellStyle name="Normal 21 3" xfId="1158" xr:uid="{00000000-0005-0000-0000-00008F030000}"/>
    <cellStyle name="Normal 210" xfId="1159" xr:uid="{00000000-0005-0000-0000-000090030000}"/>
    <cellStyle name="Normal 211" xfId="1160" xr:uid="{00000000-0005-0000-0000-000091030000}"/>
    <cellStyle name="Normal 212" xfId="1161" xr:uid="{00000000-0005-0000-0000-000092030000}"/>
    <cellStyle name="Normal 213" xfId="1162" xr:uid="{00000000-0005-0000-0000-000093030000}"/>
    <cellStyle name="Normal 214" xfId="1163" xr:uid="{00000000-0005-0000-0000-000094030000}"/>
    <cellStyle name="Normal 215" xfId="1164" xr:uid="{00000000-0005-0000-0000-000095030000}"/>
    <cellStyle name="Normal 216" xfId="1165" xr:uid="{00000000-0005-0000-0000-000096030000}"/>
    <cellStyle name="Normal 217" xfId="1166" xr:uid="{00000000-0005-0000-0000-000097030000}"/>
    <cellStyle name="Normal 218" xfId="1167" xr:uid="{00000000-0005-0000-0000-000098030000}"/>
    <cellStyle name="Normal 219" xfId="1168" xr:uid="{00000000-0005-0000-0000-000099030000}"/>
    <cellStyle name="Normal 22" xfId="552" xr:uid="{00000000-0005-0000-0000-00009A030000}"/>
    <cellStyle name="Normal 22 2" xfId="1169" xr:uid="{00000000-0005-0000-0000-00009B030000}"/>
    <cellStyle name="Normal 22 3" xfId="1170" xr:uid="{00000000-0005-0000-0000-00009C030000}"/>
    <cellStyle name="Normal 22 4" xfId="1171" xr:uid="{00000000-0005-0000-0000-00009D030000}"/>
    <cellStyle name="Normal 220" xfId="1172" xr:uid="{00000000-0005-0000-0000-00009E030000}"/>
    <cellStyle name="Normal 221" xfId="1173" xr:uid="{00000000-0005-0000-0000-00009F030000}"/>
    <cellStyle name="Normal 222" xfId="1174" xr:uid="{00000000-0005-0000-0000-0000A0030000}"/>
    <cellStyle name="Normal 223" xfId="1175" xr:uid="{00000000-0005-0000-0000-0000A1030000}"/>
    <cellStyle name="Normal 224" xfId="1176" xr:uid="{00000000-0005-0000-0000-0000A2030000}"/>
    <cellStyle name="Normal 225" xfId="1177" xr:uid="{00000000-0005-0000-0000-0000A3030000}"/>
    <cellStyle name="Normal 226" xfId="1178" xr:uid="{00000000-0005-0000-0000-0000A4030000}"/>
    <cellStyle name="Normal 227" xfId="1179" xr:uid="{00000000-0005-0000-0000-0000A5030000}"/>
    <cellStyle name="Normal 228" xfId="1180" xr:uid="{00000000-0005-0000-0000-0000A6030000}"/>
    <cellStyle name="Normal 229" xfId="1181" xr:uid="{00000000-0005-0000-0000-0000A7030000}"/>
    <cellStyle name="Normal 23" xfId="555" xr:uid="{00000000-0005-0000-0000-0000A8030000}"/>
    <cellStyle name="Normal 23 2" xfId="1182" xr:uid="{00000000-0005-0000-0000-0000A9030000}"/>
    <cellStyle name="Normal 230" xfId="1183" xr:uid="{00000000-0005-0000-0000-0000AA030000}"/>
    <cellStyle name="Normal 231" xfId="1184" xr:uid="{00000000-0005-0000-0000-0000AB030000}"/>
    <cellStyle name="Normal 232" xfId="1185" xr:uid="{00000000-0005-0000-0000-0000AC030000}"/>
    <cellStyle name="Normal 233" xfId="1186" xr:uid="{00000000-0005-0000-0000-0000AD030000}"/>
    <cellStyle name="Normal 234" xfId="1187" xr:uid="{00000000-0005-0000-0000-0000AE030000}"/>
    <cellStyle name="Normal 235" xfId="1188" xr:uid="{00000000-0005-0000-0000-0000AF030000}"/>
    <cellStyle name="Normal 236" xfId="1189" xr:uid="{00000000-0005-0000-0000-0000B0030000}"/>
    <cellStyle name="Normal 237" xfId="1190" xr:uid="{00000000-0005-0000-0000-0000B1030000}"/>
    <cellStyle name="Normal 238" xfId="1191" xr:uid="{00000000-0005-0000-0000-0000B2030000}"/>
    <cellStyle name="Normal 239" xfId="1192" xr:uid="{00000000-0005-0000-0000-0000B3030000}"/>
    <cellStyle name="Normal 24" xfId="557" xr:uid="{00000000-0005-0000-0000-0000B4030000}"/>
    <cellStyle name="Normal 24 2" xfId="1193" xr:uid="{00000000-0005-0000-0000-0000B5030000}"/>
    <cellStyle name="Normal 240" xfId="1194" xr:uid="{00000000-0005-0000-0000-0000B6030000}"/>
    <cellStyle name="Normal 241" xfId="1195" xr:uid="{00000000-0005-0000-0000-0000B7030000}"/>
    <cellStyle name="Normal 242" xfId="1196" xr:uid="{00000000-0005-0000-0000-0000B8030000}"/>
    <cellStyle name="Normal 243" xfId="1197" xr:uid="{00000000-0005-0000-0000-0000B9030000}"/>
    <cellStyle name="Normal 244" xfId="1198" xr:uid="{00000000-0005-0000-0000-0000BA030000}"/>
    <cellStyle name="Normal 245" xfId="1199" xr:uid="{00000000-0005-0000-0000-0000BB030000}"/>
    <cellStyle name="Normal 246" xfId="1200" xr:uid="{00000000-0005-0000-0000-0000BC030000}"/>
    <cellStyle name="Normal 247" xfId="1201" xr:uid="{00000000-0005-0000-0000-0000BD030000}"/>
    <cellStyle name="Normal 248" xfId="1202" xr:uid="{00000000-0005-0000-0000-0000BE030000}"/>
    <cellStyle name="Normal 249" xfId="1203" xr:uid="{00000000-0005-0000-0000-0000BF030000}"/>
    <cellStyle name="Normal 25" xfId="554" xr:uid="{00000000-0005-0000-0000-0000C0030000}"/>
    <cellStyle name="Normal 25 2" xfId="1204" xr:uid="{00000000-0005-0000-0000-0000C1030000}"/>
    <cellStyle name="Normal 250" xfId="1205" xr:uid="{00000000-0005-0000-0000-0000C2030000}"/>
    <cellStyle name="Normal 251" xfId="1206" xr:uid="{00000000-0005-0000-0000-0000C3030000}"/>
    <cellStyle name="Normal 252" xfId="1207" xr:uid="{00000000-0005-0000-0000-0000C4030000}"/>
    <cellStyle name="Normal 253" xfId="1208" xr:uid="{00000000-0005-0000-0000-0000C5030000}"/>
    <cellStyle name="Normal 254" xfId="1209" xr:uid="{00000000-0005-0000-0000-0000C6030000}"/>
    <cellStyle name="Normal 255" xfId="1210" xr:uid="{00000000-0005-0000-0000-0000C7030000}"/>
    <cellStyle name="Normal 256" xfId="1211" xr:uid="{00000000-0005-0000-0000-0000C8030000}"/>
    <cellStyle name="Normal 257" xfId="1212" xr:uid="{00000000-0005-0000-0000-0000C9030000}"/>
    <cellStyle name="Normal 258" xfId="1213" xr:uid="{00000000-0005-0000-0000-0000CA030000}"/>
    <cellStyle name="Normal 259" xfId="1214" xr:uid="{00000000-0005-0000-0000-0000CB030000}"/>
    <cellStyle name="Normal 26" xfId="559" xr:uid="{00000000-0005-0000-0000-0000CC030000}"/>
    <cellStyle name="Normal 26 2" xfId="1215" xr:uid="{00000000-0005-0000-0000-0000CD030000}"/>
    <cellStyle name="Normal 260" xfId="1216" xr:uid="{00000000-0005-0000-0000-0000CE030000}"/>
    <cellStyle name="Normal 261" xfId="1217" xr:uid="{00000000-0005-0000-0000-0000CF030000}"/>
    <cellStyle name="Normal 262" xfId="1218" xr:uid="{00000000-0005-0000-0000-0000D0030000}"/>
    <cellStyle name="Normal 263" xfId="1219" xr:uid="{00000000-0005-0000-0000-0000D1030000}"/>
    <cellStyle name="Normal 264" xfId="1220" xr:uid="{00000000-0005-0000-0000-0000D2030000}"/>
    <cellStyle name="Normal 265" xfId="1221" xr:uid="{00000000-0005-0000-0000-0000D3030000}"/>
    <cellStyle name="Normal 266" xfId="1222" xr:uid="{00000000-0005-0000-0000-0000D4030000}"/>
    <cellStyle name="Normal 267" xfId="1223" xr:uid="{00000000-0005-0000-0000-0000D5030000}"/>
    <cellStyle name="Normal 268" xfId="1224" xr:uid="{00000000-0005-0000-0000-0000D6030000}"/>
    <cellStyle name="Normal 269" xfId="1623" xr:uid="{00000000-0005-0000-0000-0000D7030000}"/>
    <cellStyle name="Normal 27" xfId="560" xr:uid="{00000000-0005-0000-0000-0000D8030000}"/>
    <cellStyle name="Normal 27 2" xfId="1225" xr:uid="{00000000-0005-0000-0000-0000D9030000}"/>
    <cellStyle name="Normal 28" xfId="563" xr:uid="{00000000-0005-0000-0000-0000DA030000}"/>
    <cellStyle name="Normal 28 2" xfId="1226" xr:uid="{00000000-0005-0000-0000-0000DB030000}"/>
    <cellStyle name="Normal 29" xfId="561" xr:uid="{00000000-0005-0000-0000-0000DC030000}"/>
    <cellStyle name="Normal 29 2" xfId="1227" xr:uid="{00000000-0005-0000-0000-0000DD030000}"/>
    <cellStyle name="Normal 3" xfId="4" xr:uid="{00000000-0005-0000-0000-0000DE030000}"/>
    <cellStyle name="Normal 3 2" xfId="177" xr:uid="{00000000-0005-0000-0000-0000DF030000}"/>
    <cellStyle name="Normal 3 3" xfId="1228" xr:uid="{00000000-0005-0000-0000-0000E0030000}"/>
    <cellStyle name="Normal 3_ITC-Great Plains Heintz 6-24-08a" xfId="178" xr:uid="{00000000-0005-0000-0000-0000E1030000}"/>
    <cellStyle name="Normal 30" xfId="562" xr:uid="{00000000-0005-0000-0000-0000E2030000}"/>
    <cellStyle name="Normal 30 2" xfId="1229" xr:uid="{00000000-0005-0000-0000-0000E3030000}"/>
    <cellStyle name="Normal 31" xfId="558" xr:uid="{00000000-0005-0000-0000-0000E4030000}"/>
    <cellStyle name="Normal 31 2" xfId="1230" xr:uid="{00000000-0005-0000-0000-0000E5030000}"/>
    <cellStyle name="Normal 32" xfId="553" xr:uid="{00000000-0005-0000-0000-0000E6030000}"/>
    <cellStyle name="Normal 32 2" xfId="1231" xr:uid="{00000000-0005-0000-0000-0000E7030000}"/>
    <cellStyle name="Normal 33" xfId="575" xr:uid="{00000000-0005-0000-0000-0000E8030000}"/>
    <cellStyle name="Normal 33 2" xfId="1232" xr:uid="{00000000-0005-0000-0000-0000E9030000}"/>
    <cellStyle name="Normal 34" xfId="576" xr:uid="{00000000-0005-0000-0000-0000EA030000}"/>
    <cellStyle name="Normal 34 2" xfId="1233" xr:uid="{00000000-0005-0000-0000-0000EB030000}"/>
    <cellStyle name="Normal 34 2 2" xfId="1234" xr:uid="{00000000-0005-0000-0000-0000EC030000}"/>
    <cellStyle name="Normal 34 2 2 2" xfId="1235" xr:uid="{00000000-0005-0000-0000-0000ED030000}"/>
    <cellStyle name="Normal 34 2 3" xfId="1236" xr:uid="{00000000-0005-0000-0000-0000EE030000}"/>
    <cellStyle name="Normal 34 3" xfId="1237" xr:uid="{00000000-0005-0000-0000-0000EF030000}"/>
    <cellStyle name="Normal 34 3 2" xfId="1238" xr:uid="{00000000-0005-0000-0000-0000F0030000}"/>
    <cellStyle name="Normal 34 4" xfId="1239" xr:uid="{00000000-0005-0000-0000-0000F1030000}"/>
    <cellStyle name="Normal 35" xfId="1240" xr:uid="{00000000-0005-0000-0000-0000F2030000}"/>
    <cellStyle name="Normal 35 2" xfId="1241" xr:uid="{00000000-0005-0000-0000-0000F3030000}"/>
    <cellStyle name="Normal 36" xfId="1242" xr:uid="{00000000-0005-0000-0000-0000F4030000}"/>
    <cellStyle name="Normal 36 2" xfId="1243" xr:uid="{00000000-0005-0000-0000-0000F5030000}"/>
    <cellStyle name="Normal 37" xfId="1244" xr:uid="{00000000-0005-0000-0000-0000F6030000}"/>
    <cellStyle name="Normal 37 2" xfId="1245" xr:uid="{00000000-0005-0000-0000-0000F7030000}"/>
    <cellStyle name="Normal 38" xfId="1246" xr:uid="{00000000-0005-0000-0000-0000F8030000}"/>
    <cellStyle name="Normal 38 2" xfId="1247" xr:uid="{00000000-0005-0000-0000-0000F9030000}"/>
    <cellStyle name="Normal 39" xfId="1248" xr:uid="{00000000-0005-0000-0000-0000FA030000}"/>
    <cellStyle name="Normal 39 2" xfId="1249" xr:uid="{00000000-0005-0000-0000-0000FB030000}"/>
    <cellStyle name="Normal 4" xfId="179" xr:uid="{00000000-0005-0000-0000-0000FC030000}"/>
    <cellStyle name="Normal 4 2" xfId="180" xr:uid="{00000000-0005-0000-0000-0000FD030000}"/>
    <cellStyle name="Normal 4 2 2" xfId="433" xr:uid="{00000000-0005-0000-0000-0000FE030000}"/>
    <cellStyle name="Normal 4 3" xfId="1250" xr:uid="{00000000-0005-0000-0000-0000FF030000}"/>
    <cellStyle name="Normal 4 4" xfId="1251" xr:uid="{00000000-0005-0000-0000-000000040000}"/>
    <cellStyle name="Normal 4_ITC-Great Plains Heintz 6-24-08a" xfId="181" xr:uid="{00000000-0005-0000-0000-000001040000}"/>
    <cellStyle name="Normal 40" xfId="1252" xr:uid="{00000000-0005-0000-0000-000002040000}"/>
    <cellStyle name="Normal 40 2" xfId="1253" xr:uid="{00000000-0005-0000-0000-000003040000}"/>
    <cellStyle name="Normal 41" xfId="1254" xr:uid="{00000000-0005-0000-0000-000004040000}"/>
    <cellStyle name="Normal 42" xfId="1255" xr:uid="{00000000-0005-0000-0000-000005040000}"/>
    <cellStyle name="Normal 42 2" xfId="1256" xr:uid="{00000000-0005-0000-0000-000006040000}"/>
    <cellStyle name="Normal 42 2 2" xfId="1257" xr:uid="{00000000-0005-0000-0000-000007040000}"/>
    <cellStyle name="Normal 42 2 2 2" xfId="1258" xr:uid="{00000000-0005-0000-0000-000008040000}"/>
    <cellStyle name="Normal 42 2 3" xfId="1259" xr:uid="{00000000-0005-0000-0000-000009040000}"/>
    <cellStyle name="Normal 42 3" xfId="1260" xr:uid="{00000000-0005-0000-0000-00000A040000}"/>
    <cellStyle name="Normal 42 3 2" xfId="1261" xr:uid="{00000000-0005-0000-0000-00000B040000}"/>
    <cellStyle name="Normal 42 4" xfId="1262" xr:uid="{00000000-0005-0000-0000-00000C040000}"/>
    <cellStyle name="Normal 43" xfId="1263" xr:uid="{00000000-0005-0000-0000-00000D040000}"/>
    <cellStyle name="Normal 43 2" xfId="1264" xr:uid="{00000000-0005-0000-0000-00000E040000}"/>
    <cellStyle name="Normal 43 2 2" xfId="1265" xr:uid="{00000000-0005-0000-0000-00000F040000}"/>
    <cellStyle name="Normal 43 2 2 2" xfId="1266" xr:uid="{00000000-0005-0000-0000-000010040000}"/>
    <cellStyle name="Normal 43 2 3" xfId="1267" xr:uid="{00000000-0005-0000-0000-000011040000}"/>
    <cellStyle name="Normal 43 3" xfId="1268" xr:uid="{00000000-0005-0000-0000-000012040000}"/>
    <cellStyle name="Normal 43 3 2" xfId="1269" xr:uid="{00000000-0005-0000-0000-000013040000}"/>
    <cellStyle name="Normal 43 4" xfId="1270" xr:uid="{00000000-0005-0000-0000-000014040000}"/>
    <cellStyle name="Normal 44" xfId="1271" xr:uid="{00000000-0005-0000-0000-000015040000}"/>
    <cellStyle name="Normal 44 2" xfId="1272" xr:uid="{00000000-0005-0000-0000-000016040000}"/>
    <cellStyle name="Normal 44 2 2" xfId="1273" xr:uid="{00000000-0005-0000-0000-000017040000}"/>
    <cellStyle name="Normal 44 2 2 2" xfId="1274" xr:uid="{00000000-0005-0000-0000-000018040000}"/>
    <cellStyle name="Normal 44 2 3" xfId="1275" xr:uid="{00000000-0005-0000-0000-000019040000}"/>
    <cellStyle name="Normal 44 3" xfId="1276" xr:uid="{00000000-0005-0000-0000-00001A040000}"/>
    <cellStyle name="Normal 44 3 2" xfId="1277" xr:uid="{00000000-0005-0000-0000-00001B040000}"/>
    <cellStyle name="Normal 44 4" xfId="1278" xr:uid="{00000000-0005-0000-0000-00001C040000}"/>
    <cellStyle name="Normal 45" xfId="1279" xr:uid="{00000000-0005-0000-0000-00001D040000}"/>
    <cellStyle name="Normal 45 2" xfId="1280" xr:uid="{00000000-0005-0000-0000-00001E040000}"/>
    <cellStyle name="Normal 45 2 2" xfId="1281" xr:uid="{00000000-0005-0000-0000-00001F040000}"/>
    <cellStyle name="Normal 45 2 2 2" xfId="1282" xr:uid="{00000000-0005-0000-0000-000020040000}"/>
    <cellStyle name="Normal 45 2 3" xfId="1283" xr:uid="{00000000-0005-0000-0000-000021040000}"/>
    <cellStyle name="Normal 45 3" xfId="1284" xr:uid="{00000000-0005-0000-0000-000022040000}"/>
    <cellStyle name="Normal 45 3 2" xfId="1285" xr:uid="{00000000-0005-0000-0000-000023040000}"/>
    <cellStyle name="Normal 45 4" xfId="1286" xr:uid="{00000000-0005-0000-0000-000024040000}"/>
    <cellStyle name="Normal 46" xfId="1287" xr:uid="{00000000-0005-0000-0000-000025040000}"/>
    <cellStyle name="Normal 46 2" xfId="1288" xr:uid="{00000000-0005-0000-0000-000026040000}"/>
    <cellStyle name="Normal 46 2 2" xfId="1289" xr:uid="{00000000-0005-0000-0000-000027040000}"/>
    <cellStyle name="Normal 46 2 2 2" xfId="1290" xr:uid="{00000000-0005-0000-0000-000028040000}"/>
    <cellStyle name="Normal 46 2 3" xfId="1291" xr:uid="{00000000-0005-0000-0000-000029040000}"/>
    <cellStyle name="Normal 46 3" xfId="1292" xr:uid="{00000000-0005-0000-0000-00002A040000}"/>
    <cellStyle name="Normal 46 3 2" xfId="1293" xr:uid="{00000000-0005-0000-0000-00002B040000}"/>
    <cellStyle name="Normal 46 4" xfId="1294" xr:uid="{00000000-0005-0000-0000-00002C040000}"/>
    <cellStyle name="Normal 47" xfId="1295" xr:uid="{00000000-0005-0000-0000-00002D040000}"/>
    <cellStyle name="Normal 47 2" xfId="1296" xr:uid="{00000000-0005-0000-0000-00002E040000}"/>
    <cellStyle name="Normal 47 2 2" xfId="1297" xr:uid="{00000000-0005-0000-0000-00002F040000}"/>
    <cellStyle name="Normal 47 2 2 2" xfId="1298" xr:uid="{00000000-0005-0000-0000-000030040000}"/>
    <cellStyle name="Normal 47 2 3" xfId="1299" xr:uid="{00000000-0005-0000-0000-000031040000}"/>
    <cellStyle name="Normal 47 3" xfId="1300" xr:uid="{00000000-0005-0000-0000-000032040000}"/>
    <cellStyle name="Normal 47 3 2" xfId="1301" xr:uid="{00000000-0005-0000-0000-000033040000}"/>
    <cellStyle name="Normal 47 4" xfId="1302" xr:uid="{00000000-0005-0000-0000-000034040000}"/>
    <cellStyle name="Normal 48" xfId="1303" xr:uid="{00000000-0005-0000-0000-000035040000}"/>
    <cellStyle name="Normal 48 2" xfId="1304" xr:uid="{00000000-0005-0000-0000-000036040000}"/>
    <cellStyle name="Normal 48 2 2" xfId="1305" xr:uid="{00000000-0005-0000-0000-000037040000}"/>
    <cellStyle name="Normal 48 2 2 2" xfId="1306" xr:uid="{00000000-0005-0000-0000-000038040000}"/>
    <cellStyle name="Normal 48 2 3" xfId="1307" xr:uid="{00000000-0005-0000-0000-000039040000}"/>
    <cellStyle name="Normal 48 3" xfId="1308" xr:uid="{00000000-0005-0000-0000-00003A040000}"/>
    <cellStyle name="Normal 48 3 2" xfId="1309" xr:uid="{00000000-0005-0000-0000-00003B040000}"/>
    <cellStyle name="Normal 48 4" xfId="1310" xr:uid="{00000000-0005-0000-0000-00003C040000}"/>
    <cellStyle name="Normal 49" xfId="1311" xr:uid="{00000000-0005-0000-0000-00003D040000}"/>
    <cellStyle name="Normal 49 2" xfId="1312" xr:uid="{00000000-0005-0000-0000-00003E040000}"/>
    <cellStyle name="Normal 5" xfId="182" xr:uid="{00000000-0005-0000-0000-00003F040000}"/>
    <cellStyle name="Normal 5 2" xfId="1313" xr:uid="{00000000-0005-0000-0000-000040040000}"/>
    <cellStyle name="Normal 5 2 2" xfId="1314" xr:uid="{00000000-0005-0000-0000-000041040000}"/>
    <cellStyle name="Normal 5 2 2 2" xfId="1315" xr:uid="{00000000-0005-0000-0000-000042040000}"/>
    <cellStyle name="Normal 5 2 3" xfId="1316" xr:uid="{00000000-0005-0000-0000-000043040000}"/>
    <cellStyle name="Normal 5 3" xfId="1317" xr:uid="{00000000-0005-0000-0000-000044040000}"/>
    <cellStyle name="Normal 5 3 2" xfId="1318" xr:uid="{00000000-0005-0000-0000-000045040000}"/>
    <cellStyle name="Normal 5 4" xfId="1319" xr:uid="{00000000-0005-0000-0000-000046040000}"/>
    <cellStyle name="Normal 5 4 2" xfId="1320" xr:uid="{00000000-0005-0000-0000-000047040000}"/>
    <cellStyle name="Normal 5 5" xfId="1321" xr:uid="{00000000-0005-0000-0000-000048040000}"/>
    <cellStyle name="Normal 5 5 2" xfId="1322" xr:uid="{00000000-0005-0000-0000-000049040000}"/>
    <cellStyle name="Normal 50" xfId="1323" xr:uid="{00000000-0005-0000-0000-00004A040000}"/>
    <cellStyle name="Normal 50 2" xfId="1324" xr:uid="{00000000-0005-0000-0000-00004B040000}"/>
    <cellStyle name="Normal 50 2 2" xfId="1325" xr:uid="{00000000-0005-0000-0000-00004C040000}"/>
    <cellStyle name="Normal 50 2 2 2" xfId="1326" xr:uid="{00000000-0005-0000-0000-00004D040000}"/>
    <cellStyle name="Normal 50 2 3" xfId="1327" xr:uid="{00000000-0005-0000-0000-00004E040000}"/>
    <cellStyle name="Normal 50 3" xfId="1328" xr:uid="{00000000-0005-0000-0000-00004F040000}"/>
    <cellStyle name="Normal 50 3 2" xfId="1329" xr:uid="{00000000-0005-0000-0000-000050040000}"/>
    <cellStyle name="Normal 50 4" xfId="1330" xr:uid="{00000000-0005-0000-0000-000051040000}"/>
    <cellStyle name="Normal 51" xfId="1331" xr:uid="{00000000-0005-0000-0000-000052040000}"/>
    <cellStyle name="Normal 51 2" xfId="1332" xr:uid="{00000000-0005-0000-0000-000053040000}"/>
    <cellStyle name="Normal 51 2 2" xfId="1333" xr:uid="{00000000-0005-0000-0000-000054040000}"/>
    <cellStyle name="Normal 51 2 2 2" xfId="1334" xr:uid="{00000000-0005-0000-0000-000055040000}"/>
    <cellStyle name="Normal 51 2 3" xfId="1335" xr:uid="{00000000-0005-0000-0000-000056040000}"/>
    <cellStyle name="Normal 51 3" xfId="1336" xr:uid="{00000000-0005-0000-0000-000057040000}"/>
    <cellStyle name="Normal 51 3 2" xfId="1337" xr:uid="{00000000-0005-0000-0000-000058040000}"/>
    <cellStyle name="Normal 51 4" xfId="1338" xr:uid="{00000000-0005-0000-0000-000059040000}"/>
    <cellStyle name="Normal 52" xfId="1339" xr:uid="{00000000-0005-0000-0000-00005A040000}"/>
    <cellStyle name="Normal 52 2" xfId="1340" xr:uid="{00000000-0005-0000-0000-00005B040000}"/>
    <cellStyle name="Normal 52 2 2" xfId="1341" xr:uid="{00000000-0005-0000-0000-00005C040000}"/>
    <cellStyle name="Normal 52 2 2 2" xfId="1342" xr:uid="{00000000-0005-0000-0000-00005D040000}"/>
    <cellStyle name="Normal 52 2 3" xfId="1343" xr:uid="{00000000-0005-0000-0000-00005E040000}"/>
    <cellStyle name="Normal 52 3" xfId="1344" xr:uid="{00000000-0005-0000-0000-00005F040000}"/>
    <cellStyle name="Normal 52 3 2" xfId="1345" xr:uid="{00000000-0005-0000-0000-000060040000}"/>
    <cellStyle name="Normal 52 4" xfId="1346" xr:uid="{00000000-0005-0000-0000-000061040000}"/>
    <cellStyle name="Normal 53" xfId="1347" xr:uid="{00000000-0005-0000-0000-000062040000}"/>
    <cellStyle name="Normal 53 2" xfId="1348" xr:uid="{00000000-0005-0000-0000-000063040000}"/>
    <cellStyle name="Normal 53 2 2" xfId="1349" xr:uid="{00000000-0005-0000-0000-000064040000}"/>
    <cellStyle name="Normal 53 2 2 2" xfId="1350" xr:uid="{00000000-0005-0000-0000-000065040000}"/>
    <cellStyle name="Normal 53 2 3" xfId="1351" xr:uid="{00000000-0005-0000-0000-000066040000}"/>
    <cellStyle name="Normal 53 3" xfId="1352" xr:uid="{00000000-0005-0000-0000-000067040000}"/>
    <cellStyle name="Normal 53 3 2" xfId="1353" xr:uid="{00000000-0005-0000-0000-000068040000}"/>
    <cellStyle name="Normal 53 4" xfId="1354" xr:uid="{00000000-0005-0000-0000-000069040000}"/>
    <cellStyle name="Normal 54" xfId="1355" xr:uid="{00000000-0005-0000-0000-00006A040000}"/>
    <cellStyle name="Normal 54 2" xfId="1356" xr:uid="{00000000-0005-0000-0000-00006B040000}"/>
    <cellStyle name="Normal 54 2 2" xfId="1357" xr:uid="{00000000-0005-0000-0000-00006C040000}"/>
    <cellStyle name="Normal 54 2 2 2" xfId="1358" xr:uid="{00000000-0005-0000-0000-00006D040000}"/>
    <cellStyle name="Normal 54 2 3" xfId="1359" xr:uid="{00000000-0005-0000-0000-00006E040000}"/>
    <cellStyle name="Normal 54 3" xfId="1360" xr:uid="{00000000-0005-0000-0000-00006F040000}"/>
    <cellStyle name="Normal 54 3 2" xfId="1361" xr:uid="{00000000-0005-0000-0000-000070040000}"/>
    <cellStyle name="Normal 54 4" xfId="1362" xr:uid="{00000000-0005-0000-0000-000071040000}"/>
    <cellStyle name="Normal 55" xfId="1363" xr:uid="{00000000-0005-0000-0000-000072040000}"/>
    <cellStyle name="Normal 55 2" xfId="1364" xr:uid="{00000000-0005-0000-0000-000073040000}"/>
    <cellStyle name="Normal 55 2 2" xfId="1365" xr:uid="{00000000-0005-0000-0000-000074040000}"/>
    <cellStyle name="Normal 55 2 2 2" xfId="1366" xr:uid="{00000000-0005-0000-0000-000075040000}"/>
    <cellStyle name="Normal 55 2 3" xfId="1367" xr:uid="{00000000-0005-0000-0000-000076040000}"/>
    <cellStyle name="Normal 55 3" xfId="1368" xr:uid="{00000000-0005-0000-0000-000077040000}"/>
    <cellStyle name="Normal 55 3 2" xfId="1369" xr:uid="{00000000-0005-0000-0000-000078040000}"/>
    <cellStyle name="Normal 55 4" xfId="1370" xr:uid="{00000000-0005-0000-0000-000079040000}"/>
    <cellStyle name="Normal 56" xfId="1371" xr:uid="{00000000-0005-0000-0000-00007A040000}"/>
    <cellStyle name="Normal 56 2" xfId="1372" xr:uid="{00000000-0005-0000-0000-00007B040000}"/>
    <cellStyle name="Normal 56 2 2" xfId="1373" xr:uid="{00000000-0005-0000-0000-00007C040000}"/>
    <cellStyle name="Normal 56 2 2 2" xfId="1374" xr:uid="{00000000-0005-0000-0000-00007D040000}"/>
    <cellStyle name="Normal 56 2 3" xfId="1375" xr:uid="{00000000-0005-0000-0000-00007E040000}"/>
    <cellStyle name="Normal 56 3" xfId="1376" xr:uid="{00000000-0005-0000-0000-00007F040000}"/>
    <cellStyle name="Normal 56 3 2" xfId="1377" xr:uid="{00000000-0005-0000-0000-000080040000}"/>
    <cellStyle name="Normal 56 4" xfId="1378" xr:uid="{00000000-0005-0000-0000-000081040000}"/>
    <cellStyle name="Normal 57" xfId="1379" xr:uid="{00000000-0005-0000-0000-000082040000}"/>
    <cellStyle name="Normal 57 2" xfId="1380" xr:uid="{00000000-0005-0000-0000-000083040000}"/>
    <cellStyle name="Normal 57 2 2" xfId="1381" xr:uid="{00000000-0005-0000-0000-000084040000}"/>
    <cellStyle name="Normal 57 2 2 2" xfId="1382" xr:uid="{00000000-0005-0000-0000-000085040000}"/>
    <cellStyle name="Normal 57 2 3" xfId="1383" xr:uid="{00000000-0005-0000-0000-000086040000}"/>
    <cellStyle name="Normal 57 3" xfId="1384" xr:uid="{00000000-0005-0000-0000-000087040000}"/>
    <cellStyle name="Normal 57 3 2" xfId="1385" xr:uid="{00000000-0005-0000-0000-000088040000}"/>
    <cellStyle name="Normal 57 4" xfId="1386" xr:uid="{00000000-0005-0000-0000-000089040000}"/>
    <cellStyle name="Normal 58" xfId="1387" xr:uid="{00000000-0005-0000-0000-00008A040000}"/>
    <cellStyle name="Normal 58 2" xfId="1388" xr:uid="{00000000-0005-0000-0000-00008B040000}"/>
    <cellStyle name="Normal 58 2 2" xfId="1389" xr:uid="{00000000-0005-0000-0000-00008C040000}"/>
    <cellStyle name="Normal 58 2 2 2" xfId="1390" xr:uid="{00000000-0005-0000-0000-00008D040000}"/>
    <cellStyle name="Normal 58 2 3" xfId="1391" xr:uid="{00000000-0005-0000-0000-00008E040000}"/>
    <cellStyle name="Normal 58 3" xfId="1392" xr:uid="{00000000-0005-0000-0000-00008F040000}"/>
    <cellStyle name="Normal 58 3 2" xfId="1393" xr:uid="{00000000-0005-0000-0000-000090040000}"/>
    <cellStyle name="Normal 58 4" xfId="1394" xr:uid="{00000000-0005-0000-0000-000091040000}"/>
    <cellStyle name="Normal 59" xfId="1395" xr:uid="{00000000-0005-0000-0000-000092040000}"/>
    <cellStyle name="Normal 59 2" xfId="1396" xr:uid="{00000000-0005-0000-0000-000093040000}"/>
    <cellStyle name="Normal 59 2 2" xfId="1397" xr:uid="{00000000-0005-0000-0000-000094040000}"/>
    <cellStyle name="Normal 59 2 2 2" xfId="1398" xr:uid="{00000000-0005-0000-0000-000095040000}"/>
    <cellStyle name="Normal 59 2 3" xfId="1399" xr:uid="{00000000-0005-0000-0000-000096040000}"/>
    <cellStyle name="Normal 59 3" xfId="1400" xr:uid="{00000000-0005-0000-0000-000097040000}"/>
    <cellStyle name="Normal 59 3 2" xfId="1401" xr:uid="{00000000-0005-0000-0000-000098040000}"/>
    <cellStyle name="Normal 59 4" xfId="1402" xr:uid="{00000000-0005-0000-0000-000099040000}"/>
    <cellStyle name="Normal 6" xfId="15" xr:uid="{00000000-0005-0000-0000-00009A040000}"/>
    <cellStyle name="Normal 6 2" xfId="577" xr:uid="{00000000-0005-0000-0000-00009B040000}"/>
    <cellStyle name="Normal 6 2 2" xfId="1403" xr:uid="{00000000-0005-0000-0000-00009C040000}"/>
    <cellStyle name="Normal 6 3" xfId="1404" xr:uid="{00000000-0005-0000-0000-00009D040000}"/>
    <cellStyle name="Normal 6 4" xfId="1405" xr:uid="{00000000-0005-0000-0000-00009E040000}"/>
    <cellStyle name="Normal 6 4 2" xfId="1406" xr:uid="{00000000-0005-0000-0000-00009F040000}"/>
    <cellStyle name="Normal 60" xfId="1407" xr:uid="{00000000-0005-0000-0000-0000A0040000}"/>
    <cellStyle name="Normal 60 2" xfId="1408" xr:uid="{00000000-0005-0000-0000-0000A1040000}"/>
    <cellStyle name="Normal 60 2 2" xfId="1409" xr:uid="{00000000-0005-0000-0000-0000A2040000}"/>
    <cellStyle name="Normal 60 2 2 2" xfId="1410" xr:uid="{00000000-0005-0000-0000-0000A3040000}"/>
    <cellStyle name="Normal 60 2 3" xfId="1411" xr:uid="{00000000-0005-0000-0000-0000A4040000}"/>
    <cellStyle name="Normal 60 3" xfId="1412" xr:uid="{00000000-0005-0000-0000-0000A5040000}"/>
    <cellStyle name="Normal 60 3 2" xfId="1413" xr:uid="{00000000-0005-0000-0000-0000A6040000}"/>
    <cellStyle name="Normal 60 4" xfId="1414" xr:uid="{00000000-0005-0000-0000-0000A7040000}"/>
    <cellStyle name="Normal 61" xfId="1415" xr:uid="{00000000-0005-0000-0000-0000A8040000}"/>
    <cellStyle name="Normal 61 2" xfId="1416" xr:uid="{00000000-0005-0000-0000-0000A9040000}"/>
    <cellStyle name="Normal 61 2 2" xfId="1417" xr:uid="{00000000-0005-0000-0000-0000AA040000}"/>
    <cellStyle name="Normal 61 2 2 2" xfId="1418" xr:uid="{00000000-0005-0000-0000-0000AB040000}"/>
    <cellStyle name="Normal 61 2 3" xfId="1419" xr:uid="{00000000-0005-0000-0000-0000AC040000}"/>
    <cellStyle name="Normal 61 3" xfId="1420" xr:uid="{00000000-0005-0000-0000-0000AD040000}"/>
    <cellStyle name="Normal 61 3 2" xfId="1421" xr:uid="{00000000-0005-0000-0000-0000AE040000}"/>
    <cellStyle name="Normal 61 4" xfId="1422" xr:uid="{00000000-0005-0000-0000-0000AF040000}"/>
    <cellStyle name="Normal 62" xfId="1423" xr:uid="{00000000-0005-0000-0000-0000B0040000}"/>
    <cellStyle name="Normal 62 2" xfId="1424" xr:uid="{00000000-0005-0000-0000-0000B1040000}"/>
    <cellStyle name="Normal 62 2 2" xfId="1425" xr:uid="{00000000-0005-0000-0000-0000B2040000}"/>
    <cellStyle name="Normal 62 2 2 2" xfId="1426" xr:uid="{00000000-0005-0000-0000-0000B3040000}"/>
    <cellStyle name="Normal 62 2 3" xfId="1427" xr:uid="{00000000-0005-0000-0000-0000B4040000}"/>
    <cellStyle name="Normal 62 3" xfId="1428" xr:uid="{00000000-0005-0000-0000-0000B5040000}"/>
    <cellStyle name="Normal 62 3 2" xfId="1429" xr:uid="{00000000-0005-0000-0000-0000B6040000}"/>
    <cellStyle name="Normal 62 4" xfId="1430" xr:uid="{00000000-0005-0000-0000-0000B7040000}"/>
    <cellStyle name="Normal 63" xfId="1431" xr:uid="{00000000-0005-0000-0000-0000B8040000}"/>
    <cellStyle name="Normal 63 2" xfId="1432" xr:uid="{00000000-0005-0000-0000-0000B9040000}"/>
    <cellStyle name="Normal 63 2 2" xfId="1433" xr:uid="{00000000-0005-0000-0000-0000BA040000}"/>
    <cellStyle name="Normal 63 2 2 2" xfId="1434" xr:uid="{00000000-0005-0000-0000-0000BB040000}"/>
    <cellStyle name="Normal 63 2 3" xfId="1435" xr:uid="{00000000-0005-0000-0000-0000BC040000}"/>
    <cellStyle name="Normal 63 3" xfId="1436" xr:uid="{00000000-0005-0000-0000-0000BD040000}"/>
    <cellStyle name="Normal 63 3 2" xfId="1437" xr:uid="{00000000-0005-0000-0000-0000BE040000}"/>
    <cellStyle name="Normal 63 4" xfId="1438" xr:uid="{00000000-0005-0000-0000-0000BF040000}"/>
    <cellStyle name="Normal 64" xfId="1439" xr:uid="{00000000-0005-0000-0000-0000C0040000}"/>
    <cellStyle name="Normal 64 2" xfId="1440" xr:uid="{00000000-0005-0000-0000-0000C1040000}"/>
    <cellStyle name="Normal 64 2 2" xfId="1441" xr:uid="{00000000-0005-0000-0000-0000C2040000}"/>
    <cellStyle name="Normal 64 3" xfId="1442" xr:uid="{00000000-0005-0000-0000-0000C3040000}"/>
    <cellStyle name="Normal 65" xfId="1443" xr:uid="{00000000-0005-0000-0000-0000C4040000}"/>
    <cellStyle name="Normal 65 2" xfId="1444" xr:uid="{00000000-0005-0000-0000-0000C5040000}"/>
    <cellStyle name="Normal 65 2 2" xfId="1445" xr:uid="{00000000-0005-0000-0000-0000C6040000}"/>
    <cellStyle name="Normal 65 3" xfId="1446" xr:uid="{00000000-0005-0000-0000-0000C7040000}"/>
    <cellStyle name="Normal 66" xfId="1447" xr:uid="{00000000-0005-0000-0000-0000C8040000}"/>
    <cellStyle name="Normal 66 2" xfId="1448" xr:uid="{00000000-0005-0000-0000-0000C9040000}"/>
    <cellStyle name="Normal 66 2 2" xfId="1449" xr:uid="{00000000-0005-0000-0000-0000CA040000}"/>
    <cellStyle name="Normal 66 3" xfId="1450" xr:uid="{00000000-0005-0000-0000-0000CB040000}"/>
    <cellStyle name="Normal 67" xfId="1451" xr:uid="{00000000-0005-0000-0000-0000CC040000}"/>
    <cellStyle name="Normal 67 2" xfId="1452" xr:uid="{00000000-0005-0000-0000-0000CD040000}"/>
    <cellStyle name="Normal 67 2 2" xfId="1453" xr:uid="{00000000-0005-0000-0000-0000CE040000}"/>
    <cellStyle name="Normal 67 3" xfId="1454" xr:uid="{00000000-0005-0000-0000-0000CF040000}"/>
    <cellStyle name="Normal 68" xfId="1455" xr:uid="{00000000-0005-0000-0000-0000D0040000}"/>
    <cellStyle name="Normal 68 2" xfId="1456" xr:uid="{00000000-0005-0000-0000-0000D1040000}"/>
    <cellStyle name="Normal 68 2 2" xfId="1457" xr:uid="{00000000-0005-0000-0000-0000D2040000}"/>
    <cellStyle name="Normal 68 3" xfId="1458" xr:uid="{00000000-0005-0000-0000-0000D3040000}"/>
    <cellStyle name="Normal 69" xfId="1459" xr:uid="{00000000-0005-0000-0000-0000D4040000}"/>
    <cellStyle name="Normal 69 2" xfId="1460" xr:uid="{00000000-0005-0000-0000-0000D5040000}"/>
    <cellStyle name="Normal 7" xfId="326" xr:uid="{00000000-0005-0000-0000-0000D6040000}"/>
    <cellStyle name="Normal 7 2" xfId="338" xr:uid="{00000000-0005-0000-0000-0000D7040000}"/>
    <cellStyle name="Normal 7 2 2" xfId="1461" xr:uid="{00000000-0005-0000-0000-0000D8040000}"/>
    <cellStyle name="Normal 7 2 2 2" xfId="1462" xr:uid="{00000000-0005-0000-0000-0000D9040000}"/>
    <cellStyle name="Normal 7 2 3" xfId="1463" xr:uid="{00000000-0005-0000-0000-0000DA040000}"/>
    <cellStyle name="Normal 7 3" xfId="1464" xr:uid="{00000000-0005-0000-0000-0000DB040000}"/>
    <cellStyle name="Normal 7 3 2" xfId="1465" xr:uid="{00000000-0005-0000-0000-0000DC040000}"/>
    <cellStyle name="Normal 7 4" xfId="1466" xr:uid="{00000000-0005-0000-0000-0000DD040000}"/>
    <cellStyle name="Normal 7 4 2" xfId="1467" xr:uid="{00000000-0005-0000-0000-0000DE040000}"/>
    <cellStyle name="Normal 70" xfId="1468" xr:uid="{00000000-0005-0000-0000-0000DF040000}"/>
    <cellStyle name="Normal 71" xfId="1469" xr:uid="{00000000-0005-0000-0000-0000E0040000}"/>
    <cellStyle name="Normal 71 2" xfId="1470" xr:uid="{00000000-0005-0000-0000-0000E1040000}"/>
    <cellStyle name="Normal 72" xfId="1471" xr:uid="{00000000-0005-0000-0000-0000E2040000}"/>
    <cellStyle name="Normal 73" xfId="1472" xr:uid="{00000000-0005-0000-0000-0000E3040000}"/>
    <cellStyle name="Normal 73 2" xfId="1473" xr:uid="{00000000-0005-0000-0000-0000E4040000}"/>
    <cellStyle name="Normal 74" xfId="1474" xr:uid="{00000000-0005-0000-0000-0000E5040000}"/>
    <cellStyle name="Normal 75" xfId="1475" xr:uid="{00000000-0005-0000-0000-0000E6040000}"/>
    <cellStyle name="Normal 76" xfId="1476" xr:uid="{00000000-0005-0000-0000-0000E7040000}"/>
    <cellStyle name="Normal 76 2" xfId="1477" xr:uid="{00000000-0005-0000-0000-0000E8040000}"/>
    <cellStyle name="Normal 77" xfId="1478" xr:uid="{00000000-0005-0000-0000-0000E9040000}"/>
    <cellStyle name="Normal 77 2" xfId="1479" xr:uid="{00000000-0005-0000-0000-0000EA040000}"/>
    <cellStyle name="Normal 78" xfId="1480" xr:uid="{00000000-0005-0000-0000-0000EB040000}"/>
    <cellStyle name="Normal 78 2" xfId="1481" xr:uid="{00000000-0005-0000-0000-0000EC040000}"/>
    <cellStyle name="Normal 79" xfId="1482" xr:uid="{00000000-0005-0000-0000-0000ED040000}"/>
    <cellStyle name="Normal 79 2" xfId="1483" xr:uid="{00000000-0005-0000-0000-0000EE040000}"/>
    <cellStyle name="Normal 8" xfId="328" xr:uid="{00000000-0005-0000-0000-0000EF040000}"/>
    <cellStyle name="Normal 8 10" xfId="438" xr:uid="{00000000-0005-0000-0000-0000F0040000}"/>
    <cellStyle name="Normal 8 10 2" xfId="479" xr:uid="{00000000-0005-0000-0000-0000F1040000}"/>
    <cellStyle name="Normal 8 11" xfId="471" xr:uid="{00000000-0005-0000-0000-0000F2040000}"/>
    <cellStyle name="Normal 8 12" xfId="504" xr:uid="{00000000-0005-0000-0000-0000F3040000}"/>
    <cellStyle name="Normal 8 2" xfId="339" xr:uid="{00000000-0005-0000-0000-0000F4040000}"/>
    <cellStyle name="Normal 8 2 2" xfId="448" xr:uid="{00000000-0005-0000-0000-0000F5040000}"/>
    <cellStyle name="Normal 8 2 2 2" xfId="485" xr:uid="{00000000-0005-0000-0000-0000F6040000}"/>
    <cellStyle name="Normal 8 2 3" xfId="462" xr:uid="{00000000-0005-0000-0000-0000F7040000}"/>
    <cellStyle name="Normal 8 2 3 2" xfId="496" xr:uid="{00000000-0005-0000-0000-0000F8040000}"/>
    <cellStyle name="Normal 8 2 4" xfId="440" xr:uid="{00000000-0005-0000-0000-0000F9040000}"/>
    <cellStyle name="Normal 8 2 4 2" xfId="480" xr:uid="{00000000-0005-0000-0000-0000FA040000}"/>
    <cellStyle name="Normal 8 2 5" xfId="472" xr:uid="{00000000-0005-0000-0000-0000FB040000}"/>
    <cellStyle name="Normal 8 2 6" xfId="505" xr:uid="{00000000-0005-0000-0000-0000FC040000}"/>
    <cellStyle name="Normal 8 3" xfId="357" xr:uid="{00000000-0005-0000-0000-0000FD040000}"/>
    <cellStyle name="Normal 8 3 2" xfId="449" xr:uid="{00000000-0005-0000-0000-0000FE040000}"/>
    <cellStyle name="Normal 8 3 2 2" xfId="486" xr:uid="{00000000-0005-0000-0000-0000FF040000}"/>
    <cellStyle name="Normal 8 3 3" xfId="463" xr:uid="{00000000-0005-0000-0000-000000050000}"/>
    <cellStyle name="Normal 8 3 3 2" xfId="497" xr:uid="{00000000-0005-0000-0000-000001050000}"/>
    <cellStyle name="Normal 8 3 4" xfId="442" xr:uid="{00000000-0005-0000-0000-000002050000}"/>
    <cellStyle name="Normal 8 3 4 2" xfId="481" xr:uid="{00000000-0005-0000-0000-000003050000}"/>
    <cellStyle name="Normal 8 3 5" xfId="473" xr:uid="{00000000-0005-0000-0000-000004050000}"/>
    <cellStyle name="Normal 8 3 6" xfId="506" xr:uid="{00000000-0005-0000-0000-000005050000}"/>
    <cellStyle name="Normal 8 4" xfId="367" xr:uid="{00000000-0005-0000-0000-000006050000}"/>
    <cellStyle name="Normal 8 4 2" xfId="451" xr:uid="{00000000-0005-0000-0000-000007050000}"/>
    <cellStyle name="Normal 8 4 2 2" xfId="488" xr:uid="{00000000-0005-0000-0000-000008050000}"/>
    <cellStyle name="Normal 8 4 3" xfId="465" xr:uid="{00000000-0005-0000-0000-000009050000}"/>
    <cellStyle name="Normal 8 4 3 2" xfId="499" xr:uid="{00000000-0005-0000-0000-00000A050000}"/>
    <cellStyle name="Normal 8 4 4" xfId="445" xr:uid="{00000000-0005-0000-0000-00000B050000}"/>
    <cellStyle name="Normal 8 4 4 2" xfId="483" xr:uid="{00000000-0005-0000-0000-00000C050000}"/>
    <cellStyle name="Normal 8 4 5" xfId="475" xr:uid="{00000000-0005-0000-0000-00000D050000}"/>
    <cellStyle name="Normal 8 4 6" xfId="508" xr:uid="{00000000-0005-0000-0000-00000E050000}"/>
    <cellStyle name="Normal 8 5" xfId="415" xr:uid="{00000000-0005-0000-0000-00000F050000}"/>
    <cellStyle name="Normal 8 5 2" xfId="466" xr:uid="{00000000-0005-0000-0000-000010050000}"/>
    <cellStyle name="Normal 8 5 2 2" xfId="500" xr:uid="{00000000-0005-0000-0000-000011050000}"/>
    <cellStyle name="Normal 8 5 3" xfId="457" xr:uid="{00000000-0005-0000-0000-000012050000}"/>
    <cellStyle name="Normal 8 5 3 2" xfId="492" xr:uid="{00000000-0005-0000-0000-000013050000}"/>
    <cellStyle name="Normal 8 5 4" xfId="476" xr:uid="{00000000-0005-0000-0000-000014050000}"/>
    <cellStyle name="Normal 8 5 5" xfId="509" xr:uid="{00000000-0005-0000-0000-000015050000}"/>
    <cellStyle name="Normal 8 6" xfId="419" xr:uid="{00000000-0005-0000-0000-000016050000}"/>
    <cellStyle name="Normal 8 6 2" xfId="467" xr:uid="{00000000-0005-0000-0000-000017050000}"/>
    <cellStyle name="Normal 8 6 2 2" xfId="501" xr:uid="{00000000-0005-0000-0000-000018050000}"/>
    <cellStyle name="Normal 8 6 3" xfId="458" xr:uid="{00000000-0005-0000-0000-000019050000}"/>
    <cellStyle name="Normal 8 6 3 2" xfId="493" xr:uid="{00000000-0005-0000-0000-00001A050000}"/>
    <cellStyle name="Normal 8 6 4" xfId="477" xr:uid="{00000000-0005-0000-0000-00001B050000}"/>
    <cellStyle name="Normal 8 6 5" xfId="510" xr:uid="{00000000-0005-0000-0000-00001C050000}"/>
    <cellStyle name="Normal 8 7" xfId="421" xr:uid="{00000000-0005-0000-0000-00001D050000}"/>
    <cellStyle name="Normal 8 7 2" xfId="468" xr:uid="{00000000-0005-0000-0000-00001E050000}"/>
    <cellStyle name="Normal 8 7 2 2" xfId="502" xr:uid="{00000000-0005-0000-0000-00001F050000}"/>
    <cellStyle name="Normal 8 7 3" xfId="459" xr:uid="{00000000-0005-0000-0000-000020050000}"/>
    <cellStyle name="Normal 8 7 3 2" xfId="494" xr:uid="{00000000-0005-0000-0000-000021050000}"/>
    <cellStyle name="Normal 8 7 4" xfId="478" xr:uid="{00000000-0005-0000-0000-000022050000}"/>
    <cellStyle name="Normal 8 7 5" xfId="511" xr:uid="{00000000-0005-0000-0000-000023050000}"/>
    <cellStyle name="Normal 8 8" xfId="447" xr:uid="{00000000-0005-0000-0000-000024050000}"/>
    <cellStyle name="Normal 8 8 2" xfId="484" xr:uid="{00000000-0005-0000-0000-000025050000}"/>
    <cellStyle name="Normal 8 9" xfId="461" xr:uid="{00000000-0005-0000-0000-000026050000}"/>
    <cellStyle name="Normal 8 9 2" xfId="495" xr:uid="{00000000-0005-0000-0000-000027050000}"/>
    <cellStyle name="Normal 80" xfId="1484" xr:uid="{00000000-0005-0000-0000-000028050000}"/>
    <cellStyle name="Normal 80 2" xfId="1485" xr:uid="{00000000-0005-0000-0000-000029050000}"/>
    <cellStyle name="Normal 81" xfId="1486" xr:uid="{00000000-0005-0000-0000-00002A050000}"/>
    <cellStyle name="Normal 81 2" xfId="1487" xr:uid="{00000000-0005-0000-0000-00002B050000}"/>
    <cellStyle name="Normal 82" xfId="1488" xr:uid="{00000000-0005-0000-0000-00002C050000}"/>
    <cellStyle name="Normal 82 2" xfId="1489" xr:uid="{00000000-0005-0000-0000-00002D050000}"/>
    <cellStyle name="Normal 83" xfId="1490" xr:uid="{00000000-0005-0000-0000-00002E050000}"/>
    <cellStyle name="Normal 83 2" xfId="1491" xr:uid="{00000000-0005-0000-0000-00002F050000}"/>
    <cellStyle name="Normal 84" xfId="1492" xr:uid="{00000000-0005-0000-0000-000030050000}"/>
    <cellStyle name="Normal 84 2" xfId="1493" xr:uid="{00000000-0005-0000-0000-000031050000}"/>
    <cellStyle name="Normal 85" xfId="1494" xr:uid="{00000000-0005-0000-0000-000032050000}"/>
    <cellStyle name="Normal 85 2" xfId="1495" xr:uid="{00000000-0005-0000-0000-000033050000}"/>
    <cellStyle name="Normal 86" xfId="1496" xr:uid="{00000000-0005-0000-0000-000034050000}"/>
    <cellStyle name="Normal 86 2" xfId="1497" xr:uid="{00000000-0005-0000-0000-000035050000}"/>
    <cellStyle name="Normal 87" xfId="1498" xr:uid="{00000000-0005-0000-0000-000036050000}"/>
    <cellStyle name="Normal 87 2" xfId="1499" xr:uid="{00000000-0005-0000-0000-000037050000}"/>
    <cellStyle name="Normal 88" xfId="1500" xr:uid="{00000000-0005-0000-0000-000038050000}"/>
    <cellStyle name="Normal 88 2" xfId="1501" xr:uid="{00000000-0005-0000-0000-000039050000}"/>
    <cellStyle name="Normal 89" xfId="1502" xr:uid="{00000000-0005-0000-0000-00003A050000}"/>
    <cellStyle name="Normal 89 2" xfId="1503" xr:uid="{00000000-0005-0000-0000-00003B050000}"/>
    <cellStyle name="Normal 9" xfId="330" xr:uid="{00000000-0005-0000-0000-00003C050000}"/>
    <cellStyle name="Normal 9 2" xfId="1504" xr:uid="{00000000-0005-0000-0000-00003D050000}"/>
    <cellStyle name="Normal 9 3" xfId="1505" xr:uid="{00000000-0005-0000-0000-00003E050000}"/>
    <cellStyle name="Normal 90" xfId="1506" xr:uid="{00000000-0005-0000-0000-00003F050000}"/>
    <cellStyle name="Normal 90 2" xfId="1507" xr:uid="{00000000-0005-0000-0000-000040050000}"/>
    <cellStyle name="Normal 91" xfId="1508" xr:uid="{00000000-0005-0000-0000-000041050000}"/>
    <cellStyle name="Normal 91 2" xfId="1509" xr:uid="{00000000-0005-0000-0000-000042050000}"/>
    <cellStyle name="Normal 92" xfId="1510" xr:uid="{00000000-0005-0000-0000-000043050000}"/>
    <cellStyle name="Normal 92 2" xfId="1511" xr:uid="{00000000-0005-0000-0000-000044050000}"/>
    <cellStyle name="Normal 93" xfId="1512" xr:uid="{00000000-0005-0000-0000-000045050000}"/>
    <cellStyle name="Normal 93 2" xfId="1513" xr:uid="{00000000-0005-0000-0000-000046050000}"/>
    <cellStyle name="Normal 94" xfId="1514" xr:uid="{00000000-0005-0000-0000-000047050000}"/>
    <cellStyle name="Normal 94 2" xfId="1515" xr:uid="{00000000-0005-0000-0000-000048050000}"/>
    <cellStyle name="Normal 95" xfId="1516" xr:uid="{00000000-0005-0000-0000-000049050000}"/>
    <cellStyle name="Normal 95 2" xfId="1517" xr:uid="{00000000-0005-0000-0000-00004A050000}"/>
    <cellStyle name="Normal 96" xfId="1518" xr:uid="{00000000-0005-0000-0000-00004B050000}"/>
    <cellStyle name="Normal 96 2" xfId="1519" xr:uid="{00000000-0005-0000-0000-00004C050000}"/>
    <cellStyle name="Normal 97" xfId="1520" xr:uid="{00000000-0005-0000-0000-00004D050000}"/>
    <cellStyle name="Normal 97 2" xfId="1521" xr:uid="{00000000-0005-0000-0000-00004E050000}"/>
    <cellStyle name="Normal 98" xfId="1522" xr:uid="{00000000-0005-0000-0000-00004F050000}"/>
    <cellStyle name="Normal 98 2" xfId="1523" xr:uid="{00000000-0005-0000-0000-000050050000}"/>
    <cellStyle name="Normal 99" xfId="1524" xr:uid="{00000000-0005-0000-0000-000051050000}"/>
    <cellStyle name="Normal 99 2" xfId="1525" xr:uid="{00000000-0005-0000-0000-000052050000}"/>
    <cellStyle name="Normal_2002 A to BK TLF Recon WVPA" xfId="5" xr:uid="{00000000-0005-0000-0000-000053050000}"/>
    <cellStyle name="Normal_2002 A to BK TLF Recon WVPA 2" xfId="369" xr:uid="{00000000-0005-0000-0000-000054050000}"/>
    <cellStyle name="Normal_Advertising expense query - 3.29.07" xfId="6" xr:uid="{00000000-0005-0000-0000-000055050000}"/>
    <cellStyle name="Normal_Advertising expense query - 3.29.07 2" xfId="370" xr:uid="{00000000-0005-0000-0000-000056050000}"/>
    <cellStyle name="Normal_Cinergy Revenue Credits by Operating Company" xfId="7" xr:uid="{00000000-0005-0000-0000-000057050000}"/>
    <cellStyle name="Normal_Cinergy Revenue Credits by Operating Company 2" xfId="355" xr:uid="{00000000-0005-0000-0000-000058050000}"/>
    <cellStyle name="Normal_FERC Functional M&amp;S All Cos" xfId="8" xr:uid="{00000000-0005-0000-0000-000059050000}"/>
    <cellStyle name="Normal_FERC Functional M&amp;S All Cos 2" xfId="423" xr:uid="{00000000-0005-0000-0000-00005A050000}"/>
    <cellStyle name="Normal_FN1 Ratebase Draft SPP template (6-11-04) v2" xfId="325" xr:uid="{00000000-0005-0000-0000-00005B050000}"/>
    <cellStyle name="Normal_MISO DEO Cap Structure 2007 " xfId="9" xr:uid="{00000000-0005-0000-0000-00005C050000}"/>
    <cellStyle name="Normal_Schedule B-2" xfId="329" xr:uid="{00000000-0005-0000-0000-00005D050000}"/>
    <cellStyle name="Normal_Support 2003 PSI Peak Demand excluding Joint Owners" xfId="10" xr:uid="{00000000-0005-0000-0000-00005E050000}"/>
    <cellStyle name="Normal_Support 2003 PSI Peak Demand excluding Joint Owners 2" xfId="371" xr:uid="{00000000-0005-0000-0000-00005F050000}"/>
    <cellStyle name="Normal_Support 2003 PSI Peak Demand excluding Joint Owners 2 2" xfId="1624" xr:uid="{67046ABE-6D6E-42F7-B405-6A162B716690}"/>
    <cellStyle name="Note 10" xfId="1526" xr:uid="{00000000-0005-0000-0000-000060050000}"/>
    <cellStyle name="Note 11" xfId="1527" xr:uid="{00000000-0005-0000-0000-000061050000}"/>
    <cellStyle name="Note 12" xfId="1528" xr:uid="{00000000-0005-0000-0000-000062050000}"/>
    <cellStyle name="Note 13" xfId="1529" xr:uid="{00000000-0005-0000-0000-000063050000}"/>
    <cellStyle name="Note 14" xfId="1530" xr:uid="{00000000-0005-0000-0000-000064050000}"/>
    <cellStyle name="Note 15" xfId="1531" xr:uid="{00000000-0005-0000-0000-000065050000}"/>
    <cellStyle name="Note 16" xfId="1532" xr:uid="{00000000-0005-0000-0000-000066050000}"/>
    <cellStyle name="Note 17" xfId="1533" xr:uid="{00000000-0005-0000-0000-000067050000}"/>
    <cellStyle name="Note 18" xfId="1534" xr:uid="{00000000-0005-0000-0000-000068050000}"/>
    <cellStyle name="Note 19" xfId="1535" xr:uid="{00000000-0005-0000-0000-000069050000}"/>
    <cellStyle name="Note 2" xfId="556" xr:uid="{00000000-0005-0000-0000-00006A050000}"/>
    <cellStyle name="Note 2 2" xfId="1536" xr:uid="{00000000-0005-0000-0000-00006B050000}"/>
    <cellStyle name="Note 2 2 2" xfId="1537" xr:uid="{00000000-0005-0000-0000-00006C050000}"/>
    <cellStyle name="Note 2 2 2 2" xfId="1538" xr:uid="{00000000-0005-0000-0000-00006D050000}"/>
    <cellStyle name="Note 2 3" xfId="1539" xr:uid="{00000000-0005-0000-0000-00006E050000}"/>
    <cellStyle name="Note 20" xfId="1540" xr:uid="{00000000-0005-0000-0000-00006F050000}"/>
    <cellStyle name="Note 20 2" xfId="1541" xr:uid="{00000000-0005-0000-0000-000070050000}"/>
    <cellStyle name="Note 21" xfId="1542" xr:uid="{00000000-0005-0000-0000-000071050000}"/>
    <cellStyle name="Note 22" xfId="1543" xr:uid="{00000000-0005-0000-0000-000072050000}"/>
    <cellStyle name="Note 23" xfId="1544" xr:uid="{00000000-0005-0000-0000-000073050000}"/>
    <cellStyle name="Note 24" xfId="1545" xr:uid="{00000000-0005-0000-0000-000074050000}"/>
    <cellStyle name="Note 25" xfId="1546" xr:uid="{00000000-0005-0000-0000-000075050000}"/>
    <cellStyle name="Note 26" xfId="1547" xr:uid="{00000000-0005-0000-0000-000076050000}"/>
    <cellStyle name="Note 27" xfId="1548" xr:uid="{00000000-0005-0000-0000-000077050000}"/>
    <cellStyle name="Note 3" xfId="1549" xr:uid="{00000000-0005-0000-0000-000078050000}"/>
    <cellStyle name="Note 3 2" xfId="1550" xr:uid="{00000000-0005-0000-0000-000079050000}"/>
    <cellStyle name="Note 3 2 2" xfId="1551" xr:uid="{00000000-0005-0000-0000-00007A050000}"/>
    <cellStyle name="Note 3 2 2 2" xfId="1552" xr:uid="{00000000-0005-0000-0000-00007B050000}"/>
    <cellStyle name="Note 3 2 3" xfId="1553" xr:uid="{00000000-0005-0000-0000-00007C050000}"/>
    <cellStyle name="Note 3 3" xfId="1554" xr:uid="{00000000-0005-0000-0000-00007D050000}"/>
    <cellStyle name="Note 3 3 2" xfId="1555" xr:uid="{00000000-0005-0000-0000-00007E050000}"/>
    <cellStyle name="Note 4" xfId="1556" xr:uid="{00000000-0005-0000-0000-00007F050000}"/>
    <cellStyle name="Note 5" xfId="1557" xr:uid="{00000000-0005-0000-0000-000080050000}"/>
    <cellStyle name="Note 6" xfId="1558" xr:uid="{00000000-0005-0000-0000-000081050000}"/>
    <cellStyle name="Note 7" xfId="1559" xr:uid="{00000000-0005-0000-0000-000082050000}"/>
    <cellStyle name="Note 7 2" xfId="1560" xr:uid="{00000000-0005-0000-0000-000083050000}"/>
    <cellStyle name="Note 8" xfId="1561" xr:uid="{00000000-0005-0000-0000-000084050000}"/>
    <cellStyle name="Note 9" xfId="1562" xr:uid="{00000000-0005-0000-0000-000085050000}"/>
    <cellStyle name="Output" xfId="521" builtinId="21" customBuiltin="1"/>
    <cellStyle name="Output 2" xfId="1563" xr:uid="{00000000-0005-0000-0000-000087050000}"/>
    <cellStyle name="Output 2 2" xfId="1564" xr:uid="{00000000-0005-0000-0000-000088050000}"/>
    <cellStyle name="Output 2 3" xfId="1565" xr:uid="{00000000-0005-0000-0000-000089050000}"/>
    <cellStyle name="Output 3" xfId="1566" xr:uid="{00000000-0005-0000-0000-00008A050000}"/>
    <cellStyle name="Output 4" xfId="1567" xr:uid="{00000000-0005-0000-0000-00008B050000}"/>
    <cellStyle name="Output Report Heading_C_BS5_D_C_YTD_CONSG_ALL_U" xfId="1568" xr:uid="{00000000-0005-0000-0000-00008C050000}"/>
    <cellStyle name="Output1_Back" xfId="183" xr:uid="{00000000-0005-0000-0000-00008D050000}"/>
    <cellStyle name="p" xfId="184" xr:uid="{00000000-0005-0000-0000-00008E050000}"/>
    <cellStyle name="p_2010 Attachment O  GG_082709" xfId="185" xr:uid="{00000000-0005-0000-0000-00008F050000}"/>
    <cellStyle name="p_2010 Attachment O Template Supporting Work Papers_ITC Midwest" xfId="186" xr:uid="{00000000-0005-0000-0000-000090050000}"/>
    <cellStyle name="p_2010 Attachment O Template Supporting Work Papers_ITCTransmission" xfId="187" xr:uid="{00000000-0005-0000-0000-000091050000}"/>
    <cellStyle name="p_2010 Attachment O Template Supporting Work Papers_METC" xfId="188" xr:uid="{00000000-0005-0000-0000-000092050000}"/>
    <cellStyle name="p_2Mod11" xfId="189" xr:uid="{00000000-0005-0000-0000-000093050000}"/>
    <cellStyle name="p_aavidmod11.xls Chart 1" xfId="190" xr:uid="{00000000-0005-0000-0000-000094050000}"/>
    <cellStyle name="p_aavidmod11.xls Chart 2" xfId="191" xr:uid="{00000000-0005-0000-0000-000095050000}"/>
    <cellStyle name="p_Attachment O &amp; GG" xfId="192" xr:uid="{00000000-0005-0000-0000-000096050000}"/>
    <cellStyle name="p_charts for capm" xfId="193" xr:uid="{00000000-0005-0000-0000-000097050000}"/>
    <cellStyle name="p_DCF" xfId="194" xr:uid="{00000000-0005-0000-0000-000098050000}"/>
    <cellStyle name="p_DCF_2Mod11" xfId="195" xr:uid="{00000000-0005-0000-0000-000099050000}"/>
    <cellStyle name="p_DCF_aavidmod11.xls Chart 1" xfId="196" xr:uid="{00000000-0005-0000-0000-00009A050000}"/>
    <cellStyle name="p_DCF_aavidmod11.xls Chart 2" xfId="197" xr:uid="{00000000-0005-0000-0000-00009B050000}"/>
    <cellStyle name="p_DCF_charts for capm" xfId="198" xr:uid="{00000000-0005-0000-0000-00009C050000}"/>
    <cellStyle name="p_DCF_DCF5" xfId="199" xr:uid="{00000000-0005-0000-0000-00009D050000}"/>
    <cellStyle name="p_DCF_Template2" xfId="200" xr:uid="{00000000-0005-0000-0000-00009E050000}"/>
    <cellStyle name="p_DCF_Template2_1" xfId="201" xr:uid="{00000000-0005-0000-0000-00009F050000}"/>
    <cellStyle name="p_DCF_VERA" xfId="202" xr:uid="{00000000-0005-0000-0000-0000A0050000}"/>
    <cellStyle name="p_DCF_VERA_1" xfId="203" xr:uid="{00000000-0005-0000-0000-0000A1050000}"/>
    <cellStyle name="p_DCF_VERA_1_Template2" xfId="204" xr:uid="{00000000-0005-0000-0000-0000A2050000}"/>
    <cellStyle name="p_DCF_VERA_aavidmod11.xls Chart 2" xfId="205" xr:uid="{00000000-0005-0000-0000-0000A3050000}"/>
    <cellStyle name="p_DCF_VERA_Model02" xfId="206" xr:uid="{00000000-0005-0000-0000-0000A4050000}"/>
    <cellStyle name="p_DCF_VERA_Template2" xfId="207" xr:uid="{00000000-0005-0000-0000-0000A5050000}"/>
    <cellStyle name="p_DCF_VERA_VERA" xfId="208" xr:uid="{00000000-0005-0000-0000-0000A6050000}"/>
    <cellStyle name="p_DCF_VERA_VERA_1" xfId="209" xr:uid="{00000000-0005-0000-0000-0000A7050000}"/>
    <cellStyle name="p_DCF_VERA_VERA_2" xfId="210" xr:uid="{00000000-0005-0000-0000-0000A8050000}"/>
    <cellStyle name="p_DCF_VERA_VERA_Template2" xfId="211" xr:uid="{00000000-0005-0000-0000-0000A9050000}"/>
    <cellStyle name="p_DCF5" xfId="212" xr:uid="{00000000-0005-0000-0000-0000AA050000}"/>
    <cellStyle name="p_ITC Great Plains Formula 1-12-09a" xfId="213" xr:uid="{00000000-0005-0000-0000-0000AB050000}"/>
    <cellStyle name="p_ITCM 2010 Template" xfId="214" xr:uid="{00000000-0005-0000-0000-0000AC050000}"/>
    <cellStyle name="p_ITCMW 2009 Rate" xfId="215" xr:uid="{00000000-0005-0000-0000-0000AD050000}"/>
    <cellStyle name="p_ITCMW 2010 Rate_083109" xfId="216" xr:uid="{00000000-0005-0000-0000-0000AE050000}"/>
    <cellStyle name="p_ITCOP 2010 Rate_083109" xfId="217" xr:uid="{00000000-0005-0000-0000-0000AF050000}"/>
    <cellStyle name="p_ITCT 2009 Rate" xfId="218" xr:uid="{00000000-0005-0000-0000-0000B0050000}"/>
    <cellStyle name="p_ITCT New 2010 Attachment O &amp; GG_111209NL" xfId="219" xr:uid="{00000000-0005-0000-0000-0000B1050000}"/>
    <cellStyle name="p_METC 2010 Rate_083109" xfId="220" xr:uid="{00000000-0005-0000-0000-0000B2050000}"/>
    <cellStyle name="p_Template2" xfId="221" xr:uid="{00000000-0005-0000-0000-0000B3050000}"/>
    <cellStyle name="p_Template2_1" xfId="222" xr:uid="{00000000-0005-0000-0000-0000B4050000}"/>
    <cellStyle name="p_VERA" xfId="223" xr:uid="{00000000-0005-0000-0000-0000B5050000}"/>
    <cellStyle name="p_VERA_1" xfId="224" xr:uid="{00000000-0005-0000-0000-0000B6050000}"/>
    <cellStyle name="p_VERA_1_Template2" xfId="225" xr:uid="{00000000-0005-0000-0000-0000B7050000}"/>
    <cellStyle name="p_VERA_aavidmod11.xls Chart 2" xfId="226" xr:uid="{00000000-0005-0000-0000-0000B8050000}"/>
    <cellStyle name="p_VERA_Model02" xfId="227" xr:uid="{00000000-0005-0000-0000-0000B9050000}"/>
    <cellStyle name="p_VERA_Template2" xfId="228" xr:uid="{00000000-0005-0000-0000-0000BA050000}"/>
    <cellStyle name="p_VERA_VERA" xfId="229" xr:uid="{00000000-0005-0000-0000-0000BB050000}"/>
    <cellStyle name="p_VERA_VERA_1" xfId="230" xr:uid="{00000000-0005-0000-0000-0000BC050000}"/>
    <cellStyle name="p_VERA_VERA_2" xfId="231" xr:uid="{00000000-0005-0000-0000-0000BD050000}"/>
    <cellStyle name="p_VERA_VERA_Template2" xfId="232" xr:uid="{00000000-0005-0000-0000-0000BE050000}"/>
    <cellStyle name="p1" xfId="233" xr:uid="{00000000-0005-0000-0000-0000BF050000}"/>
    <cellStyle name="p2" xfId="234" xr:uid="{00000000-0005-0000-0000-0000C0050000}"/>
    <cellStyle name="p3" xfId="235" xr:uid="{00000000-0005-0000-0000-0000C1050000}"/>
    <cellStyle name="Percent %" xfId="236" xr:uid="{00000000-0005-0000-0000-0000C2050000}"/>
    <cellStyle name="Percent % Long Underline" xfId="237" xr:uid="{00000000-0005-0000-0000-0000C3050000}"/>
    <cellStyle name="Percent (0)" xfId="238" xr:uid="{00000000-0005-0000-0000-0000C4050000}"/>
    <cellStyle name="Percent [0]" xfId="239" xr:uid="{00000000-0005-0000-0000-0000C5050000}"/>
    <cellStyle name="Percent [1]" xfId="240" xr:uid="{00000000-0005-0000-0000-0000C6050000}"/>
    <cellStyle name="Percent [2]" xfId="241" xr:uid="{00000000-0005-0000-0000-0000C7050000}"/>
    <cellStyle name="Percent [3]" xfId="242" xr:uid="{00000000-0005-0000-0000-0000C8050000}"/>
    <cellStyle name="Percent 0.0%" xfId="243" xr:uid="{00000000-0005-0000-0000-0000C9050000}"/>
    <cellStyle name="Percent 0.0% Long Underline" xfId="244" xr:uid="{00000000-0005-0000-0000-0000CA050000}"/>
    <cellStyle name="Percent 0.00%" xfId="245" xr:uid="{00000000-0005-0000-0000-0000CB050000}"/>
    <cellStyle name="Percent 0.00% Long Underline" xfId="246" xr:uid="{00000000-0005-0000-0000-0000CC050000}"/>
    <cellStyle name="Percent 0.000%" xfId="247" xr:uid="{00000000-0005-0000-0000-0000CD050000}"/>
    <cellStyle name="Percent 0.000% Long Underline" xfId="248" xr:uid="{00000000-0005-0000-0000-0000CE050000}"/>
    <cellStyle name="Percent 0.0000%" xfId="249" xr:uid="{00000000-0005-0000-0000-0000CF050000}"/>
    <cellStyle name="Percent 0.0000% Long Underline" xfId="250" xr:uid="{00000000-0005-0000-0000-0000D0050000}"/>
    <cellStyle name="Percent 10" xfId="1569" xr:uid="{00000000-0005-0000-0000-0000D1050000}"/>
    <cellStyle name="Percent 10 2" xfId="1570" xr:uid="{00000000-0005-0000-0000-0000D2050000}"/>
    <cellStyle name="Percent 11" xfId="1571" xr:uid="{00000000-0005-0000-0000-0000D3050000}"/>
    <cellStyle name="Percent 12" xfId="1572" xr:uid="{00000000-0005-0000-0000-0000D4050000}"/>
    <cellStyle name="Percent 2" xfId="11" xr:uid="{00000000-0005-0000-0000-0000D5050000}"/>
    <cellStyle name="Percent 2 2" xfId="251" xr:uid="{00000000-0005-0000-0000-0000D6050000}"/>
    <cellStyle name="Percent 2 2 2" xfId="1573" xr:uid="{00000000-0005-0000-0000-0000D7050000}"/>
    <cellStyle name="Percent 2 2 2 2" xfId="1574" xr:uid="{00000000-0005-0000-0000-0000D8050000}"/>
    <cellStyle name="Percent 2 2 2 3" xfId="1575" xr:uid="{00000000-0005-0000-0000-0000D9050000}"/>
    <cellStyle name="Percent 2 2 2 4" xfId="1576" xr:uid="{00000000-0005-0000-0000-0000DA050000}"/>
    <cellStyle name="Percent 2 2 2 5" xfId="1577" xr:uid="{00000000-0005-0000-0000-0000DB050000}"/>
    <cellStyle name="Percent 2 2 2 6" xfId="1578" xr:uid="{00000000-0005-0000-0000-0000DC050000}"/>
    <cellStyle name="Percent 2 2 2 7" xfId="1579" xr:uid="{00000000-0005-0000-0000-0000DD050000}"/>
    <cellStyle name="Percent 2 2 2 8" xfId="1580" xr:uid="{00000000-0005-0000-0000-0000DE050000}"/>
    <cellStyle name="Percent 2 3" xfId="1581" xr:uid="{00000000-0005-0000-0000-0000DF050000}"/>
    <cellStyle name="Percent 2 3 2" xfId="1582" xr:uid="{00000000-0005-0000-0000-0000E0050000}"/>
    <cellStyle name="Percent 2 4" xfId="1583" xr:uid="{00000000-0005-0000-0000-0000E1050000}"/>
    <cellStyle name="Percent 2 4 2" xfId="1584" xr:uid="{00000000-0005-0000-0000-0000E2050000}"/>
    <cellStyle name="Percent 3" xfId="252" xr:uid="{00000000-0005-0000-0000-0000E3050000}"/>
    <cellStyle name="Percent 3 2" xfId="253" xr:uid="{00000000-0005-0000-0000-0000E4050000}"/>
    <cellStyle name="Percent 3 3" xfId="1585" xr:uid="{00000000-0005-0000-0000-0000E5050000}"/>
    <cellStyle name="Percent 4" xfId="333" xr:uid="{00000000-0005-0000-0000-0000E6050000}"/>
    <cellStyle name="Percent 4 2" xfId="1586" xr:uid="{00000000-0005-0000-0000-0000E7050000}"/>
    <cellStyle name="Percent 5" xfId="335" xr:uid="{00000000-0005-0000-0000-0000E8050000}"/>
    <cellStyle name="Percent 5 2" xfId="1587" xr:uid="{00000000-0005-0000-0000-0000E9050000}"/>
    <cellStyle name="Percent 5 3" xfId="1588" xr:uid="{00000000-0005-0000-0000-0000EA050000}"/>
    <cellStyle name="Percent 6" xfId="579" xr:uid="{00000000-0005-0000-0000-0000EB050000}"/>
    <cellStyle name="Percent 7" xfId="1589" xr:uid="{00000000-0005-0000-0000-0000EC050000}"/>
    <cellStyle name="Percent 8" xfId="1590" xr:uid="{00000000-0005-0000-0000-0000ED050000}"/>
    <cellStyle name="Percent 8 2" xfId="1591" xr:uid="{00000000-0005-0000-0000-0000EE050000}"/>
    <cellStyle name="Percent 9" xfId="1592" xr:uid="{00000000-0005-0000-0000-0000EF050000}"/>
    <cellStyle name="Percent Input" xfId="254" xr:uid="{00000000-0005-0000-0000-0000F0050000}"/>
    <cellStyle name="Percent0" xfId="255" xr:uid="{00000000-0005-0000-0000-0000F1050000}"/>
    <cellStyle name="Percent1" xfId="256" xr:uid="{00000000-0005-0000-0000-0000F2050000}"/>
    <cellStyle name="Percent2" xfId="257" xr:uid="{00000000-0005-0000-0000-0000F3050000}"/>
    <cellStyle name="PSChar" xfId="258" xr:uid="{00000000-0005-0000-0000-0000F4050000}"/>
    <cellStyle name="PSDate" xfId="259" xr:uid="{00000000-0005-0000-0000-0000F5050000}"/>
    <cellStyle name="PSDec" xfId="260" xr:uid="{00000000-0005-0000-0000-0000F6050000}"/>
    <cellStyle name="PSdesc" xfId="261" xr:uid="{00000000-0005-0000-0000-0000F7050000}"/>
    <cellStyle name="PSDetail" xfId="1593" xr:uid="{00000000-0005-0000-0000-0000F8050000}"/>
    <cellStyle name="PSHeading" xfId="262" xr:uid="{00000000-0005-0000-0000-0000F9050000}"/>
    <cellStyle name="PSInt" xfId="263" xr:uid="{00000000-0005-0000-0000-0000FA050000}"/>
    <cellStyle name="PSSpacer" xfId="264" xr:uid="{00000000-0005-0000-0000-0000FB050000}"/>
    <cellStyle name="PStest" xfId="265" xr:uid="{00000000-0005-0000-0000-0000FC050000}"/>
    <cellStyle name="R00A" xfId="266" xr:uid="{00000000-0005-0000-0000-0000FD050000}"/>
    <cellStyle name="R00B" xfId="267" xr:uid="{00000000-0005-0000-0000-0000FE050000}"/>
    <cellStyle name="R00L" xfId="268" xr:uid="{00000000-0005-0000-0000-0000FF050000}"/>
    <cellStyle name="R01A" xfId="269" xr:uid="{00000000-0005-0000-0000-000000060000}"/>
    <cellStyle name="R01B" xfId="270" xr:uid="{00000000-0005-0000-0000-000001060000}"/>
    <cellStyle name="R01H" xfId="271" xr:uid="{00000000-0005-0000-0000-000002060000}"/>
    <cellStyle name="R01L" xfId="272" xr:uid="{00000000-0005-0000-0000-000003060000}"/>
    <cellStyle name="R02A" xfId="273" xr:uid="{00000000-0005-0000-0000-000004060000}"/>
    <cellStyle name="R02B" xfId="274" xr:uid="{00000000-0005-0000-0000-000005060000}"/>
    <cellStyle name="R02H" xfId="275" xr:uid="{00000000-0005-0000-0000-000006060000}"/>
    <cellStyle name="R02L" xfId="276" xr:uid="{00000000-0005-0000-0000-000007060000}"/>
    <cellStyle name="R03A" xfId="277" xr:uid="{00000000-0005-0000-0000-000008060000}"/>
    <cellStyle name="R03B" xfId="278" xr:uid="{00000000-0005-0000-0000-000009060000}"/>
    <cellStyle name="R03H" xfId="279" xr:uid="{00000000-0005-0000-0000-00000A060000}"/>
    <cellStyle name="R03L" xfId="280" xr:uid="{00000000-0005-0000-0000-00000B060000}"/>
    <cellStyle name="R04A" xfId="281" xr:uid="{00000000-0005-0000-0000-00000C060000}"/>
    <cellStyle name="R04B" xfId="282" xr:uid="{00000000-0005-0000-0000-00000D060000}"/>
    <cellStyle name="R04H" xfId="283" xr:uid="{00000000-0005-0000-0000-00000E060000}"/>
    <cellStyle name="R04L" xfId="284" xr:uid="{00000000-0005-0000-0000-00000F060000}"/>
    <cellStyle name="R05A" xfId="285" xr:uid="{00000000-0005-0000-0000-000010060000}"/>
    <cellStyle name="R05B" xfId="286" xr:uid="{00000000-0005-0000-0000-000011060000}"/>
    <cellStyle name="R05H" xfId="287" xr:uid="{00000000-0005-0000-0000-000012060000}"/>
    <cellStyle name="R05L" xfId="288" xr:uid="{00000000-0005-0000-0000-000013060000}"/>
    <cellStyle name="R06A" xfId="289" xr:uid="{00000000-0005-0000-0000-000014060000}"/>
    <cellStyle name="R06B" xfId="290" xr:uid="{00000000-0005-0000-0000-000015060000}"/>
    <cellStyle name="R06H" xfId="291" xr:uid="{00000000-0005-0000-0000-000016060000}"/>
    <cellStyle name="R06L" xfId="292" xr:uid="{00000000-0005-0000-0000-000017060000}"/>
    <cellStyle name="R07A" xfId="293" xr:uid="{00000000-0005-0000-0000-000018060000}"/>
    <cellStyle name="R07B" xfId="294" xr:uid="{00000000-0005-0000-0000-000019060000}"/>
    <cellStyle name="R07H" xfId="295" xr:uid="{00000000-0005-0000-0000-00001A060000}"/>
    <cellStyle name="R07L" xfId="296" xr:uid="{00000000-0005-0000-0000-00001B060000}"/>
    <cellStyle name="rborder" xfId="297" xr:uid="{00000000-0005-0000-0000-00001C060000}"/>
    <cellStyle name="red" xfId="298" xr:uid="{00000000-0005-0000-0000-00001D060000}"/>
    <cellStyle name="robyn" xfId="1594" xr:uid="{00000000-0005-0000-0000-00001E060000}"/>
    <cellStyle name="s_HardInc " xfId="299" xr:uid="{00000000-0005-0000-0000-00001F060000}"/>
    <cellStyle name="s_HardInc _ITC Great Plains Formula 1-12-09a" xfId="300" xr:uid="{00000000-0005-0000-0000-000020060000}"/>
    <cellStyle name="scenario" xfId="301" xr:uid="{00000000-0005-0000-0000-000021060000}"/>
    <cellStyle name="SectionHeaderNormal" xfId="1595" xr:uid="{00000000-0005-0000-0000-000022060000}"/>
    <cellStyle name="Sheetmult" xfId="302" xr:uid="{00000000-0005-0000-0000-000023060000}"/>
    <cellStyle name="Short Date" xfId="1596" xr:uid="{00000000-0005-0000-0000-000024060000}"/>
    <cellStyle name="Short Date 2" xfId="1597" xr:uid="{00000000-0005-0000-0000-000025060000}"/>
    <cellStyle name="Shtmultx" xfId="303" xr:uid="{00000000-0005-0000-0000-000026060000}"/>
    <cellStyle name="Smart General" xfId="1598" xr:uid="{00000000-0005-0000-0000-000027060000}"/>
    <cellStyle name="Style 1" xfId="304" xr:uid="{00000000-0005-0000-0000-000028060000}"/>
    <cellStyle name="STYLE1" xfId="305" xr:uid="{00000000-0005-0000-0000-000029060000}"/>
    <cellStyle name="STYLE2" xfId="306" xr:uid="{00000000-0005-0000-0000-00002A060000}"/>
    <cellStyle name="SubScript" xfId="1599" xr:uid="{00000000-0005-0000-0000-00002B060000}"/>
    <cellStyle name="SuperScript" xfId="1600" xr:uid="{00000000-0005-0000-0000-00002C060000}"/>
    <cellStyle name="TableHeading" xfId="307" xr:uid="{00000000-0005-0000-0000-00002D060000}"/>
    <cellStyle name="tb" xfId="308" xr:uid="{00000000-0005-0000-0000-00002E060000}"/>
    <cellStyle name="TextBold" xfId="1601" xr:uid="{00000000-0005-0000-0000-00002F060000}"/>
    <cellStyle name="TextItalic" xfId="1602" xr:uid="{00000000-0005-0000-0000-000030060000}"/>
    <cellStyle name="TextNormal" xfId="1603" xr:uid="{00000000-0005-0000-0000-000031060000}"/>
    <cellStyle name="Tickmark" xfId="309" xr:uid="{00000000-0005-0000-0000-000032060000}"/>
    <cellStyle name="Title" xfId="512" builtinId="15" customBuiltin="1"/>
    <cellStyle name="Title 2" xfId="1604" xr:uid="{00000000-0005-0000-0000-000034060000}"/>
    <cellStyle name="Title 2 2" xfId="1605" xr:uid="{00000000-0005-0000-0000-000035060000}"/>
    <cellStyle name="Title 2 3" xfId="1606" xr:uid="{00000000-0005-0000-0000-000036060000}"/>
    <cellStyle name="Title 3" xfId="1607" xr:uid="{00000000-0005-0000-0000-000037060000}"/>
    <cellStyle name="Title 4" xfId="1608" xr:uid="{00000000-0005-0000-0000-000038060000}"/>
    <cellStyle name="Title1" xfId="310" xr:uid="{00000000-0005-0000-0000-000039060000}"/>
    <cellStyle name="TitleNormal" xfId="1609" xr:uid="{00000000-0005-0000-0000-00003A060000}"/>
    <cellStyle name="top" xfId="311" xr:uid="{00000000-0005-0000-0000-00003B060000}"/>
    <cellStyle name="Total" xfId="527" builtinId="25" customBuiltin="1"/>
    <cellStyle name="Total 2" xfId="1610" xr:uid="{00000000-0005-0000-0000-00003D060000}"/>
    <cellStyle name="Total 2 2" xfId="1611" xr:uid="{00000000-0005-0000-0000-00003E060000}"/>
    <cellStyle name="Total 2 3" xfId="1612" xr:uid="{00000000-0005-0000-0000-00003F060000}"/>
    <cellStyle name="Total 3" xfId="1613" xr:uid="{00000000-0005-0000-0000-000040060000}"/>
    <cellStyle name="Total 4" xfId="1614" xr:uid="{00000000-0005-0000-0000-000041060000}"/>
    <cellStyle name="Undefined" xfId="1615" xr:uid="{00000000-0005-0000-0000-000042060000}"/>
    <cellStyle name="Unprot" xfId="1616" xr:uid="{00000000-0005-0000-0000-000043060000}"/>
    <cellStyle name="Unprot$" xfId="1617" xr:uid="{00000000-0005-0000-0000-000044060000}"/>
    <cellStyle name="Unprotect" xfId="1618" xr:uid="{00000000-0005-0000-0000-000045060000}"/>
    <cellStyle name="w" xfId="312" xr:uid="{00000000-0005-0000-0000-000046060000}"/>
    <cellStyle name="Warning Text" xfId="525" builtinId="11" customBuiltin="1"/>
    <cellStyle name="Warning Text 2" xfId="1619" xr:uid="{00000000-0005-0000-0000-000048060000}"/>
    <cellStyle name="Warning Text 2 2" xfId="1620" xr:uid="{00000000-0005-0000-0000-000049060000}"/>
    <cellStyle name="Warning Text 2 3" xfId="1621" xr:uid="{00000000-0005-0000-0000-00004A060000}"/>
    <cellStyle name="Warning Text 3" xfId="1622" xr:uid="{00000000-0005-0000-0000-00004B060000}"/>
    <cellStyle name="XComma" xfId="313" xr:uid="{00000000-0005-0000-0000-00004C060000}"/>
    <cellStyle name="XComma 0.0" xfId="314" xr:uid="{00000000-0005-0000-0000-00004D060000}"/>
    <cellStyle name="XComma 0.00" xfId="315" xr:uid="{00000000-0005-0000-0000-00004E060000}"/>
    <cellStyle name="XComma 0.000" xfId="316" xr:uid="{00000000-0005-0000-0000-00004F060000}"/>
    <cellStyle name="XCurrency" xfId="317" xr:uid="{00000000-0005-0000-0000-000050060000}"/>
    <cellStyle name="XCurrency 0.0" xfId="318" xr:uid="{00000000-0005-0000-0000-000051060000}"/>
    <cellStyle name="XCurrency 0.00" xfId="319" xr:uid="{00000000-0005-0000-0000-000052060000}"/>
    <cellStyle name="XCurrency 0.000" xfId="320" xr:uid="{00000000-0005-0000-0000-000053060000}"/>
    <cellStyle name="yra" xfId="321" xr:uid="{00000000-0005-0000-0000-000054060000}"/>
    <cellStyle name="yrActual" xfId="322" xr:uid="{00000000-0005-0000-0000-000055060000}"/>
    <cellStyle name="yre" xfId="323" xr:uid="{00000000-0005-0000-0000-000056060000}"/>
    <cellStyle name="yrExpect" xfId="324" xr:uid="{00000000-0005-0000-0000-000057060000}"/>
  </cellStyles>
  <dxfs count="0"/>
  <tableStyles count="0" defaultTableStyle="TableStyleMedium9" defaultPivotStyle="PivotStyleLight16"/>
  <colors>
    <mruColors>
      <color rgb="FF0000FF"/>
      <color rgb="FF00FF00"/>
      <color rgb="FFFFFF99"/>
      <color rgb="FF66FFFF"/>
      <color rgb="FFFF3399"/>
      <color rgb="FFFF3300"/>
      <color rgb="FFCCFFFF"/>
      <color rgb="FFFFFFCC"/>
      <color rgb="FF990000"/>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1</xdr:row>
          <xdr:rowOff>22860</xdr:rowOff>
        </xdr:from>
        <xdr:to>
          <xdr:col>8</xdr:col>
          <xdr:colOff>716280</xdr:colOff>
          <xdr:row>5</xdr:row>
          <xdr:rowOff>0</xdr:rowOff>
        </xdr:to>
        <xdr:sp macro="" textlink="">
          <xdr:nvSpPr>
            <xdr:cNvPr id="35841" name="Button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0000"/>
                  </a:solidFill>
                  <a:latin typeface="Arial MT"/>
                </a:rPr>
                <a:t>H-22A </a:t>
              </a:r>
            </a:p>
            <a:p>
              <a:pPr algn="ctr" rtl="0">
                <a:defRPr sz="1000"/>
              </a:pPr>
              <a:r>
                <a:rPr lang="en-US" sz="1200" b="0" i="0" u="none" strike="noStrike" baseline="0">
                  <a:solidFill>
                    <a:srgbClr val="FF0000"/>
                  </a:solidFill>
                  <a:latin typeface="Arial MT"/>
                </a:rPr>
                <a:t>DE OH &amp; KY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xdr:row>
          <xdr:rowOff>0</xdr:rowOff>
        </xdr:from>
        <xdr:to>
          <xdr:col>12</xdr:col>
          <xdr:colOff>0</xdr:colOff>
          <xdr:row>4</xdr:row>
          <xdr:rowOff>182880</xdr:rowOff>
        </xdr:to>
        <xdr:sp macro="" textlink="">
          <xdr:nvSpPr>
            <xdr:cNvPr id="35842" name="Button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0000"/>
                  </a:solidFill>
                  <a:latin typeface="Arial MT"/>
                </a:rPr>
                <a:t>H-22A </a:t>
              </a:r>
            </a:p>
            <a:p>
              <a:pPr algn="ctr" rtl="0">
                <a:defRPr sz="1000"/>
              </a:pPr>
              <a:r>
                <a:rPr lang="en-US" sz="1200" b="0" i="0" u="none" strike="noStrike" baseline="0">
                  <a:solidFill>
                    <a:srgbClr val="FF0000"/>
                  </a:solidFill>
                  <a:latin typeface="Arial MT"/>
                </a:rPr>
                <a:t>DE Ohio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220980</xdr:colOff>
          <xdr:row>1</xdr:row>
          <xdr:rowOff>7620</xdr:rowOff>
        </xdr:from>
        <xdr:to>
          <xdr:col>14</xdr:col>
          <xdr:colOff>716280</xdr:colOff>
          <xdr:row>5</xdr:row>
          <xdr:rowOff>22860</xdr:rowOff>
        </xdr:to>
        <xdr:sp macro="" textlink="">
          <xdr:nvSpPr>
            <xdr:cNvPr id="35843" name="Button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0000"/>
                  </a:solidFill>
                  <a:latin typeface="Arial MT"/>
                </a:rPr>
                <a:t>H-22A</a:t>
              </a:r>
            </a:p>
            <a:p>
              <a:pPr algn="ctr" rtl="0">
                <a:defRPr sz="1000"/>
              </a:pPr>
              <a:r>
                <a:rPr lang="en-US" sz="1200" b="0" i="0" u="none" strike="noStrike" baseline="0">
                  <a:solidFill>
                    <a:srgbClr val="FF0000"/>
                  </a:solidFill>
                  <a:latin typeface="Arial MT"/>
                </a:rPr>
                <a:t>DE Kentucky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xdr:row>
          <xdr:rowOff>22860</xdr:rowOff>
        </xdr:from>
        <xdr:to>
          <xdr:col>5</xdr:col>
          <xdr:colOff>716280</xdr:colOff>
          <xdr:row>5</xdr:row>
          <xdr:rowOff>0</xdr:rowOff>
        </xdr:to>
        <xdr:sp macro="" textlink="">
          <xdr:nvSpPr>
            <xdr:cNvPr id="35844" name="Button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0000"/>
                  </a:solidFill>
                  <a:latin typeface="Arial MT"/>
                </a:rPr>
                <a:t>ATTACHMENT </a:t>
              </a:r>
            </a:p>
            <a:p>
              <a:pPr algn="ctr" rtl="0">
                <a:defRPr sz="1000"/>
              </a:pPr>
              <a:r>
                <a:rPr lang="en-US" sz="1200" b="0" i="0" u="none" strike="noStrike" baseline="0">
                  <a:solidFill>
                    <a:srgbClr val="FF0000"/>
                  </a:solidFill>
                  <a:latin typeface="Arial MT"/>
                </a:rPr>
                <a:t>H-22A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6</xdr:row>
          <xdr:rowOff>22860</xdr:rowOff>
        </xdr:from>
        <xdr:to>
          <xdr:col>5</xdr:col>
          <xdr:colOff>716280</xdr:colOff>
          <xdr:row>10</xdr:row>
          <xdr:rowOff>7620</xdr:rowOff>
        </xdr:to>
        <xdr:sp macro="" textlink="">
          <xdr:nvSpPr>
            <xdr:cNvPr id="35845" name="Button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6</xdr:row>
          <xdr:rowOff>60960</xdr:rowOff>
        </xdr:from>
        <xdr:to>
          <xdr:col>8</xdr:col>
          <xdr:colOff>716280</xdr:colOff>
          <xdr:row>10</xdr:row>
          <xdr:rowOff>38100</xdr:rowOff>
        </xdr:to>
        <xdr:sp macro="" textlink="">
          <xdr:nvSpPr>
            <xdr:cNvPr id="35846" name="Button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OH &amp; KY</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68580</xdr:rowOff>
        </xdr:from>
        <xdr:to>
          <xdr:col>11</xdr:col>
          <xdr:colOff>716280</xdr:colOff>
          <xdr:row>10</xdr:row>
          <xdr:rowOff>60960</xdr:rowOff>
        </xdr:to>
        <xdr:sp macro="" textlink="">
          <xdr:nvSpPr>
            <xdr:cNvPr id="35847" name="Button 7" hidden="1">
              <a:extLst>
                <a:ext uri="{63B3BB69-23CF-44E3-9099-C40C66FF867C}">
                  <a14:compatExt spid="_x0000_s35847"/>
                </a:ext>
                <a:ext uri="{FF2B5EF4-FFF2-40B4-BE49-F238E27FC236}">
                  <a16:creationId xmlns:a16="http://schemas.microsoft.com/office/drawing/2014/main" id="{00000000-0008-0000-0000-000007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Ohio</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6</xdr:row>
          <xdr:rowOff>68580</xdr:rowOff>
        </xdr:from>
        <xdr:to>
          <xdr:col>14</xdr:col>
          <xdr:colOff>716280</xdr:colOff>
          <xdr:row>10</xdr:row>
          <xdr:rowOff>60960</xdr:rowOff>
        </xdr:to>
        <xdr:sp macro="" textlink="">
          <xdr:nvSpPr>
            <xdr:cNvPr id="35848" name="Button 8" hidden="1">
              <a:extLst>
                <a:ext uri="{63B3BB69-23CF-44E3-9099-C40C66FF867C}">
                  <a14:compatExt spid="_x0000_s35848"/>
                </a:ext>
                <a:ext uri="{FF2B5EF4-FFF2-40B4-BE49-F238E27FC236}">
                  <a16:creationId xmlns:a16="http://schemas.microsoft.com/office/drawing/2014/main" id="{00000000-0008-0000-0000-000008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333399"/>
                  </a:solidFill>
                  <a:latin typeface="Arial MT"/>
                </a:rPr>
                <a:t>APPENDIX B</a:t>
              </a:r>
            </a:p>
            <a:p>
              <a:pPr algn="ctr" rtl="0">
                <a:defRPr sz="1000"/>
              </a:pPr>
              <a:r>
                <a:rPr lang="en-US" sz="1200" b="0" i="0" u="none" strike="noStrike" baseline="0">
                  <a:solidFill>
                    <a:srgbClr val="333399"/>
                  </a:solidFill>
                  <a:latin typeface="Arial MT"/>
                </a:rPr>
                <a:t>DE Kentucky</a:t>
              </a:r>
            </a:p>
            <a:p>
              <a:pPr algn="ctr" rtl="0">
                <a:defRPr sz="1000"/>
              </a:pPr>
              <a:r>
                <a:rPr lang="en-US" sz="1200" b="0" i="0" u="none" strike="noStrike" baseline="0">
                  <a:solidFill>
                    <a:srgbClr val="333399"/>
                  </a:solidFill>
                  <a:latin typeface="Arial MT"/>
                </a:rPr>
                <a:t>(RTEP)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45720</xdr:rowOff>
        </xdr:from>
        <xdr:to>
          <xdr:col>5</xdr:col>
          <xdr:colOff>716280</xdr:colOff>
          <xdr:row>15</xdr:row>
          <xdr:rowOff>30480</xdr:rowOff>
        </xdr:to>
        <xdr:sp macro="" textlink="">
          <xdr:nvSpPr>
            <xdr:cNvPr id="35849" name="Button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11</xdr:row>
          <xdr:rowOff>60960</xdr:rowOff>
        </xdr:from>
        <xdr:to>
          <xdr:col>8</xdr:col>
          <xdr:colOff>716280</xdr:colOff>
          <xdr:row>15</xdr:row>
          <xdr:rowOff>45720</xdr:rowOff>
        </xdr:to>
        <xdr:sp macro="" textlink="">
          <xdr:nvSpPr>
            <xdr:cNvPr id="35850" name="Button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OH &amp; KY</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83820</xdr:rowOff>
        </xdr:from>
        <xdr:to>
          <xdr:col>11</xdr:col>
          <xdr:colOff>716280</xdr:colOff>
          <xdr:row>15</xdr:row>
          <xdr:rowOff>68580</xdr:rowOff>
        </xdr:to>
        <xdr:sp macro="" textlink="">
          <xdr:nvSpPr>
            <xdr:cNvPr id="35851" name="Button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Ohio</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11</xdr:row>
          <xdr:rowOff>60960</xdr:rowOff>
        </xdr:from>
        <xdr:to>
          <xdr:col>14</xdr:col>
          <xdr:colOff>716280</xdr:colOff>
          <xdr:row>15</xdr:row>
          <xdr:rowOff>45720</xdr:rowOff>
        </xdr:to>
        <xdr:sp macro="" textlink="">
          <xdr:nvSpPr>
            <xdr:cNvPr id="35852" name="Button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FF6600"/>
                  </a:solidFill>
                  <a:latin typeface="Arial MT"/>
                </a:rPr>
                <a:t>APPENDIX C</a:t>
              </a:r>
            </a:p>
            <a:p>
              <a:pPr algn="ctr" rtl="0">
                <a:defRPr sz="1000"/>
              </a:pPr>
              <a:r>
                <a:rPr lang="en-US" sz="1200" b="0" i="0" u="none" strike="noStrike" baseline="0">
                  <a:solidFill>
                    <a:srgbClr val="FF6600"/>
                  </a:solidFill>
                  <a:latin typeface="Arial MT"/>
                </a:rPr>
                <a:t>DE Kentucky</a:t>
              </a:r>
            </a:p>
            <a:p>
              <a:pPr algn="ctr" rtl="0">
                <a:defRPr sz="1000"/>
              </a:pPr>
              <a:r>
                <a:rPr lang="en-US" sz="1200" b="0" i="0" u="none" strike="noStrike" baseline="0">
                  <a:solidFill>
                    <a:srgbClr val="FF6600"/>
                  </a:solidFill>
                  <a:latin typeface="Arial MT"/>
                </a:rPr>
                <a:t>(MTEP)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xdr:row>
          <xdr:rowOff>22860</xdr:rowOff>
        </xdr:from>
        <xdr:to>
          <xdr:col>2</xdr:col>
          <xdr:colOff>716280</xdr:colOff>
          <xdr:row>5</xdr:row>
          <xdr:rowOff>0</xdr:rowOff>
        </xdr:to>
        <xdr:sp macro="" textlink="">
          <xdr:nvSpPr>
            <xdr:cNvPr id="35858" name="Button 18" hidden="1">
              <a:extLst>
                <a:ext uri="{63B3BB69-23CF-44E3-9099-C40C66FF867C}">
                  <a14:compatExt spid="_x0000_s35858"/>
                </a:ext>
                <a:ext uri="{FF2B5EF4-FFF2-40B4-BE49-F238E27FC236}">
                  <a16:creationId xmlns:a16="http://schemas.microsoft.com/office/drawing/2014/main" id="{00000000-0008-0000-0000-000012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000000"/>
                  </a:solidFill>
                  <a:latin typeface="Arial MT"/>
                </a:rPr>
                <a:t>PRINT ALL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11</xdr:row>
          <xdr:rowOff>22860</xdr:rowOff>
        </xdr:from>
        <xdr:to>
          <xdr:col>2</xdr:col>
          <xdr:colOff>716280</xdr:colOff>
          <xdr:row>15</xdr:row>
          <xdr:rowOff>0</xdr:rowOff>
        </xdr:to>
        <xdr:sp macro="" textlink="">
          <xdr:nvSpPr>
            <xdr:cNvPr id="35866" name="Button 26" hidden="1">
              <a:extLst>
                <a:ext uri="{63B3BB69-23CF-44E3-9099-C40C66FF867C}">
                  <a14:compatExt spid="_x0000_s35866"/>
                </a:ext>
                <a:ext uri="{FF2B5EF4-FFF2-40B4-BE49-F238E27FC236}">
                  <a16:creationId xmlns:a16="http://schemas.microsoft.com/office/drawing/2014/main" id="{00000000-0008-0000-0000-00001A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000000"/>
                  </a:solidFill>
                  <a:latin typeface="Arial MT"/>
                </a:rPr>
                <a:t>SUPPORT SCHEDULES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236220</xdr:colOff>
          <xdr:row>6</xdr:row>
          <xdr:rowOff>22860</xdr:rowOff>
        </xdr:from>
        <xdr:to>
          <xdr:col>2</xdr:col>
          <xdr:colOff>716280</xdr:colOff>
          <xdr:row>9</xdr:row>
          <xdr:rowOff>137160</xdr:rowOff>
        </xdr:to>
        <xdr:sp macro="" textlink="">
          <xdr:nvSpPr>
            <xdr:cNvPr id="35868" name="Button 28" hidden="1">
              <a:extLst>
                <a:ext uri="{63B3BB69-23CF-44E3-9099-C40C66FF867C}">
                  <a14:compatExt spid="_x0000_s35868"/>
                </a:ext>
                <a:ext uri="{FF2B5EF4-FFF2-40B4-BE49-F238E27FC236}">
                  <a16:creationId xmlns:a16="http://schemas.microsoft.com/office/drawing/2014/main" id="{00000000-0008-0000-0000-00001C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993300"/>
                  </a:solidFill>
                  <a:latin typeface="Arial MT"/>
                </a:rPr>
                <a:t>APPENDIX A</a:t>
              </a:r>
            </a:p>
            <a:p>
              <a:pPr algn="ctr" rtl="0">
                <a:defRPr sz="1000"/>
              </a:pPr>
              <a:r>
                <a:rPr lang="en-US" sz="1200" b="0" i="0" u="none" strike="noStrike" baseline="0">
                  <a:solidFill>
                    <a:srgbClr val="993300"/>
                  </a:solidFill>
                  <a:latin typeface="Arial MT"/>
                </a:rPr>
                <a:t>SCH 1A</a:t>
              </a:r>
            </a:p>
            <a:p>
              <a:pPr algn="ctr" rtl="0">
                <a:defRPr sz="1000"/>
              </a:pPr>
              <a:endParaRPr lang="en-US" sz="1200" b="0" i="0" u="none" strike="noStrike" baseline="0">
                <a:solidFill>
                  <a:srgbClr val="993300"/>
                </a:solidFill>
                <a:latin typeface="Arial MT"/>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21</xdr:row>
          <xdr:rowOff>22860</xdr:rowOff>
        </xdr:from>
        <xdr:to>
          <xdr:col>8</xdr:col>
          <xdr:colOff>716280</xdr:colOff>
          <xdr:row>25</xdr:row>
          <xdr:rowOff>0</xdr:rowOff>
        </xdr:to>
        <xdr:sp macro="" textlink="">
          <xdr:nvSpPr>
            <xdr:cNvPr id="35877" name="Button 37" hidden="1">
              <a:extLst>
                <a:ext uri="{63B3BB69-23CF-44E3-9099-C40C66FF867C}">
                  <a14:compatExt spid="_x0000_s35877"/>
                </a:ext>
                <a:ext uri="{FF2B5EF4-FFF2-40B4-BE49-F238E27FC236}">
                  <a16:creationId xmlns:a16="http://schemas.microsoft.com/office/drawing/2014/main" id="{00000000-0008-0000-0000-000025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993366"/>
                  </a:solidFill>
                  <a:latin typeface="Arial MT"/>
                </a:rPr>
                <a:t>APPENDIX E</a:t>
              </a:r>
            </a:p>
            <a:p>
              <a:pPr algn="ctr" rtl="0">
                <a:defRPr sz="1000"/>
              </a:pPr>
              <a:r>
                <a:rPr lang="en-US" sz="1200" b="0" i="0" u="none" strike="noStrike" baseline="0">
                  <a:solidFill>
                    <a:srgbClr val="993366"/>
                  </a:solidFill>
                  <a:latin typeface="Arial MT"/>
                </a:rPr>
                <a:t>DE OH &amp; KY</a:t>
              </a:r>
            </a:p>
            <a:p>
              <a:pPr algn="ctr" rtl="0">
                <a:defRPr sz="1000"/>
              </a:pPr>
              <a:r>
                <a:rPr lang="en-US" sz="1200" b="0" i="0" u="none" strike="noStrike" baseline="0">
                  <a:solidFill>
                    <a:srgbClr val="993366"/>
                  </a:solidFill>
                  <a:latin typeface="Arial MT"/>
                </a:rPr>
                <a:t>(Firm PTP Cr. Adj.)</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99060</xdr:rowOff>
        </xdr:from>
        <xdr:to>
          <xdr:col>5</xdr:col>
          <xdr:colOff>716280</xdr:colOff>
          <xdr:row>20</xdr:row>
          <xdr:rowOff>83820</xdr:rowOff>
        </xdr:to>
        <xdr:sp macro="" textlink="">
          <xdr:nvSpPr>
            <xdr:cNvPr id="35878" name="Button 38" hidden="1">
              <a:extLst>
                <a:ext uri="{63B3BB69-23CF-44E3-9099-C40C66FF867C}">
                  <a14:compatExt spid="_x0000_s35878"/>
                </a:ext>
                <a:ext uri="{FF2B5EF4-FFF2-40B4-BE49-F238E27FC236}">
                  <a16:creationId xmlns:a16="http://schemas.microsoft.com/office/drawing/2014/main" id="{00000000-0008-0000-0000-000026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Depreciation Rates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16</xdr:row>
          <xdr:rowOff>106680</xdr:rowOff>
        </xdr:from>
        <xdr:to>
          <xdr:col>8</xdr:col>
          <xdr:colOff>716280</xdr:colOff>
          <xdr:row>20</xdr:row>
          <xdr:rowOff>99060</xdr:rowOff>
        </xdr:to>
        <xdr:sp macro="" textlink="">
          <xdr:nvSpPr>
            <xdr:cNvPr id="35880" name="Button 40" hidden="1">
              <a:extLst>
                <a:ext uri="{63B3BB69-23CF-44E3-9099-C40C66FF867C}">
                  <a14:compatExt spid="_x0000_s35880"/>
                </a:ext>
                <a:ext uri="{FF2B5EF4-FFF2-40B4-BE49-F238E27FC236}">
                  <a16:creationId xmlns:a16="http://schemas.microsoft.com/office/drawing/2014/main" id="{00000000-0008-0000-0000-000028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 Ohio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16</xdr:row>
          <xdr:rowOff>106680</xdr:rowOff>
        </xdr:from>
        <xdr:to>
          <xdr:col>11</xdr:col>
          <xdr:colOff>716280</xdr:colOff>
          <xdr:row>20</xdr:row>
          <xdr:rowOff>99060</xdr:rowOff>
        </xdr:to>
        <xdr:sp macro="" textlink="">
          <xdr:nvSpPr>
            <xdr:cNvPr id="35881" name="Button 41" hidden="1">
              <a:extLst>
                <a:ext uri="{63B3BB69-23CF-44E3-9099-C40C66FF867C}">
                  <a14:compatExt spid="_x0000_s35881"/>
                </a:ext>
                <a:ext uri="{FF2B5EF4-FFF2-40B4-BE49-F238E27FC236}">
                  <a16:creationId xmlns:a16="http://schemas.microsoft.com/office/drawing/2014/main" id="{00000000-0008-0000-0000-0000298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0" i="0" u="none" strike="noStrike" baseline="0">
                  <a:solidFill>
                    <a:srgbClr val="008000"/>
                  </a:solidFill>
                  <a:latin typeface="Arial MT"/>
                </a:rPr>
                <a:t>APPENDIX D</a:t>
              </a:r>
            </a:p>
            <a:p>
              <a:pPr algn="ctr" rtl="0">
                <a:defRPr sz="1000"/>
              </a:pPr>
              <a:r>
                <a:rPr lang="en-US" sz="1200" b="0" i="0" u="none" strike="noStrike" baseline="0">
                  <a:solidFill>
                    <a:srgbClr val="008000"/>
                  </a:solidFill>
                  <a:latin typeface="Arial MT"/>
                </a:rPr>
                <a:t>DE Kentucky</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42334</xdr:colOff>
      <xdr:row>152</xdr:row>
      <xdr:rowOff>79295</xdr:rowOff>
    </xdr:from>
    <xdr:to>
      <xdr:col>23</xdr:col>
      <xdr:colOff>379090</xdr:colOff>
      <xdr:row>213</xdr:row>
      <xdr:rowOff>77109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763251" y="25648628"/>
          <a:ext cx="12359422" cy="100413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RPT\FinRpt\Needs%20-%20%20Data%20Request\Quarterly%20Data%20Request\Energy%20Services\EnSer_Q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ergy%20Port%20Strat%20&amp;%20Mgmt\Asset%20Valuation\Market\Models\DOCUME~1\santamej\LOCALS~1\Temp\RatingAgencyBU12-05%20Cin%20Curve%20Base%20C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_EQUITY_Field Serv"/>
      <sheetName val="Needs Dates"/>
      <sheetName val="EnSer_QData"/>
    </sheetNames>
    <sheetDataSet>
      <sheetData sheetId="0" refreshError="1">
        <row r="10">
          <cell r="A10" t="str">
            <v>0001</v>
          </cell>
          <cell r="C10" t="str">
            <v>TETCO</v>
          </cell>
          <cell r="D10" t="str">
            <v>Regena Larson/Robert Bugaj</v>
          </cell>
        </row>
        <row r="11">
          <cell r="A11" t="str">
            <v>0008</v>
          </cell>
          <cell r="C11" t="str">
            <v>T.E. Cryogenics</v>
          </cell>
          <cell r="D11" t="str">
            <v>Regena Larson/Robert Bugaj</v>
          </cell>
        </row>
        <row r="12">
          <cell r="A12" t="str">
            <v>0015</v>
          </cell>
          <cell r="C12" t="str">
            <v>T.E. New England</v>
          </cell>
          <cell r="D12" t="str">
            <v>Regena Larson/Robert Bugaj</v>
          </cell>
        </row>
        <row r="13">
          <cell r="A13" t="str">
            <v>0023</v>
          </cell>
          <cell r="C13" t="str">
            <v>Algonquin Energy, Inc</v>
          </cell>
          <cell r="D13" t="str">
            <v>Regena Larson/Sunanda Seval</v>
          </cell>
        </row>
        <row r="14">
          <cell r="A14" t="str">
            <v>0036</v>
          </cell>
          <cell r="C14" t="str">
            <v>Houston Center</v>
          </cell>
          <cell r="D14" t="str">
            <v>Marilyn Charles</v>
          </cell>
        </row>
        <row r="15">
          <cell r="A15" t="str">
            <v>0037</v>
          </cell>
          <cell r="C15" t="str">
            <v>Texas Eastern Communication</v>
          </cell>
          <cell r="D15" t="str">
            <v>Regena Larson/Robert Bugaj</v>
          </cell>
        </row>
        <row r="16">
          <cell r="A16" t="str">
            <v>0046</v>
          </cell>
          <cell r="C16" t="str">
            <v>T.E. Bermuda</v>
          </cell>
          <cell r="D16" t="str">
            <v>Carolyn Tatum</v>
          </cell>
        </row>
        <row r="17">
          <cell r="A17" t="str">
            <v>0050</v>
          </cell>
          <cell r="C17" t="str">
            <v>T.E. Arabian</v>
          </cell>
          <cell r="D17" t="str">
            <v>Carolyn Tatum</v>
          </cell>
        </row>
        <row r="18">
          <cell r="A18" t="str">
            <v>0051</v>
          </cell>
          <cell r="C18" t="str">
            <v>T.E.A. CANADA</v>
          </cell>
          <cell r="D18" t="str">
            <v>Regena Larson/Helena Nguyen</v>
          </cell>
        </row>
        <row r="19">
          <cell r="A19" t="str">
            <v>0063</v>
          </cell>
          <cell r="C19" t="str">
            <v>Texas Eastern Corp</v>
          </cell>
          <cell r="D19" t="str">
            <v>Marilyn Charles</v>
          </cell>
        </row>
        <row r="20">
          <cell r="A20" t="str">
            <v>0078</v>
          </cell>
          <cell r="C20" t="str">
            <v>T.E. Slurry</v>
          </cell>
          <cell r="D20" t="str">
            <v>Marilyn Charles</v>
          </cell>
        </row>
        <row r="21">
          <cell r="A21" t="str">
            <v>0095</v>
          </cell>
          <cell r="C21" t="str">
            <v>T.E. Oil</v>
          </cell>
          <cell r="D21" t="str">
            <v>Marilyn Charles</v>
          </cell>
        </row>
        <row r="22">
          <cell r="A22" t="str">
            <v>0108</v>
          </cell>
          <cell r="C22" t="str">
            <v>Chambers County Land</v>
          </cell>
          <cell r="D22" t="str">
            <v>Regena Larson/Helena Nguyen (for 8/97)</v>
          </cell>
        </row>
        <row r="23">
          <cell r="A23" t="str">
            <v>0110</v>
          </cell>
          <cell r="C23" t="str">
            <v>T.E. Riverside</v>
          </cell>
          <cell r="D23" t="str">
            <v>Regena Larson/Robert Bugaj</v>
          </cell>
        </row>
        <row r="24">
          <cell r="A24" t="str">
            <v>0117</v>
          </cell>
          <cell r="C24" t="str">
            <v>Algonquin Gas Transmission</v>
          </cell>
          <cell r="D24" t="str">
            <v>Regena Larson/Sunanda Seval</v>
          </cell>
        </row>
        <row r="25">
          <cell r="A25" t="str">
            <v>0118</v>
          </cell>
          <cell r="C25" t="str">
            <v>Algonquin LNG</v>
          </cell>
          <cell r="D25" t="str">
            <v>Regena Larson/Sunanda Seval</v>
          </cell>
        </row>
        <row r="26">
          <cell r="A26" t="str">
            <v>0124</v>
          </cell>
          <cell r="C26" t="str">
            <v>AGT Gateway</v>
          </cell>
          <cell r="D26" t="str">
            <v>Regena Larson/Sunanda Seval</v>
          </cell>
        </row>
        <row r="27">
          <cell r="A27" t="str">
            <v>0134</v>
          </cell>
          <cell r="C27" t="str">
            <v>Products Pipeline</v>
          </cell>
          <cell r="D27" t="str">
            <v>Don Barron</v>
          </cell>
        </row>
        <row r="28">
          <cell r="A28" t="str">
            <v>0135</v>
          </cell>
          <cell r="C28" t="str">
            <v>T.E. Liberty</v>
          </cell>
          <cell r="D28" t="str">
            <v>Regena Larson/Robert Bugaj</v>
          </cell>
        </row>
        <row r="29">
          <cell r="A29" t="str">
            <v>0138</v>
          </cell>
          <cell r="C29" t="str">
            <v>TEPPCO Investments</v>
          </cell>
          <cell r="D29" t="str">
            <v xml:space="preserve">Don Barron </v>
          </cell>
        </row>
        <row r="30">
          <cell r="A30" t="str">
            <v>0139</v>
          </cell>
          <cell r="C30" t="str">
            <v>TEPPCO HOLDINGS INC</v>
          </cell>
          <cell r="D30" t="str">
            <v>Don Barron</v>
          </cell>
        </row>
        <row r="31">
          <cell r="A31" t="str">
            <v>0301</v>
          </cell>
          <cell r="C31" t="str">
            <v>Panhandle Eastern Pipeline</v>
          </cell>
          <cell r="D31" t="str">
            <v>Glen McBride/Katherine Ko</v>
          </cell>
        </row>
        <row r="32">
          <cell r="A32" t="str">
            <v>0305</v>
          </cell>
          <cell r="C32" t="str">
            <v>Panhandle Storage</v>
          </cell>
          <cell r="D32" t="str">
            <v>Glen McBride/Katherine Ko</v>
          </cell>
        </row>
        <row r="33">
          <cell r="A33" t="str">
            <v>0306</v>
          </cell>
          <cell r="C33" t="str">
            <v>Panhandle Michigan</v>
          </cell>
          <cell r="D33" t="str">
            <v>Glen McBride/Katherine Ko</v>
          </cell>
        </row>
        <row r="34">
          <cell r="A34" t="str">
            <v>0307</v>
          </cell>
          <cell r="C34" t="str">
            <v>Trunkline Gas Company</v>
          </cell>
          <cell r="D34" t="str">
            <v>Glen McBride/Katherine Ko</v>
          </cell>
        </row>
        <row r="35">
          <cell r="A35" t="str">
            <v>0310</v>
          </cell>
          <cell r="C35" t="str">
            <v>Energy Pipelines Int'l Co.</v>
          </cell>
          <cell r="D35" t="str">
            <v>Regena Larson/Helena Nguyen</v>
          </cell>
        </row>
        <row r="36">
          <cell r="A36" t="str">
            <v>0311</v>
          </cell>
          <cell r="C36" t="str">
            <v>Panhandle Field Services</v>
          </cell>
          <cell r="D36" t="str">
            <v>Petra Drinkwine</v>
          </cell>
        </row>
        <row r="37">
          <cell r="A37" t="str">
            <v>0313</v>
          </cell>
          <cell r="C37" t="str">
            <v>Panhandle Int'l Development</v>
          </cell>
          <cell r="D37" t="str">
            <v>Carolyn Tatum</v>
          </cell>
        </row>
        <row r="38">
          <cell r="A38" t="str">
            <v>0315</v>
          </cell>
          <cell r="C38" t="str">
            <v>Pan National Gas Sales</v>
          </cell>
          <cell r="D38" t="str">
            <v>Carolyn Tatum</v>
          </cell>
        </row>
        <row r="39">
          <cell r="A39" t="str">
            <v>0316</v>
          </cell>
          <cell r="C39" t="str">
            <v>Pan Border</v>
          </cell>
          <cell r="D39" t="str">
            <v>Glen McBride/Katherine Ko</v>
          </cell>
        </row>
        <row r="40">
          <cell r="A40" t="str">
            <v>0319</v>
          </cell>
          <cell r="C40" t="str">
            <v>Panhandle Acquisition Three</v>
          </cell>
          <cell r="D40" t="str">
            <v>Craig Lindberg</v>
          </cell>
        </row>
        <row r="41">
          <cell r="A41" t="str">
            <v>0320</v>
          </cell>
          <cell r="C41" t="str">
            <v xml:space="preserve">Pelmar </v>
          </cell>
          <cell r="D41" t="str">
            <v>Carolyn Tatum</v>
          </cell>
        </row>
        <row r="42">
          <cell r="A42" t="str">
            <v>0321</v>
          </cell>
          <cell r="C42" t="str">
            <v>Panhandle Four</v>
          </cell>
          <cell r="D42" t="str">
            <v>Regena Larson/Helena Nguyen</v>
          </cell>
        </row>
        <row r="43">
          <cell r="A43" t="str">
            <v>0322</v>
          </cell>
          <cell r="C43" t="str">
            <v>PanEnergy Risk Management</v>
          </cell>
          <cell r="D43" t="str">
            <v>Craig Lindberg</v>
          </cell>
        </row>
        <row r="44">
          <cell r="A44" t="str">
            <v>0325</v>
          </cell>
          <cell r="C44" t="str">
            <v>Pan Service Company</v>
          </cell>
          <cell r="D44" t="str">
            <v>Regena Larson/Helena Nguyen</v>
          </cell>
        </row>
        <row r="45">
          <cell r="A45" t="str">
            <v>0326</v>
          </cell>
          <cell r="C45" t="str">
            <v>PE Services Canad, Ltd</v>
          </cell>
          <cell r="D45" t="str">
            <v>Steve Schroeder/Andrew Le</v>
          </cell>
        </row>
        <row r="46">
          <cell r="A46" t="str">
            <v>0327</v>
          </cell>
          <cell r="C46" t="str">
            <v>Dixilyn Field Drilling</v>
          </cell>
          <cell r="D46" t="str">
            <v>Glen McBride/Katherine Ko</v>
          </cell>
        </row>
        <row r="47">
          <cell r="A47" t="str">
            <v>0332</v>
          </cell>
          <cell r="C47" t="str">
            <v>Trunkline LNG</v>
          </cell>
          <cell r="D47" t="str">
            <v>Carolyn Tatum</v>
          </cell>
        </row>
        <row r="48">
          <cell r="A48" t="str">
            <v>0334</v>
          </cell>
          <cell r="C48" t="str">
            <v>Lachmar</v>
          </cell>
          <cell r="D48" t="str">
            <v>Carolyn Tatum</v>
          </cell>
        </row>
        <row r="49">
          <cell r="A49" t="str">
            <v>0337</v>
          </cell>
          <cell r="C49" t="str">
            <v>PanEnergy Development</v>
          </cell>
          <cell r="D49" t="str">
            <v>Regena Larson/Sunanda Seval</v>
          </cell>
        </row>
        <row r="50">
          <cell r="A50" t="str">
            <v>0338</v>
          </cell>
          <cell r="C50" t="str">
            <v>PanEnergy Information Svs</v>
          </cell>
          <cell r="D50" t="str">
            <v>Regena Larson/Helena Nguyen</v>
          </cell>
        </row>
        <row r="51">
          <cell r="A51" t="str">
            <v>0341</v>
          </cell>
          <cell r="C51" t="str">
            <v>Energyplus Marketing Co.</v>
          </cell>
          <cell r="D51" t="str">
            <v>Regena Larson/Sunanda Seval</v>
          </cell>
        </row>
        <row r="52">
          <cell r="A52" t="str">
            <v>0343</v>
          </cell>
          <cell r="C52" t="str">
            <v>EnergyPlus Ventures Comp.</v>
          </cell>
          <cell r="D52" t="str">
            <v>Regena Larson/Sunanda Seval</v>
          </cell>
        </row>
        <row r="53">
          <cell r="A53" t="str">
            <v>0344</v>
          </cell>
          <cell r="C53" t="str">
            <v>M&amp;N Management Company</v>
          </cell>
          <cell r="D53" t="str">
            <v>Regena Larson/Sunanda Seval</v>
          </cell>
        </row>
        <row r="54">
          <cell r="A54" t="str">
            <v>0345</v>
          </cell>
          <cell r="C54" t="str">
            <v>Pan Gas Storage</v>
          </cell>
          <cell r="D54" t="str">
            <v>Glen McBride/Katherine Ko</v>
          </cell>
        </row>
        <row r="55">
          <cell r="A55" t="str">
            <v>0346</v>
          </cell>
          <cell r="C55" t="str">
            <v>M&amp;N Operating Company</v>
          </cell>
          <cell r="D55" t="str">
            <v>Regena Larson/Sunanda Seval</v>
          </cell>
        </row>
        <row r="56">
          <cell r="A56" t="str">
            <v>0348</v>
          </cell>
          <cell r="C56" t="str">
            <v>PIDC Aguaytia</v>
          </cell>
          <cell r="D56" t="str">
            <v>Carolyn Tatum</v>
          </cell>
        </row>
        <row r="57">
          <cell r="A57" t="str">
            <v>0353</v>
          </cell>
          <cell r="C57" t="str">
            <v xml:space="preserve">Texas-Louisiana Pipeline Co. </v>
          </cell>
          <cell r="D57" t="str">
            <v>Regena Larson/Helena Nguyen</v>
          </cell>
        </row>
        <row r="58">
          <cell r="A58" t="str">
            <v>0354</v>
          </cell>
          <cell r="C58" t="str">
            <v>PanEnergy Trading &amp; Mkt.</v>
          </cell>
          <cell r="D58" t="str">
            <v>Craig Lindberg</v>
          </cell>
        </row>
        <row r="59">
          <cell r="A59" t="str">
            <v>0356</v>
          </cell>
          <cell r="C59" t="str">
            <v>Pan Transportation</v>
          </cell>
          <cell r="D59" t="str">
            <v>Carolyn Tatum</v>
          </cell>
        </row>
        <row r="60">
          <cell r="A60" t="str">
            <v>0360</v>
          </cell>
          <cell r="C60" t="str">
            <v>Pantheon</v>
          </cell>
          <cell r="D60" t="str">
            <v>Carolyn Tatum</v>
          </cell>
        </row>
        <row r="61">
          <cell r="A61" t="str">
            <v>0361</v>
          </cell>
          <cell r="C61" t="str">
            <v>Morgas</v>
          </cell>
          <cell r="D61" t="str">
            <v>Carolyn Tatum</v>
          </cell>
        </row>
        <row r="62">
          <cell r="A62" t="str">
            <v>0364</v>
          </cell>
          <cell r="C62" t="str">
            <v>PE Plus Milford Ventures</v>
          </cell>
          <cell r="D62" t="str">
            <v>Regena Larson/Sunanda Seval</v>
          </cell>
        </row>
        <row r="63">
          <cell r="A63" t="str">
            <v>0365</v>
          </cell>
          <cell r="C63" t="str">
            <v>PE Trading &amp; Market Svcs LLC</v>
          </cell>
          <cell r="D63" t="str">
            <v>Steve Schroeder/Andrew Le</v>
          </cell>
        </row>
        <row r="64">
          <cell r="A64" t="str">
            <v>0368</v>
          </cell>
          <cell r="C64" t="str">
            <v>PTMSI Management</v>
          </cell>
          <cell r="D64" t="str">
            <v>Steve Schroeder/Andrew Le</v>
          </cell>
        </row>
        <row r="65">
          <cell r="A65" t="str">
            <v>0369</v>
          </cell>
          <cell r="C65" t="str">
            <v>PTMSI Management, Ltd.</v>
          </cell>
          <cell r="D65" t="str">
            <v>Steve Schroeder/Andrew Le</v>
          </cell>
        </row>
        <row r="66">
          <cell r="A66" t="str">
            <v>0373</v>
          </cell>
          <cell r="C66" t="str">
            <v>TE Resources, Inc.</v>
          </cell>
          <cell r="D66" t="str">
            <v>Regena Larson/Robert Bugaj</v>
          </cell>
        </row>
        <row r="67">
          <cell r="A67" t="str">
            <v>0376</v>
          </cell>
          <cell r="C67" t="str">
            <v>AGT Resource</v>
          </cell>
          <cell r="D67" t="str">
            <v>Regena Larson/Sunanda Seval</v>
          </cell>
        </row>
        <row r="68">
          <cell r="A68" t="str">
            <v>0378</v>
          </cell>
          <cell r="C68" t="str">
            <v>Pan Services L.P.</v>
          </cell>
          <cell r="D68" t="str">
            <v>Regena Larson/Helena Nguyen</v>
          </cell>
        </row>
        <row r="69">
          <cell r="A69" t="str">
            <v>0383</v>
          </cell>
          <cell r="C69" t="str">
            <v>PE Resources Mgmnt Co</v>
          </cell>
          <cell r="D69" t="str">
            <v>Craig Lindberg</v>
          </cell>
        </row>
        <row r="70">
          <cell r="A70" t="str">
            <v>0385</v>
          </cell>
          <cell r="C70" t="str">
            <v>PanEnergy Colorado</v>
          </cell>
          <cell r="D70" t="str">
            <v>Regena Larson/Helena Nguyen</v>
          </cell>
        </row>
        <row r="71">
          <cell r="A71" t="str">
            <v>0386</v>
          </cell>
          <cell r="C71" t="str">
            <v>TEC Aquaytia</v>
          </cell>
          <cell r="D71" t="str">
            <v>Carolyn Tatum</v>
          </cell>
        </row>
        <row r="72">
          <cell r="A72" t="str">
            <v>0387</v>
          </cell>
          <cell r="C72" t="str">
            <v>PanEnergy E&amp;P Peru</v>
          </cell>
          <cell r="D72" t="str">
            <v>Carolyn Tatum</v>
          </cell>
        </row>
        <row r="73">
          <cell r="A73" t="str">
            <v>0388</v>
          </cell>
          <cell r="C73" t="str">
            <v>Spectrum Interstate Pipeline</v>
          </cell>
          <cell r="D73" t="str">
            <v>Regena Larson/Helena Nguyen</v>
          </cell>
        </row>
        <row r="74">
          <cell r="A74" t="str">
            <v>0389</v>
          </cell>
          <cell r="C74" t="str">
            <v>Excelsior Pipeline Corp</v>
          </cell>
          <cell r="D74" t="str">
            <v>Regena Larson/Robert Bugaj</v>
          </cell>
        </row>
        <row r="75">
          <cell r="A75" t="str">
            <v>0398</v>
          </cell>
          <cell r="C75" t="str">
            <v>1 Source Elimininations</v>
          </cell>
          <cell r="D75" t="str">
            <v>Marilyn Charles</v>
          </cell>
        </row>
        <row r="76">
          <cell r="A76" t="str">
            <v>0399</v>
          </cell>
          <cell r="C76" t="str">
            <v>Panhandle Eastern Corp</v>
          </cell>
          <cell r="D76" t="str">
            <v>Marilyn Charles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sheetPr>
  <dimension ref="A1"/>
  <sheetViews>
    <sheetView zoomScaleNormal="100" workbookViewId="0">
      <selection sqref="A1:XFD1048576"/>
    </sheetView>
  </sheetViews>
  <sheetFormatPr defaultColWidth="8.81640625" defaultRowHeight="15"/>
  <cols>
    <col min="1" max="1" width="3.08984375" style="333" customWidth="1"/>
    <col min="2" max="3" width="8.81640625" style="333"/>
    <col min="4" max="4" width="4.1796875" style="333" customWidth="1"/>
    <col min="5" max="6" width="8.81640625" style="333"/>
    <col min="7" max="7" width="4" style="333" customWidth="1"/>
    <col min="8" max="9" width="8.81640625" style="333"/>
    <col min="10" max="10" width="3.1796875" style="333" customWidth="1"/>
    <col min="11" max="12" width="8.81640625" style="333"/>
    <col min="13" max="13" width="3.36328125" style="333" customWidth="1"/>
    <col min="14" max="16384" width="8.81640625" style="333"/>
  </cols>
  <sheetData>
    <row r="1" ht="7.95" customHeight="1"/>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utton 1">
              <controlPr defaultSize="0" print="0" autoFill="0" autoPict="0" macro="[0]!ThisWorkbook.PRINT_DEOK">
                <anchor moveWithCells="1" sizeWithCells="1">
                  <from>
                    <xdr:col>7</xdr:col>
                    <xdr:colOff>0</xdr:colOff>
                    <xdr:row>1</xdr:row>
                    <xdr:rowOff>22860</xdr:rowOff>
                  </from>
                  <to>
                    <xdr:col>8</xdr:col>
                    <xdr:colOff>716280</xdr:colOff>
                    <xdr:row>5</xdr:row>
                    <xdr:rowOff>0</xdr:rowOff>
                  </to>
                </anchor>
              </controlPr>
            </control>
          </mc:Choice>
        </mc:AlternateContent>
        <mc:AlternateContent xmlns:mc="http://schemas.openxmlformats.org/markup-compatibility/2006">
          <mc:Choice Requires="x14">
            <control shapeId="35842" r:id="rId5" name="Button 2">
              <controlPr defaultSize="0" print="0" autoFill="0" autoPict="0" macro="[0]!ThisWorkbook.PRINT_DEO">
                <anchor moveWithCells="1" sizeWithCells="1">
                  <from>
                    <xdr:col>10</xdr:col>
                    <xdr:colOff>0</xdr:colOff>
                    <xdr:row>1</xdr:row>
                    <xdr:rowOff>0</xdr:rowOff>
                  </from>
                  <to>
                    <xdr:col>12</xdr:col>
                    <xdr:colOff>0</xdr:colOff>
                    <xdr:row>4</xdr:row>
                    <xdr:rowOff>182880</xdr:rowOff>
                  </to>
                </anchor>
              </controlPr>
            </control>
          </mc:Choice>
        </mc:AlternateContent>
        <mc:AlternateContent xmlns:mc="http://schemas.openxmlformats.org/markup-compatibility/2006">
          <mc:Choice Requires="x14">
            <control shapeId="35843" r:id="rId6" name="Button 3">
              <controlPr defaultSize="0" print="0" autoFill="0" autoPict="0" macro="[0]!ThisWorkbook.PRINT_DEK">
                <anchor moveWithCells="1" sizeWithCells="1">
                  <from>
                    <xdr:col>12</xdr:col>
                    <xdr:colOff>220980</xdr:colOff>
                    <xdr:row>1</xdr:row>
                    <xdr:rowOff>7620</xdr:rowOff>
                  </from>
                  <to>
                    <xdr:col>14</xdr:col>
                    <xdr:colOff>716280</xdr:colOff>
                    <xdr:row>5</xdr:row>
                    <xdr:rowOff>22860</xdr:rowOff>
                  </to>
                </anchor>
              </controlPr>
            </control>
          </mc:Choice>
        </mc:AlternateContent>
        <mc:AlternateContent xmlns:mc="http://schemas.openxmlformats.org/markup-compatibility/2006">
          <mc:Choice Requires="x14">
            <control shapeId="35844" r:id="rId7" name="Button 4">
              <controlPr defaultSize="0" print="0" autoFill="0" autoPict="0" macro="[0]!ThisWorkbook.PRINT_ATTACHMENT_H22A">
                <anchor moveWithCells="1" sizeWithCells="1">
                  <from>
                    <xdr:col>4</xdr:col>
                    <xdr:colOff>0</xdr:colOff>
                    <xdr:row>1</xdr:row>
                    <xdr:rowOff>22860</xdr:rowOff>
                  </from>
                  <to>
                    <xdr:col>5</xdr:col>
                    <xdr:colOff>716280</xdr:colOff>
                    <xdr:row>5</xdr:row>
                    <xdr:rowOff>0</xdr:rowOff>
                  </to>
                </anchor>
              </controlPr>
            </control>
          </mc:Choice>
        </mc:AlternateContent>
        <mc:AlternateContent xmlns:mc="http://schemas.openxmlformats.org/markup-compatibility/2006">
          <mc:Choice Requires="x14">
            <control shapeId="35845" r:id="rId8" name="Button 5">
              <controlPr defaultSize="0" print="0" autoFill="0" autoPict="0" macro="[0]!ThisWorkbook.PRINT_AppxB_RTEP">
                <anchor moveWithCells="1" sizeWithCells="1">
                  <from>
                    <xdr:col>4</xdr:col>
                    <xdr:colOff>0</xdr:colOff>
                    <xdr:row>6</xdr:row>
                    <xdr:rowOff>22860</xdr:rowOff>
                  </from>
                  <to>
                    <xdr:col>5</xdr:col>
                    <xdr:colOff>716280</xdr:colOff>
                    <xdr:row>10</xdr:row>
                    <xdr:rowOff>7620</xdr:rowOff>
                  </to>
                </anchor>
              </controlPr>
            </control>
          </mc:Choice>
        </mc:AlternateContent>
        <mc:AlternateContent xmlns:mc="http://schemas.openxmlformats.org/markup-compatibility/2006">
          <mc:Choice Requires="x14">
            <control shapeId="35846" r:id="rId9" name="Button 6">
              <controlPr defaultSize="0" print="0" autoFill="0" autoPict="0" macro="[0]!ThisWorkbook.PRINT_AppxB_DEM_RTEP">
                <anchor moveWithCells="1" sizeWithCells="1">
                  <from>
                    <xdr:col>7</xdr:col>
                    <xdr:colOff>0</xdr:colOff>
                    <xdr:row>6</xdr:row>
                    <xdr:rowOff>60960</xdr:rowOff>
                  </from>
                  <to>
                    <xdr:col>8</xdr:col>
                    <xdr:colOff>716280</xdr:colOff>
                    <xdr:row>10</xdr:row>
                    <xdr:rowOff>38100</xdr:rowOff>
                  </to>
                </anchor>
              </controlPr>
            </control>
          </mc:Choice>
        </mc:AlternateContent>
        <mc:AlternateContent xmlns:mc="http://schemas.openxmlformats.org/markup-compatibility/2006">
          <mc:Choice Requires="x14">
            <control shapeId="35847" r:id="rId10" name="Button 7">
              <controlPr defaultSize="0" print="0" autoFill="0" autoPict="0" macro="[0]!ThisWorkbook.PRINT_AppxB_DEO_RTEP">
                <anchor moveWithCells="1" sizeWithCells="1">
                  <from>
                    <xdr:col>10</xdr:col>
                    <xdr:colOff>0</xdr:colOff>
                    <xdr:row>6</xdr:row>
                    <xdr:rowOff>68580</xdr:rowOff>
                  </from>
                  <to>
                    <xdr:col>11</xdr:col>
                    <xdr:colOff>716280</xdr:colOff>
                    <xdr:row>10</xdr:row>
                    <xdr:rowOff>60960</xdr:rowOff>
                  </to>
                </anchor>
              </controlPr>
            </control>
          </mc:Choice>
        </mc:AlternateContent>
        <mc:AlternateContent xmlns:mc="http://schemas.openxmlformats.org/markup-compatibility/2006">
          <mc:Choice Requires="x14">
            <control shapeId="35848" r:id="rId11" name="Button 8">
              <controlPr defaultSize="0" print="0" autoFill="0" autoPict="0" macro="[0]!ThisWorkbook.PRINT_AppxB_DEK_RTEP">
                <anchor moveWithCells="1" sizeWithCells="1">
                  <from>
                    <xdr:col>13</xdr:col>
                    <xdr:colOff>0</xdr:colOff>
                    <xdr:row>6</xdr:row>
                    <xdr:rowOff>68580</xdr:rowOff>
                  </from>
                  <to>
                    <xdr:col>14</xdr:col>
                    <xdr:colOff>716280</xdr:colOff>
                    <xdr:row>10</xdr:row>
                    <xdr:rowOff>60960</xdr:rowOff>
                  </to>
                </anchor>
              </controlPr>
            </control>
          </mc:Choice>
        </mc:AlternateContent>
        <mc:AlternateContent xmlns:mc="http://schemas.openxmlformats.org/markup-compatibility/2006">
          <mc:Choice Requires="x14">
            <control shapeId="35849" r:id="rId12" name="Button 9">
              <controlPr defaultSize="0" print="0" autoFill="0" autoPict="0" macro="[0]!ThisWorkbook.PRINT_AppxC_MTEP">
                <anchor moveWithCells="1" sizeWithCells="1">
                  <from>
                    <xdr:col>4</xdr:col>
                    <xdr:colOff>0</xdr:colOff>
                    <xdr:row>11</xdr:row>
                    <xdr:rowOff>45720</xdr:rowOff>
                  </from>
                  <to>
                    <xdr:col>5</xdr:col>
                    <xdr:colOff>716280</xdr:colOff>
                    <xdr:row>15</xdr:row>
                    <xdr:rowOff>30480</xdr:rowOff>
                  </to>
                </anchor>
              </controlPr>
            </control>
          </mc:Choice>
        </mc:AlternateContent>
        <mc:AlternateContent xmlns:mc="http://schemas.openxmlformats.org/markup-compatibility/2006">
          <mc:Choice Requires="x14">
            <control shapeId="35850" r:id="rId13" name="Button 10">
              <controlPr defaultSize="0" print="0" autoFill="0" autoPict="0" macro="[0]!ThisWorkbook.PRINT_AppxC_DEM_MTEP">
                <anchor moveWithCells="1" sizeWithCells="1">
                  <from>
                    <xdr:col>7</xdr:col>
                    <xdr:colOff>0</xdr:colOff>
                    <xdr:row>11</xdr:row>
                    <xdr:rowOff>60960</xdr:rowOff>
                  </from>
                  <to>
                    <xdr:col>8</xdr:col>
                    <xdr:colOff>716280</xdr:colOff>
                    <xdr:row>15</xdr:row>
                    <xdr:rowOff>45720</xdr:rowOff>
                  </to>
                </anchor>
              </controlPr>
            </control>
          </mc:Choice>
        </mc:AlternateContent>
        <mc:AlternateContent xmlns:mc="http://schemas.openxmlformats.org/markup-compatibility/2006">
          <mc:Choice Requires="x14">
            <control shapeId="35851" r:id="rId14" name="Button 11">
              <controlPr defaultSize="0" print="0" autoFill="0" autoPict="0" macro="[0]!ThisWorkbook.PRINT_AppxC_DEO_MTEP">
                <anchor moveWithCells="1" sizeWithCells="1">
                  <from>
                    <xdr:col>10</xdr:col>
                    <xdr:colOff>0</xdr:colOff>
                    <xdr:row>11</xdr:row>
                    <xdr:rowOff>83820</xdr:rowOff>
                  </from>
                  <to>
                    <xdr:col>11</xdr:col>
                    <xdr:colOff>716280</xdr:colOff>
                    <xdr:row>15</xdr:row>
                    <xdr:rowOff>68580</xdr:rowOff>
                  </to>
                </anchor>
              </controlPr>
            </control>
          </mc:Choice>
        </mc:AlternateContent>
        <mc:AlternateContent xmlns:mc="http://schemas.openxmlformats.org/markup-compatibility/2006">
          <mc:Choice Requires="x14">
            <control shapeId="35852" r:id="rId15" name="Button 12">
              <controlPr defaultSize="0" print="0" autoFill="0" autoPict="0" macro="[0]!ThisWorkbook.PRINT_AppxC_DEK_MTEP">
                <anchor moveWithCells="1" sizeWithCells="1">
                  <from>
                    <xdr:col>13</xdr:col>
                    <xdr:colOff>0</xdr:colOff>
                    <xdr:row>11</xdr:row>
                    <xdr:rowOff>60960</xdr:rowOff>
                  </from>
                  <to>
                    <xdr:col>14</xdr:col>
                    <xdr:colOff>716280</xdr:colOff>
                    <xdr:row>15</xdr:row>
                    <xdr:rowOff>45720</xdr:rowOff>
                  </to>
                </anchor>
              </controlPr>
            </control>
          </mc:Choice>
        </mc:AlternateContent>
        <mc:AlternateContent xmlns:mc="http://schemas.openxmlformats.org/markup-compatibility/2006">
          <mc:Choice Requires="x14">
            <control shapeId="35858" r:id="rId16" name="Button 18">
              <controlPr defaultSize="0" print="0" autoFill="0" autoPict="0" macro="[0]!ThisWorkbook.PRINT_ALL">
                <anchor moveWithCells="1" sizeWithCells="1">
                  <from>
                    <xdr:col>1</xdr:col>
                    <xdr:colOff>0</xdr:colOff>
                    <xdr:row>1</xdr:row>
                    <xdr:rowOff>22860</xdr:rowOff>
                  </from>
                  <to>
                    <xdr:col>2</xdr:col>
                    <xdr:colOff>716280</xdr:colOff>
                    <xdr:row>5</xdr:row>
                    <xdr:rowOff>0</xdr:rowOff>
                  </to>
                </anchor>
              </controlPr>
            </control>
          </mc:Choice>
        </mc:AlternateContent>
        <mc:AlternateContent xmlns:mc="http://schemas.openxmlformats.org/markup-compatibility/2006">
          <mc:Choice Requires="x14">
            <control shapeId="35866" r:id="rId17" name="Button 26">
              <controlPr defaultSize="0" print="0" autoFill="0" autoPict="0" macro="[0]!ThisWorkbook.PRINT_SUPPORT">
                <anchor moveWithCells="1" sizeWithCells="1">
                  <from>
                    <xdr:col>1</xdr:col>
                    <xdr:colOff>0</xdr:colOff>
                    <xdr:row>11</xdr:row>
                    <xdr:rowOff>22860</xdr:rowOff>
                  </from>
                  <to>
                    <xdr:col>2</xdr:col>
                    <xdr:colOff>716280</xdr:colOff>
                    <xdr:row>15</xdr:row>
                    <xdr:rowOff>0</xdr:rowOff>
                  </to>
                </anchor>
              </controlPr>
            </control>
          </mc:Choice>
        </mc:AlternateContent>
        <mc:AlternateContent xmlns:mc="http://schemas.openxmlformats.org/markup-compatibility/2006">
          <mc:Choice Requires="x14">
            <control shapeId="35868" r:id="rId18" name="Button 28">
              <controlPr defaultSize="0" print="0" autoFill="0" autoPict="0" macro="[0]!ThisWorkbook.PRINT_Appendix_A">
                <anchor moveWithCells="1" sizeWithCells="1">
                  <from>
                    <xdr:col>0</xdr:col>
                    <xdr:colOff>236220</xdr:colOff>
                    <xdr:row>6</xdr:row>
                    <xdr:rowOff>22860</xdr:rowOff>
                  </from>
                  <to>
                    <xdr:col>2</xdr:col>
                    <xdr:colOff>716280</xdr:colOff>
                    <xdr:row>9</xdr:row>
                    <xdr:rowOff>137160</xdr:rowOff>
                  </to>
                </anchor>
              </controlPr>
            </control>
          </mc:Choice>
        </mc:AlternateContent>
        <mc:AlternateContent xmlns:mc="http://schemas.openxmlformats.org/markup-compatibility/2006">
          <mc:Choice Requires="x14">
            <control shapeId="35877" r:id="rId19" name="Button 37">
              <controlPr defaultSize="0" print="0" autoFill="0" autoPict="0" macro="[0]!ThisWorkbook.PRINT_AppxE_DEOK">
                <anchor moveWithCells="1" sizeWithCells="1">
                  <from>
                    <xdr:col>7</xdr:col>
                    <xdr:colOff>0</xdr:colOff>
                    <xdr:row>21</xdr:row>
                    <xdr:rowOff>22860</xdr:rowOff>
                  </from>
                  <to>
                    <xdr:col>8</xdr:col>
                    <xdr:colOff>716280</xdr:colOff>
                    <xdr:row>25</xdr:row>
                    <xdr:rowOff>0</xdr:rowOff>
                  </to>
                </anchor>
              </controlPr>
            </control>
          </mc:Choice>
        </mc:AlternateContent>
        <mc:AlternateContent xmlns:mc="http://schemas.openxmlformats.org/markup-compatibility/2006">
          <mc:Choice Requires="x14">
            <control shapeId="35878" r:id="rId20" name="Button 38">
              <controlPr defaultSize="0" print="0" autoFill="0" autoPict="0" macro="[0]!ThisWorkbook.PRINT_AppxD">
                <anchor moveWithCells="1" sizeWithCells="1">
                  <from>
                    <xdr:col>4</xdr:col>
                    <xdr:colOff>0</xdr:colOff>
                    <xdr:row>16</xdr:row>
                    <xdr:rowOff>99060</xdr:rowOff>
                  </from>
                  <to>
                    <xdr:col>5</xdr:col>
                    <xdr:colOff>716280</xdr:colOff>
                    <xdr:row>20</xdr:row>
                    <xdr:rowOff>83820</xdr:rowOff>
                  </to>
                </anchor>
              </controlPr>
            </control>
          </mc:Choice>
        </mc:AlternateContent>
        <mc:AlternateContent xmlns:mc="http://schemas.openxmlformats.org/markup-compatibility/2006">
          <mc:Choice Requires="x14">
            <control shapeId="35880" r:id="rId21" name="Button 40">
              <controlPr defaultSize="0" print="0" autoFill="0" autoPict="0" macro="[0]!ThisWorkbook.PRINT_AppxD_DEO">
                <anchor moveWithCells="1" sizeWithCells="1">
                  <from>
                    <xdr:col>7</xdr:col>
                    <xdr:colOff>0</xdr:colOff>
                    <xdr:row>16</xdr:row>
                    <xdr:rowOff>106680</xdr:rowOff>
                  </from>
                  <to>
                    <xdr:col>8</xdr:col>
                    <xdr:colOff>716280</xdr:colOff>
                    <xdr:row>20</xdr:row>
                    <xdr:rowOff>99060</xdr:rowOff>
                  </to>
                </anchor>
              </controlPr>
            </control>
          </mc:Choice>
        </mc:AlternateContent>
        <mc:AlternateContent xmlns:mc="http://schemas.openxmlformats.org/markup-compatibility/2006">
          <mc:Choice Requires="x14">
            <control shapeId="35881" r:id="rId22" name="Button 41">
              <controlPr defaultSize="0" print="0" autoFill="0" autoPict="0" macro="[0]!ThisWorkbook.PRINT_AppxD_DEK">
                <anchor moveWithCells="1" sizeWithCells="1">
                  <from>
                    <xdr:col>10</xdr:col>
                    <xdr:colOff>0</xdr:colOff>
                    <xdr:row>16</xdr:row>
                    <xdr:rowOff>106680</xdr:rowOff>
                  </from>
                  <to>
                    <xdr:col>11</xdr:col>
                    <xdr:colOff>716280</xdr:colOff>
                    <xdr:row>20</xdr:row>
                    <xdr:rowOff>99060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7030A0"/>
    <pageSetUpPr fitToPage="1"/>
  </sheetPr>
  <dimension ref="A1:BG298"/>
  <sheetViews>
    <sheetView zoomScale="75" zoomScaleNormal="75" workbookViewId="0"/>
  </sheetViews>
  <sheetFormatPr defaultRowHeight="15"/>
  <cols>
    <col min="1" max="1" width="6" style="122" customWidth="1"/>
    <col min="2" max="2" width="1.453125" style="122" customWidth="1"/>
    <col min="3" max="3" width="49.90625" style="122" customWidth="1"/>
    <col min="4" max="4" width="1" style="122" customWidth="1"/>
    <col min="5" max="5" width="37.08984375" style="122" customWidth="1"/>
    <col min="6" max="6" width="1.36328125" style="122" customWidth="1"/>
    <col min="7" max="7" width="14.08984375" style="122" customWidth="1"/>
    <col min="8" max="8" width="1.54296875" style="122" customWidth="1"/>
    <col min="9" max="10" width="12.81640625" style="122" customWidth="1"/>
    <col min="11" max="11" width="5.1796875" style="122" customWidth="1"/>
    <col min="12" max="12" width="1.6328125" style="122" customWidth="1"/>
    <col min="13" max="13" width="26.54296875" style="122" customWidth="1"/>
    <col min="14" max="14" width="8.6328125" style="122" customWidth="1"/>
    <col min="15" max="15" width="11.81640625" style="122" customWidth="1"/>
    <col min="16" max="17" width="12.81640625" style="122" customWidth="1"/>
    <col min="18" max="18" width="8.90625" style="122"/>
    <col min="19" max="19" width="14.1796875" style="122" customWidth="1"/>
    <col min="20" max="20" width="12.1796875" style="122" customWidth="1"/>
    <col min="21" max="21" width="12.54296875" style="122" customWidth="1"/>
    <col min="22" max="22" width="16.81640625" style="122" customWidth="1"/>
    <col min="23" max="23" width="11.90625" style="122" customWidth="1"/>
    <col min="24" max="24" width="16.6328125" style="122" customWidth="1"/>
    <col min="25" max="240" width="8.90625" style="122"/>
    <col min="241" max="241" width="6" style="122" customWidth="1"/>
    <col min="242" max="242" width="1.453125" style="122" customWidth="1"/>
    <col min="243" max="243" width="39.08984375" style="122" customWidth="1"/>
    <col min="244" max="244" width="12" style="122" customWidth="1"/>
    <col min="245" max="245" width="14.453125" style="122" customWidth="1"/>
    <col min="246" max="246" width="11.90625" style="122" customWidth="1"/>
    <col min="247" max="247" width="14.08984375" style="122" customWidth="1"/>
    <col min="248" max="248" width="13.90625" style="122" customWidth="1"/>
    <col min="249" max="250" width="12.81640625" style="122" customWidth="1"/>
    <col min="251" max="251" width="13.54296875" style="122" customWidth="1"/>
    <col min="252" max="252" width="15.36328125" style="122" customWidth="1"/>
    <col min="253" max="253" width="12.81640625" style="122" customWidth="1"/>
    <col min="254" max="254" width="13.90625" style="122" customWidth="1"/>
    <col min="255" max="255" width="1.90625" style="122" customWidth="1"/>
    <col min="256" max="256" width="13" style="122" customWidth="1"/>
    <col min="257" max="496" width="8.90625" style="122"/>
    <col min="497" max="497" width="6" style="122" customWidth="1"/>
    <col min="498" max="498" width="1.453125" style="122" customWidth="1"/>
    <col min="499" max="499" width="39.08984375" style="122" customWidth="1"/>
    <col min="500" max="500" width="12" style="122" customWidth="1"/>
    <col min="501" max="501" width="14.453125" style="122" customWidth="1"/>
    <col min="502" max="502" width="11.90625" style="122" customWidth="1"/>
    <col min="503" max="503" width="14.08984375" style="122" customWidth="1"/>
    <col min="504" max="504" width="13.90625" style="122" customWidth="1"/>
    <col min="505" max="506" width="12.81640625" style="122" customWidth="1"/>
    <col min="507" max="507" width="13.54296875" style="122" customWidth="1"/>
    <col min="508" max="508" width="15.36328125" style="122" customWidth="1"/>
    <col min="509" max="509" width="12.81640625" style="122" customWidth="1"/>
    <col min="510" max="510" width="13.90625" style="122" customWidth="1"/>
    <col min="511" max="511" width="1.90625" style="122" customWidth="1"/>
    <col min="512" max="512" width="13" style="122" customWidth="1"/>
    <col min="513" max="752" width="8.90625" style="122"/>
    <col min="753" max="753" width="6" style="122" customWidth="1"/>
    <col min="754" max="754" width="1.453125" style="122" customWidth="1"/>
    <col min="755" max="755" width="39.08984375" style="122" customWidth="1"/>
    <col min="756" max="756" width="12" style="122" customWidth="1"/>
    <col min="757" max="757" width="14.453125" style="122" customWidth="1"/>
    <col min="758" max="758" width="11.90625" style="122" customWidth="1"/>
    <col min="759" max="759" width="14.08984375" style="122" customWidth="1"/>
    <col min="760" max="760" width="13.90625" style="122" customWidth="1"/>
    <col min="761" max="762" width="12.81640625" style="122" customWidth="1"/>
    <col min="763" max="763" width="13.54296875" style="122" customWidth="1"/>
    <col min="764" max="764" width="15.36328125" style="122" customWidth="1"/>
    <col min="765" max="765" width="12.81640625" style="122" customWidth="1"/>
    <col min="766" max="766" width="13.90625" style="122" customWidth="1"/>
    <col min="767" max="767" width="1.90625" style="122" customWidth="1"/>
    <col min="768" max="768" width="13" style="122" customWidth="1"/>
    <col min="769" max="1008" width="8.90625" style="122"/>
    <col min="1009" max="1009" width="6" style="122" customWidth="1"/>
    <col min="1010" max="1010" width="1.453125" style="122" customWidth="1"/>
    <col min="1011" max="1011" width="39.08984375" style="122" customWidth="1"/>
    <col min="1012" max="1012" width="12" style="122" customWidth="1"/>
    <col min="1013" max="1013" width="14.453125" style="122" customWidth="1"/>
    <col min="1014" max="1014" width="11.90625" style="122" customWidth="1"/>
    <col min="1015" max="1015" width="14.08984375" style="122" customWidth="1"/>
    <col min="1016" max="1016" width="13.90625" style="122" customWidth="1"/>
    <col min="1017" max="1018" width="12.81640625" style="122" customWidth="1"/>
    <col min="1019" max="1019" width="13.54296875" style="122" customWidth="1"/>
    <col min="1020" max="1020" width="15.36328125" style="122" customWidth="1"/>
    <col min="1021" max="1021" width="12.81640625" style="122" customWidth="1"/>
    <col min="1022" max="1022" width="13.90625" style="122" customWidth="1"/>
    <col min="1023" max="1023" width="1.90625" style="122" customWidth="1"/>
    <col min="1024" max="1024" width="13" style="122" customWidth="1"/>
    <col min="1025" max="1264" width="8.90625" style="122"/>
    <col min="1265" max="1265" width="6" style="122" customWidth="1"/>
    <col min="1266" max="1266" width="1.453125" style="122" customWidth="1"/>
    <col min="1267" max="1267" width="39.08984375" style="122" customWidth="1"/>
    <col min="1268" max="1268" width="12" style="122" customWidth="1"/>
    <col min="1269" max="1269" width="14.453125" style="122" customWidth="1"/>
    <col min="1270" max="1270" width="11.90625" style="122" customWidth="1"/>
    <col min="1271" max="1271" width="14.08984375" style="122" customWidth="1"/>
    <col min="1272" max="1272" width="13.90625" style="122" customWidth="1"/>
    <col min="1273" max="1274" width="12.81640625" style="122" customWidth="1"/>
    <col min="1275" max="1275" width="13.54296875" style="122" customWidth="1"/>
    <col min="1276" max="1276" width="15.36328125" style="122" customWidth="1"/>
    <col min="1277" max="1277" width="12.81640625" style="122" customWidth="1"/>
    <col min="1278" max="1278" width="13.90625" style="122" customWidth="1"/>
    <col min="1279" max="1279" width="1.90625" style="122" customWidth="1"/>
    <col min="1280" max="1280" width="13" style="122" customWidth="1"/>
    <col min="1281" max="1520" width="8.90625" style="122"/>
    <col min="1521" max="1521" width="6" style="122" customWidth="1"/>
    <col min="1522" max="1522" width="1.453125" style="122" customWidth="1"/>
    <col min="1523" max="1523" width="39.08984375" style="122" customWidth="1"/>
    <col min="1524" max="1524" width="12" style="122" customWidth="1"/>
    <col min="1525" max="1525" width="14.453125" style="122" customWidth="1"/>
    <col min="1526" max="1526" width="11.90625" style="122" customWidth="1"/>
    <col min="1527" max="1527" width="14.08984375" style="122" customWidth="1"/>
    <col min="1528" max="1528" width="13.90625" style="122" customWidth="1"/>
    <col min="1529" max="1530" width="12.81640625" style="122" customWidth="1"/>
    <col min="1531" max="1531" width="13.54296875" style="122" customWidth="1"/>
    <col min="1532" max="1532" width="15.36328125" style="122" customWidth="1"/>
    <col min="1533" max="1533" width="12.81640625" style="122" customWidth="1"/>
    <col min="1534" max="1534" width="13.90625" style="122" customWidth="1"/>
    <col min="1535" max="1535" width="1.90625" style="122" customWidth="1"/>
    <col min="1536" max="1536" width="13" style="122" customWidth="1"/>
    <col min="1537" max="1776" width="8.90625" style="122"/>
    <col min="1777" max="1777" width="6" style="122" customWidth="1"/>
    <col min="1778" max="1778" width="1.453125" style="122" customWidth="1"/>
    <col min="1779" max="1779" width="39.08984375" style="122" customWidth="1"/>
    <col min="1780" max="1780" width="12" style="122" customWidth="1"/>
    <col min="1781" max="1781" width="14.453125" style="122" customWidth="1"/>
    <col min="1782" max="1782" width="11.90625" style="122" customWidth="1"/>
    <col min="1783" max="1783" width="14.08984375" style="122" customWidth="1"/>
    <col min="1784" max="1784" width="13.90625" style="122" customWidth="1"/>
    <col min="1785" max="1786" width="12.81640625" style="122" customWidth="1"/>
    <col min="1787" max="1787" width="13.54296875" style="122" customWidth="1"/>
    <col min="1788" max="1788" width="15.36328125" style="122" customWidth="1"/>
    <col min="1789" max="1789" width="12.81640625" style="122" customWidth="1"/>
    <col min="1790" max="1790" width="13.90625" style="122" customWidth="1"/>
    <col min="1791" max="1791" width="1.90625" style="122" customWidth="1"/>
    <col min="1792" max="1792" width="13" style="122" customWidth="1"/>
    <col min="1793" max="2032" width="8.90625" style="122"/>
    <col min="2033" max="2033" width="6" style="122" customWidth="1"/>
    <col min="2034" max="2034" width="1.453125" style="122" customWidth="1"/>
    <col min="2035" max="2035" width="39.08984375" style="122" customWidth="1"/>
    <col min="2036" max="2036" width="12" style="122" customWidth="1"/>
    <col min="2037" max="2037" width="14.453125" style="122" customWidth="1"/>
    <col min="2038" max="2038" width="11.90625" style="122" customWidth="1"/>
    <col min="2039" max="2039" width="14.08984375" style="122" customWidth="1"/>
    <col min="2040" max="2040" width="13.90625" style="122" customWidth="1"/>
    <col min="2041" max="2042" width="12.81640625" style="122" customWidth="1"/>
    <col min="2043" max="2043" width="13.54296875" style="122" customWidth="1"/>
    <col min="2044" max="2044" width="15.36328125" style="122" customWidth="1"/>
    <col min="2045" max="2045" width="12.81640625" style="122" customWidth="1"/>
    <col min="2046" max="2046" width="13.90625" style="122" customWidth="1"/>
    <col min="2047" max="2047" width="1.90625" style="122" customWidth="1"/>
    <col min="2048" max="2048" width="13" style="122" customWidth="1"/>
    <col min="2049" max="2288" width="8.90625" style="122"/>
    <col min="2289" max="2289" width="6" style="122" customWidth="1"/>
    <col min="2290" max="2290" width="1.453125" style="122" customWidth="1"/>
    <col min="2291" max="2291" width="39.08984375" style="122" customWidth="1"/>
    <col min="2292" max="2292" width="12" style="122" customWidth="1"/>
    <col min="2293" max="2293" width="14.453125" style="122" customWidth="1"/>
    <col min="2294" max="2294" width="11.90625" style="122" customWidth="1"/>
    <col min="2295" max="2295" width="14.08984375" style="122" customWidth="1"/>
    <col min="2296" max="2296" width="13.90625" style="122" customWidth="1"/>
    <col min="2297" max="2298" width="12.81640625" style="122" customWidth="1"/>
    <col min="2299" max="2299" width="13.54296875" style="122" customWidth="1"/>
    <col min="2300" max="2300" width="15.36328125" style="122" customWidth="1"/>
    <col min="2301" max="2301" width="12.81640625" style="122" customWidth="1"/>
    <col min="2302" max="2302" width="13.90625" style="122" customWidth="1"/>
    <col min="2303" max="2303" width="1.90625" style="122" customWidth="1"/>
    <col min="2304" max="2304" width="13" style="122" customWidth="1"/>
    <col min="2305" max="2544" width="8.90625" style="122"/>
    <col min="2545" max="2545" width="6" style="122" customWidth="1"/>
    <col min="2546" max="2546" width="1.453125" style="122" customWidth="1"/>
    <col min="2547" max="2547" width="39.08984375" style="122" customWidth="1"/>
    <col min="2548" max="2548" width="12" style="122" customWidth="1"/>
    <col min="2549" max="2549" width="14.453125" style="122" customWidth="1"/>
    <col min="2550" max="2550" width="11.90625" style="122" customWidth="1"/>
    <col min="2551" max="2551" width="14.08984375" style="122" customWidth="1"/>
    <col min="2552" max="2552" width="13.90625" style="122" customWidth="1"/>
    <col min="2553" max="2554" width="12.81640625" style="122" customWidth="1"/>
    <col min="2555" max="2555" width="13.54296875" style="122" customWidth="1"/>
    <col min="2556" max="2556" width="15.36328125" style="122" customWidth="1"/>
    <col min="2557" max="2557" width="12.81640625" style="122" customWidth="1"/>
    <col min="2558" max="2558" width="13.90625" style="122" customWidth="1"/>
    <col min="2559" max="2559" width="1.90625" style="122" customWidth="1"/>
    <col min="2560" max="2560" width="13" style="122" customWidth="1"/>
    <col min="2561" max="2800" width="8.90625" style="122"/>
    <col min="2801" max="2801" width="6" style="122" customWidth="1"/>
    <col min="2802" max="2802" width="1.453125" style="122" customWidth="1"/>
    <col min="2803" max="2803" width="39.08984375" style="122" customWidth="1"/>
    <col min="2804" max="2804" width="12" style="122" customWidth="1"/>
    <col min="2805" max="2805" width="14.453125" style="122" customWidth="1"/>
    <col min="2806" max="2806" width="11.90625" style="122" customWidth="1"/>
    <col min="2807" max="2807" width="14.08984375" style="122" customWidth="1"/>
    <col min="2808" max="2808" width="13.90625" style="122" customWidth="1"/>
    <col min="2809" max="2810" width="12.81640625" style="122" customWidth="1"/>
    <col min="2811" max="2811" width="13.54296875" style="122" customWidth="1"/>
    <col min="2812" max="2812" width="15.36328125" style="122" customWidth="1"/>
    <col min="2813" max="2813" width="12.81640625" style="122" customWidth="1"/>
    <col min="2814" max="2814" width="13.90625" style="122" customWidth="1"/>
    <col min="2815" max="2815" width="1.90625" style="122" customWidth="1"/>
    <col min="2816" max="2816" width="13" style="122" customWidth="1"/>
    <col min="2817" max="3056" width="8.90625" style="122"/>
    <col min="3057" max="3057" width="6" style="122" customWidth="1"/>
    <col min="3058" max="3058" width="1.453125" style="122" customWidth="1"/>
    <col min="3059" max="3059" width="39.08984375" style="122" customWidth="1"/>
    <col min="3060" max="3060" width="12" style="122" customWidth="1"/>
    <col min="3061" max="3061" width="14.453125" style="122" customWidth="1"/>
    <col min="3062" max="3062" width="11.90625" style="122" customWidth="1"/>
    <col min="3063" max="3063" width="14.08984375" style="122" customWidth="1"/>
    <col min="3064" max="3064" width="13.90625" style="122" customWidth="1"/>
    <col min="3065" max="3066" width="12.81640625" style="122" customWidth="1"/>
    <col min="3067" max="3067" width="13.54296875" style="122" customWidth="1"/>
    <col min="3068" max="3068" width="15.36328125" style="122" customWidth="1"/>
    <col min="3069" max="3069" width="12.81640625" style="122" customWidth="1"/>
    <col min="3070" max="3070" width="13.90625" style="122" customWidth="1"/>
    <col min="3071" max="3071" width="1.90625" style="122" customWidth="1"/>
    <col min="3072" max="3072" width="13" style="122" customWidth="1"/>
    <col min="3073" max="3312" width="8.90625" style="122"/>
    <col min="3313" max="3313" width="6" style="122" customWidth="1"/>
    <col min="3314" max="3314" width="1.453125" style="122" customWidth="1"/>
    <col min="3315" max="3315" width="39.08984375" style="122" customWidth="1"/>
    <col min="3316" max="3316" width="12" style="122" customWidth="1"/>
    <col min="3317" max="3317" width="14.453125" style="122" customWidth="1"/>
    <col min="3318" max="3318" width="11.90625" style="122" customWidth="1"/>
    <col min="3319" max="3319" width="14.08984375" style="122" customWidth="1"/>
    <col min="3320" max="3320" width="13.90625" style="122" customWidth="1"/>
    <col min="3321" max="3322" width="12.81640625" style="122" customWidth="1"/>
    <col min="3323" max="3323" width="13.54296875" style="122" customWidth="1"/>
    <col min="3324" max="3324" width="15.36328125" style="122" customWidth="1"/>
    <col min="3325" max="3325" width="12.81640625" style="122" customWidth="1"/>
    <col min="3326" max="3326" width="13.90625" style="122" customWidth="1"/>
    <col min="3327" max="3327" width="1.90625" style="122" customWidth="1"/>
    <col min="3328" max="3328" width="13" style="122" customWidth="1"/>
    <col min="3329" max="3568" width="8.90625" style="122"/>
    <col min="3569" max="3569" width="6" style="122" customWidth="1"/>
    <col min="3570" max="3570" width="1.453125" style="122" customWidth="1"/>
    <col min="3571" max="3571" width="39.08984375" style="122" customWidth="1"/>
    <col min="3572" max="3572" width="12" style="122" customWidth="1"/>
    <col min="3573" max="3573" width="14.453125" style="122" customWidth="1"/>
    <col min="3574" max="3574" width="11.90625" style="122" customWidth="1"/>
    <col min="3575" max="3575" width="14.08984375" style="122" customWidth="1"/>
    <col min="3576" max="3576" width="13.90625" style="122" customWidth="1"/>
    <col min="3577" max="3578" width="12.81640625" style="122" customWidth="1"/>
    <col min="3579" max="3579" width="13.54296875" style="122" customWidth="1"/>
    <col min="3580" max="3580" width="15.36328125" style="122" customWidth="1"/>
    <col min="3581" max="3581" width="12.81640625" style="122" customWidth="1"/>
    <col min="3582" max="3582" width="13.90625" style="122" customWidth="1"/>
    <col min="3583" max="3583" width="1.90625" style="122" customWidth="1"/>
    <col min="3584" max="3584" width="13" style="122" customWidth="1"/>
    <col min="3585" max="3824" width="8.90625" style="122"/>
    <col min="3825" max="3825" width="6" style="122" customWidth="1"/>
    <col min="3826" max="3826" width="1.453125" style="122" customWidth="1"/>
    <col min="3827" max="3827" width="39.08984375" style="122" customWidth="1"/>
    <col min="3828" max="3828" width="12" style="122" customWidth="1"/>
    <col min="3829" max="3829" width="14.453125" style="122" customWidth="1"/>
    <col min="3830" max="3830" width="11.90625" style="122" customWidth="1"/>
    <col min="3831" max="3831" width="14.08984375" style="122" customWidth="1"/>
    <col min="3832" max="3832" width="13.90625" style="122" customWidth="1"/>
    <col min="3833" max="3834" width="12.81640625" style="122" customWidth="1"/>
    <col min="3835" max="3835" width="13.54296875" style="122" customWidth="1"/>
    <col min="3836" max="3836" width="15.36328125" style="122" customWidth="1"/>
    <col min="3837" max="3837" width="12.81640625" style="122" customWidth="1"/>
    <col min="3838" max="3838" width="13.90625" style="122" customWidth="1"/>
    <col min="3839" max="3839" width="1.90625" style="122" customWidth="1"/>
    <col min="3840" max="3840" width="13" style="122" customWidth="1"/>
    <col min="3841" max="4080" width="8.90625" style="122"/>
    <col min="4081" max="4081" width="6" style="122" customWidth="1"/>
    <col min="4082" max="4082" width="1.453125" style="122" customWidth="1"/>
    <col min="4083" max="4083" width="39.08984375" style="122" customWidth="1"/>
    <col min="4084" max="4084" width="12" style="122" customWidth="1"/>
    <col min="4085" max="4085" width="14.453125" style="122" customWidth="1"/>
    <col min="4086" max="4086" width="11.90625" style="122" customWidth="1"/>
    <col min="4087" max="4087" width="14.08984375" style="122" customWidth="1"/>
    <col min="4088" max="4088" width="13.90625" style="122" customWidth="1"/>
    <col min="4089" max="4090" width="12.81640625" style="122" customWidth="1"/>
    <col min="4091" max="4091" width="13.54296875" style="122" customWidth="1"/>
    <col min="4092" max="4092" width="15.36328125" style="122" customWidth="1"/>
    <col min="4093" max="4093" width="12.81640625" style="122" customWidth="1"/>
    <col min="4094" max="4094" width="13.90625" style="122" customWidth="1"/>
    <col min="4095" max="4095" width="1.90625" style="122" customWidth="1"/>
    <col min="4096" max="4096" width="13" style="122" customWidth="1"/>
    <col min="4097" max="4336" width="8.90625" style="122"/>
    <col min="4337" max="4337" width="6" style="122" customWidth="1"/>
    <col min="4338" max="4338" width="1.453125" style="122" customWidth="1"/>
    <col min="4339" max="4339" width="39.08984375" style="122" customWidth="1"/>
    <col min="4340" max="4340" width="12" style="122" customWidth="1"/>
    <col min="4341" max="4341" width="14.453125" style="122" customWidth="1"/>
    <col min="4342" max="4342" width="11.90625" style="122" customWidth="1"/>
    <col min="4343" max="4343" width="14.08984375" style="122" customWidth="1"/>
    <col min="4344" max="4344" width="13.90625" style="122" customWidth="1"/>
    <col min="4345" max="4346" width="12.81640625" style="122" customWidth="1"/>
    <col min="4347" max="4347" width="13.54296875" style="122" customWidth="1"/>
    <col min="4348" max="4348" width="15.36328125" style="122" customWidth="1"/>
    <col min="4349" max="4349" width="12.81640625" style="122" customWidth="1"/>
    <col min="4350" max="4350" width="13.90625" style="122" customWidth="1"/>
    <col min="4351" max="4351" width="1.90625" style="122" customWidth="1"/>
    <col min="4352" max="4352" width="13" style="122" customWidth="1"/>
    <col min="4353" max="4592" width="8.90625" style="122"/>
    <col min="4593" max="4593" width="6" style="122" customWidth="1"/>
    <col min="4594" max="4594" width="1.453125" style="122" customWidth="1"/>
    <col min="4595" max="4595" width="39.08984375" style="122" customWidth="1"/>
    <col min="4596" max="4596" width="12" style="122" customWidth="1"/>
    <col min="4597" max="4597" width="14.453125" style="122" customWidth="1"/>
    <col min="4598" max="4598" width="11.90625" style="122" customWidth="1"/>
    <col min="4599" max="4599" width="14.08984375" style="122" customWidth="1"/>
    <col min="4600" max="4600" width="13.90625" style="122" customWidth="1"/>
    <col min="4601" max="4602" width="12.81640625" style="122" customWidth="1"/>
    <col min="4603" max="4603" width="13.54296875" style="122" customWidth="1"/>
    <col min="4604" max="4604" width="15.36328125" style="122" customWidth="1"/>
    <col min="4605" max="4605" width="12.81640625" style="122" customWidth="1"/>
    <col min="4606" max="4606" width="13.90625" style="122" customWidth="1"/>
    <col min="4607" max="4607" width="1.90625" style="122" customWidth="1"/>
    <col min="4608" max="4608" width="13" style="122" customWidth="1"/>
    <col min="4609" max="4848" width="8.90625" style="122"/>
    <col min="4849" max="4849" width="6" style="122" customWidth="1"/>
    <col min="4850" max="4850" width="1.453125" style="122" customWidth="1"/>
    <col min="4851" max="4851" width="39.08984375" style="122" customWidth="1"/>
    <col min="4852" max="4852" width="12" style="122" customWidth="1"/>
    <col min="4853" max="4853" width="14.453125" style="122" customWidth="1"/>
    <col min="4854" max="4854" width="11.90625" style="122" customWidth="1"/>
    <col min="4855" max="4855" width="14.08984375" style="122" customWidth="1"/>
    <col min="4856" max="4856" width="13.90625" style="122" customWidth="1"/>
    <col min="4857" max="4858" width="12.81640625" style="122" customWidth="1"/>
    <col min="4859" max="4859" width="13.54296875" style="122" customWidth="1"/>
    <col min="4860" max="4860" width="15.36328125" style="122" customWidth="1"/>
    <col min="4861" max="4861" width="12.81640625" style="122" customWidth="1"/>
    <col min="4862" max="4862" width="13.90625" style="122" customWidth="1"/>
    <col min="4863" max="4863" width="1.90625" style="122" customWidth="1"/>
    <col min="4864" max="4864" width="13" style="122" customWidth="1"/>
    <col min="4865" max="5104" width="8.90625" style="122"/>
    <col min="5105" max="5105" width="6" style="122" customWidth="1"/>
    <col min="5106" max="5106" width="1.453125" style="122" customWidth="1"/>
    <col min="5107" max="5107" width="39.08984375" style="122" customWidth="1"/>
    <col min="5108" max="5108" width="12" style="122" customWidth="1"/>
    <col min="5109" max="5109" width="14.453125" style="122" customWidth="1"/>
    <col min="5110" max="5110" width="11.90625" style="122" customWidth="1"/>
    <col min="5111" max="5111" width="14.08984375" style="122" customWidth="1"/>
    <col min="5112" max="5112" width="13.90625" style="122" customWidth="1"/>
    <col min="5113" max="5114" width="12.81640625" style="122" customWidth="1"/>
    <col min="5115" max="5115" width="13.54296875" style="122" customWidth="1"/>
    <col min="5116" max="5116" width="15.36328125" style="122" customWidth="1"/>
    <col min="5117" max="5117" width="12.81640625" style="122" customWidth="1"/>
    <col min="5118" max="5118" width="13.90625" style="122" customWidth="1"/>
    <col min="5119" max="5119" width="1.90625" style="122" customWidth="1"/>
    <col min="5120" max="5120" width="13" style="122" customWidth="1"/>
    <col min="5121" max="5360" width="8.90625" style="122"/>
    <col min="5361" max="5361" width="6" style="122" customWidth="1"/>
    <col min="5362" max="5362" width="1.453125" style="122" customWidth="1"/>
    <col min="5363" max="5363" width="39.08984375" style="122" customWidth="1"/>
    <col min="5364" max="5364" width="12" style="122" customWidth="1"/>
    <col min="5365" max="5365" width="14.453125" style="122" customWidth="1"/>
    <col min="5366" max="5366" width="11.90625" style="122" customWidth="1"/>
    <col min="5367" max="5367" width="14.08984375" style="122" customWidth="1"/>
    <col min="5368" max="5368" width="13.90625" style="122" customWidth="1"/>
    <col min="5369" max="5370" width="12.81640625" style="122" customWidth="1"/>
    <col min="5371" max="5371" width="13.54296875" style="122" customWidth="1"/>
    <col min="5372" max="5372" width="15.36328125" style="122" customWidth="1"/>
    <col min="5373" max="5373" width="12.81640625" style="122" customWidth="1"/>
    <col min="5374" max="5374" width="13.90625" style="122" customWidth="1"/>
    <col min="5375" max="5375" width="1.90625" style="122" customWidth="1"/>
    <col min="5376" max="5376" width="13" style="122" customWidth="1"/>
    <col min="5377" max="5616" width="8.90625" style="122"/>
    <col min="5617" max="5617" width="6" style="122" customWidth="1"/>
    <col min="5618" max="5618" width="1.453125" style="122" customWidth="1"/>
    <col min="5619" max="5619" width="39.08984375" style="122" customWidth="1"/>
    <col min="5620" max="5620" width="12" style="122" customWidth="1"/>
    <col min="5621" max="5621" width="14.453125" style="122" customWidth="1"/>
    <col min="5622" max="5622" width="11.90625" style="122" customWidth="1"/>
    <col min="5623" max="5623" width="14.08984375" style="122" customWidth="1"/>
    <col min="5624" max="5624" width="13.90625" style="122" customWidth="1"/>
    <col min="5625" max="5626" width="12.81640625" style="122" customWidth="1"/>
    <col min="5627" max="5627" width="13.54296875" style="122" customWidth="1"/>
    <col min="5628" max="5628" width="15.36328125" style="122" customWidth="1"/>
    <col min="5629" max="5629" width="12.81640625" style="122" customWidth="1"/>
    <col min="5630" max="5630" width="13.90625" style="122" customWidth="1"/>
    <col min="5631" max="5631" width="1.90625" style="122" customWidth="1"/>
    <col min="5632" max="5632" width="13" style="122" customWidth="1"/>
    <col min="5633" max="5872" width="8.90625" style="122"/>
    <col min="5873" max="5873" width="6" style="122" customWidth="1"/>
    <col min="5874" max="5874" width="1.453125" style="122" customWidth="1"/>
    <col min="5875" max="5875" width="39.08984375" style="122" customWidth="1"/>
    <col min="5876" max="5876" width="12" style="122" customWidth="1"/>
    <col min="5877" max="5877" width="14.453125" style="122" customWidth="1"/>
    <col min="5878" max="5878" width="11.90625" style="122" customWidth="1"/>
    <col min="5879" max="5879" width="14.08984375" style="122" customWidth="1"/>
    <col min="5880" max="5880" width="13.90625" style="122" customWidth="1"/>
    <col min="5881" max="5882" width="12.81640625" style="122" customWidth="1"/>
    <col min="5883" max="5883" width="13.54296875" style="122" customWidth="1"/>
    <col min="5884" max="5884" width="15.36328125" style="122" customWidth="1"/>
    <col min="5885" max="5885" width="12.81640625" style="122" customWidth="1"/>
    <col min="5886" max="5886" width="13.90625" style="122" customWidth="1"/>
    <col min="5887" max="5887" width="1.90625" style="122" customWidth="1"/>
    <col min="5888" max="5888" width="13" style="122" customWidth="1"/>
    <col min="5889" max="6128" width="8.90625" style="122"/>
    <col min="6129" max="6129" width="6" style="122" customWidth="1"/>
    <col min="6130" max="6130" width="1.453125" style="122" customWidth="1"/>
    <col min="6131" max="6131" width="39.08984375" style="122" customWidth="1"/>
    <col min="6132" max="6132" width="12" style="122" customWidth="1"/>
    <col min="6133" max="6133" width="14.453125" style="122" customWidth="1"/>
    <col min="6134" max="6134" width="11.90625" style="122" customWidth="1"/>
    <col min="6135" max="6135" width="14.08984375" style="122" customWidth="1"/>
    <col min="6136" max="6136" width="13.90625" style="122" customWidth="1"/>
    <col min="6137" max="6138" width="12.81640625" style="122" customWidth="1"/>
    <col min="6139" max="6139" width="13.54296875" style="122" customWidth="1"/>
    <col min="6140" max="6140" width="15.36328125" style="122" customWidth="1"/>
    <col min="6141" max="6141" width="12.81640625" style="122" customWidth="1"/>
    <col min="6142" max="6142" width="13.90625" style="122" customWidth="1"/>
    <col min="6143" max="6143" width="1.90625" style="122" customWidth="1"/>
    <col min="6144" max="6144" width="13" style="122" customWidth="1"/>
    <col min="6145" max="6384" width="8.90625" style="122"/>
    <col min="6385" max="6385" width="6" style="122" customWidth="1"/>
    <col min="6386" max="6386" width="1.453125" style="122" customWidth="1"/>
    <col min="6387" max="6387" width="39.08984375" style="122" customWidth="1"/>
    <col min="6388" max="6388" width="12" style="122" customWidth="1"/>
    <col min="6389" max="6389" width="14.453125" style="122" customWidth="1"/>
    <col min="6390" max="6390" width="11.90625" style="122" customWidth="1"/>
    <col min="6391" max="6391" width="14.08984375" style="122" customWidth="1"/>
    <col min="6392" max="6392" width="13.90625" style="122" customWidth="1"/>
    <col min="6393" max="6394" width="12.81640625" style="122" customWidth="1"/>
    <col min="6395" max="6395" width="13.54296875" style="122" customWidth="1"/>
    <col min="6396" max="6396" width="15.36328125" style="122" customWidth="1"/>
    <col min="6397" max="6397" width="12.81640625" style="122" customWidth="1"/>
    <col min="6398" max="6398" width="13.90625" style="122" customWidth="1"/>
    <col min="6399" max="6399" width="1.90625" style="122" customWidth="1"/>
    <col min="6400" max="6400" width="13" style="122" customWidth="1"/>
    <col min="6401" max="6640" width="8.90625" style="122"/>
    <col min="6641" max="6641" width="6" style="122" customWidth="1"/>
    <col min="6642" max="6642" width="1.453125" style="122" customWidth="1"/>
    <col min="6643" max="6643" width="39.08984375" style="122" customWidth="1"/>
    <col min="6644" max="6644" width="12" style="122" customWidth="1"/>
    <col min="6645" max="6645" width="14.453125" style="122" customWidth="1"/>
    <col min="6646" max="6646" width="11.90625" style="122" customWidth="1"/>
    <col min="6647" max="6647" width="14.08984375" style="122" customWidth="1"/>
    <col min="6648" max="6648" width="13.90625" style="122" customWidth="1"/>
    <col min="6649" max="6650" width="12.81640625" style="122" customWidth="1"/>
    <col min="6651" max="6651" width="13.54296875" style="122" customWidth="1"/>
    <col min="6652" max="6652" width="15.36328125" style="122" customWidth="1"/>
    <col min="6653" max="6653" width="12.81640625" style="122" customWidth="1"/>
    <col min="6654" max="6654" width="13.90625" style="122" customWidth="1"/>
    <col min="6655" max="6655" width="1.90625" style="122" customWidth="1"/>
    <col min="6656" max="6656" width="13" style="122" customWidth="1"/>
    <col min="6657" max="6896" width="8.90625" style="122"/>
    <col min="6897" max="6897" width="6" style="122" customWidth="1"/>
    <col min="6898" max="6898" width="1.453125" style="122" customWidth="1"/>
    <col min="6899" max="6899" width="39.08984375" style="122" customWidth="1"/>
    <col min="6900" max="6900" width="12" style="122" customWidth="1"/>
    <col min="6901" max="6901" width="14.453125" style="122" customWidth="1"/>
    <col min="6902" max="6902" width="11.90625" style="122" customWidth="1"/>
    <col min="6903" max="6903" width="14.08984375" style="122" customWidth="1"/>
    <col min="6904" max="6904" width="13.90625" style="122" customWidth="1"/>
    <col min="6905" max="6906" width="12.81640625" style="122" customWidth="1"/>
    <col min="6907" max="6907" width="13.54296875" style="122" customWidth="1"/>
    <col min="6908" max="6908" width="15.36328125" style="122" customWidth="1"/>
    <col min="6909" max="6909" width="12.81640625" style="122" customWidth="1"/>
    <col min="6910" max="6910" width="13.90625" style="122" customWidth="1"/>
    <col min="6911" max="6911" width="1.90625" style="122" customWidth="1"/>
    <col min="6912" max="6912" width="13" style="122" customWidth="1"/>
    <col min="6913" max="7152" width="8.90625" style="122"/>
    <col min="7153" max="7153" width="6" style="122" customWidth="1"/>
    <col min="7154" max="7154" width="1.453125" style="122" customWidth="1"/>
    <col min="7155" max="7155" width="39.08984375" style="122" customWidth="1"/>
    <col min="7156" max="7156" width="12" style="122" customWidth="1"/>
    <col min="7157" max="7157" width="14.453125" style="122" customWidth="1"/>
    <col min="7158" max="7158" width="11.90625" style="122" customWidth="1"/>
    <col min="7159" max="7159" width="14.08984375" style="122" customWidth="1"/>
    <col min="7160" max="7160" width="13.90625" style="122" customWidth="1"/>
    <col min="7161" max="7162" width="12.81640625" style="122" customWidth="1"/>
    <col min="7163" max="7163" width="13.54296875" style="122" customWidth="1"/>
    <col min="7164" max="7164" width="15.36328125" style="122" customWidth="1"/>
    <col min="7165" max="7165" width="12.81640625" style="122" customWidth="1"/>
    <col min="7166" max="7166" width="13.90625" style="122" customWidth="1"/>
    <col min="7167" max="7167" width="1.90625" style="122" customWidth="1"/>
    <col min="7168" max="7168" width="13" style="122" customWidth="1"/>
    <col min="7169" max="7408" width="8.90625" style="122"/>
    <col min="7409" max="7409" width="6" style="122" customWidth="1"/>
    <col min="7410" max="7410" width="1.453125" style="122" customWidth="1"/>
    <col min="7411" max="7411" width="39.08984375" style="122" customWidth="1"/>
    <col min="7412" max="7412" width="12" style="122" customWidth="1"/>
    <col min="7413" max="7413" width="14.453125" style="122" customWidth="1"/>
    <col min="7414" max="7414" width="11.90625" style="122" customWidth="1"/>
    <col min="7415" max="7415" width="14.08984375" style="122" customWidth="1"/>
    <col min="7416" max="7416" width="13.90625" style="122" customWidth="1"/>
    <col min="7417" max="7418" width="12.81640625" style="122" customWidth="1"/>
    <col min="7419" max="7419" width="13.54296875" style="122" customWidth="1"/>
    <col min="7420" max="7420" width="15.36328125" style="122" customWidth="1"/>
    <col min="7421" max="7421" width="12.81640625" style="122" customWidth="1"/>
    <col min="7422" max="7422" width="13.90625" style="122" customWidth="1"/>
    <col min="7423" max="7423" width="1.90625" style="122" customWidth="1"/>
    <col min="7424" max="7424" width="13" style="122" customWidth="1"/>
    <col min="7425" max="7664" width="8.90625" style="122"/>
    <col min="7665" max="7665" width="6" style="122" customWidth="1"/>
    <col min="7666" max="7666" width="1.453125" style="122" customWidth="1"/>
    <col min="7667" max="7667" width="39.08984375" style="122" customWidth="1"/>
    <col min="7668" max="7668" width="12" style="122" customWidth="1"/>
    <col min="7669" max="7669" width="14.453125" style="122" customWidth="1"/>
    <col min="7670" max="7670" width="11.90625" style="122" customWidth="1"/>
    <col min="7671" max="7671" width="14.08984375" style="122" customWidth="1"/>
    <col min="7672" max="7672" width="13.90625" style="122" customWidth="1"/>
    <col min="7673" max="7674" width="12.81640625" style="122" customWidth="1"/>
    <col min="7675" max="7675" width="13.54296875" style="122" customWidth="1"/>
    <col min="7676" max="7676" width="15.36328125" style="122" customWidth="1"/>
    <col min="7677" max="7677" width="12.81640625" style="122" customWidth="1"/>
    <col min="7678" max="7678" width="13.90625" style="122" customWidth="1"/>
    <col min="7679" max="7679" width="1.90625" style="122" customWidth="1"/>
    <col min="7680" max="7680" width="13" style="122" customWidth="1"/>
    <col min="7681" max="7920" width="8.90625" style="122"/>
    <col min="7921" max="7921" width="6" style="122" customWidth="1"/>
    <col min="7922" max="7922" width="1.453125" style="122" customWidth="1"/>
    <col min="7923" max="7923" width="39.08984375" style="122" customWidth="1"/>
    <col min="7924" max="7924" width="12" style="122" customWidth="1"/>
    <col min="7925" max="7925" width="14.453125" style="122" customWidth="1"/>
    <col min="7926" max="7926" width="11.90625" style="122" customWidth="1"/>
    <col min="7927" max="7927" width="14.08984375" style="122" customWidth="1"/>
    <col min="7928" max="7928" width="13.90625" style="122" customWidth="1"/>
    <col min="7929" max="7930" width="12.81640625" style="122" customWidth="1"/>
    <col min="7931" max="7931" width="13.54296875" style="122" customWidth="1"/>
    <col min="7932" max="7932" width="15.36328125" style="122" customWidth="1"/>
    <col min="7933" max="7933" width="12.81640625" style="122" customWidth="1"/>
    <col min="7934" max="7934" width="13.90625" style="122" customWidth="1"/>
    <col min="7935" max="7935" width="1.90625" style="122" customWidth="1"/>
    <col min="7936" max="7936" width="13" style="122" customWidth="1"/>
    <col min="7937" max="8176" width="8.90625" style="122"/>
    <col min="8177" max="8177" width="6" style="122" customWidth="1"/>
    <col min="8178" max="8178" width="1.453125" style="122" customWidth="1"/>
    <col min="8179" max="8179" width="39.08984375" style="122" customWidth="1"/>
    <col min="8180" max="8180" width="12" style="122" customWidth="1"/>
    <col min="8181" max="8181" width="14.453125" style="122" customWidth="1"/>
    <col min="8182" max="8182" width="11.90625" style="122" customWidth="1"/>
    <col min="8183" max="8183" width="14.08984375" style="122" customWidth="1"/>
    <col min="8184" max="8184" width="13.90625" style="122" customWidth="1"/>
    <col min="8185" max="8186" width="12.81640625" style="122" customWidth="1"/>
    <col min="8187" max="8187" width="13.54296875" style="122" customWidth="1"/>
    <col min="8188" max="8188" width="15.36328125" style="122" customWidth="1"/>
    <col min="8189" max="8189" width="12.81640625" style="122" customWidth="1"/>
    <col min="8190" max="8190" width="13.90625" style="122" customWidth="1"/>
    <col min="8191" max="8191" width="1.90625" style="122" customWidth="1"/>
    <col min="8192" max="8192" width="13" style="122" customWidth="1"/>
    <col min="8193" max="8432" width="8.90625" style="122"/>
    <col min="8433" max="8433" width="6" style="122" customWidth="1"/>
    <col min="8434" max="8434" width="1.453125" style="122" customWidth="1"/>
    <col min="8435" max="8435" width="39.08984375" style="122" customWidth="1"/>
    <col min="8436" max="8436" width="12" style="122" customWidth="1"/>
    <col min="8437" max="8437" width="14.453125" style="122" customWidth="1"/>
    <col min="8438" max="8438" width="11.90625" style="122" customWidth="1"/>
    <col min="8439" max="8439" width="14.08984375" style="122" customWidth="1"/>
    <col min="8440" max="8440" width="13.90625" style="122" customWidth="1"/>
    <col min="8441" max="8442" width="12.81640625" style="122" customWidth="1"/>
    <col min="8443" max="8443" width="13.54296875" style="122" customWidth="1"/>
    <col min="8444" max="8444" width="15.36328125" style="122" customWidth="1"/>
    <col min="8445" max="8445" width="12.81640625" style="122" customWidth="1"/>
    <col min="8446" max="8446" width="13.90625" style="122" customWidth="1"/>
    <col min="8447" max="8447" width="1.90625" style="122" customWidth="1"/>
    <col min="8448" max="8448" width="13" style="122" customWidth="1"/>
    <col min="8449" max="8688" width="8.90625" style="122"/>
    <col min="8689" max="8689" width="6" style="122" customWidth="1"/>
    <col min="8690" max="8690" width="1.453125" style="122" customWidth="1"/>
    <col min="8691" max="8691" width="39.08984375" style="122" customWidth="1"/>
    <col min="8692" max="8692" width="12" style="122" customWidth="1"/>
    <col min="8693" max="8693" width="14.453125" style="122" customWidth="1"/>
    <col min="8694" max="8694" width="11.90625" style="122" customWidth="1"/>
    <col min="8695" max="8695" width="14.08984375" style="122" customWidth="1"/>
    <col min="8696" max="8696" width="13.90625" style="122" customWidth="1"/>
    <col min="8697" max="8698" width="12.81640625" style="122" customWidth="1"/>
    <col min="8699" max="8699" width="13.54296875" style="122" customWidth="1"/>
    <col min="8700" max="8700" width="15.36328125" style="122" customWidth="1"/>
    <col min="8701" max="8701" width="12.81640625" style="122" customWidth="1"/>
    <col min="8702" max="8702" width="13.90625" style="122" customWidth="1"/>
    <col min="8703" max="8703" width="1.90625" style="122" customWidth="1"/>
    <col min="8704" max="8704" width="13" style="122" customWidth="1"/>
    <col min="8705" max="8944" width="8.90625" style="122"/>
    <col min="8945" max="8945" width="6" style="122" customWidth="1"/>
    <col min="8946" max="8946" width="1.453125" style="122" customWidth="1"/>
    <col min="8947" max="8947" width="39.08984375" style="122" customWidth="1"/>
    <col min="8948" max="8948" width="12" style="122" customWidth="1"/>
    <col min="8949" max="8949" width="14.453125" style="122" customWidth="1"/>
    <col min="8950" max="8950" width="11.90625" style="122" customWidth="1"/>
    <col min="8951" max="8951" width="14.08984375" style="122" customWidth="1"/>
    <col min="8952" max="8952" width="13.90625" style="122" customWidth="1"/>
    <col min="8953" max="8954" width="12.81640625" style="122" customWidth="1"/>
    <col min="8955" max="8955" width="13.54296875" style="122" customWidth="1"/>
    <col min="8956" max="8956" width="15.36328125" style="122" customWidth="1"/>
    <col min="8957" max="8957" width="12.81640625" style="122" customWidth="1"/>
    <col min="8958" max="8958" width="13.90625" style="122" customWidth="1"/>
    <col min="8959" max="8959" width="1.90625" style="122" customWidth="1"/>
    <col min="8960" max="8960" width="13" style="122" customWidth="1"/>
    <col min="8961" max="9200" width="8.90625" style="122"/>
    <col min="9201" max="9201" width="6" style="122" customWidth="1"/>
    <col min="9202" max="9202" width="1.453125" style="122" customWidth="1"/>
    <col min="9203" max="9203" width="39.08984375" style="122" customWidth="1"/>
    <col min="9204" max="9204" width="12" style="122" customWidth="1"/>
    <col min="9205" max="9205" width="14.453125" style="122" customWidth="1"/>
    <col min="9206" max="9206" width="11.90625" style="122" customWidth="1"/>
    <col min="9207" max="9207" width="14.08984375" style="122" customWidth="1"/>
    <col min="9208" max="9208" width="13.90625" style="122" customWidth="1"/>
    <col min="9209" max="9210" width="12.81640625" style="122" customWidth="1"/>
    <col min="9211" max="9211" width="13.54296875" style="122" customWidth="1"/>
    <col min="9212" max="9212" width="15.36328125" style="122" customWidth="1"/>
    <col min="9213" max="9213" width="12.81640625" style="122" customWidth="1"/>
    <col min="9214" max="9214" width="13.90625" style="122" customWidth="1"/>
    <col min="9215" max="9215" width="1.90625" style="122" customWidth="1"/>
    <col min="9216" max="9216" width="13" style="122" customWidth="1"/>
    <col min="9217" max="9456" width="8.90625" style="122"/>
    <col min="9457" max="9457" width="6" style="122" customWidth="1"/>
    <col min="9458" max="9458" width="1.453125" style="122" customWidth="1"/>
    <col min="9459" max="9459" width="39.08984375" style="122" customWidth="1"/>
    <col min="9460" max="9460" width="12" style="122" customWidth="1"/>
    <col min="9461" max="9461" width="14.453125" style="122" customWidth="1"/>
    <col min="9462" max="9462" width="11.90625" style="122" customWidth="1"/>
    <col min="9463" max="9463" width="14.08984375" style="122" customWidth="1"/>
    <col min="9464" max="9464" width="13.90625" style="122" customWidth="1"/>
    <col min="9465" max="9466" width="12.81640625" style="122" customWidth="1"/>
    <col min="9467" max="9467" width="13.54296875" style="122" customWidth="1"/>
    <col min="9468" max="9468" width="15.36328125" style="122" customWidth="1"/>
    <col min="9469" max="9469" width="12.81640625" style="122" customWidth="1"/>
    <col min="9470" max="9470" width="13.90625" style="122" customWidth="1"/>
    <col min="9471" max="9471" width="1.90625" style="122" customWidth="1"/>
    <col min="9472" max="9472" width="13" style="122" customWidth="1"/>
    <col min="9473" max="9712" width="8.90625" style="122"/>
    <col min="9713" max="9713" width="6" style="122" customWidth="1"/>
    <col min="9714" max="9714" width="1.453125" style="122" customWidth="1"/>
    <col min="9715" max="9715" width="39.08984375" style="122" customWidth="1"/>
    <col min="9716" max="9716" width="12" style="122" customWidth="1"/>
    <col min="9717" max="9717" width="14.453125" style="122" customWidth="1"/>
    <col min="9718" max="9718" width="11.90625" style="122" customWidth="1"/>
    <col min="9719" max="9719" width="14.08984375" style="122" customWidth="1"/>
    <col min="9720" max="9720" width="13.90625" style="122" customWidth="1"/>
    <col min="9721" max="9722" width="12.81640625" style="122" customWidth="1"/>
    <col min="9723" max="9723" width="13.54296875" style="122" customWidth="1"/>
    <col min="9724" max="9724" width="15.36328125" style="122" customWidth="1"/>
    <col min="9725" max="9725" width="12.81640625" style="122" customWidth="1"/>
    <col min="9726" max="9726" width="13.90625" style="122" customWidth="1"/>
    <col min="9727" max="9727" width="1.90625" style="122" customWidth="1"/>
    <col min="9728" max="9728" width="13" style="122" customWidth="1"/>
    <col min="9729" max="9968" width="8.90625" style="122"/>
    <col min="9969" max="9969" width="6" style="122" customWidth="1"/>
    <col min="9970" max="9970" width="1.453125" style="122" customWidth="1"/>
    <col min="9971" max="9971" width="39.08984375" style="122" customWidth="1"/>
    <col min="9972" max="9972" width="12" style="122" customWidth="1"/>
    <col min="9973" max="9973" width="14.453125" style="122" customWidth="1"/>
    <col min="9974" max="9974" width="11.90625" style="122" customWidth="1"/>
    <col min="9975" max="9975" width="14.08984375" style="122" customWidth="1"/>
    <col min="9976" max="9976" width="13.90625" style="122" customWidth="1"/>
    <col min="9977" max="9978" width="12.81640625" style="122" customWidth="1"/>
    <col min="9979" max="9979" width="13.54296875" style="122" customWidth="1"/>
    <col min="9980" max="9980" width="15.36328125" style="122" customWidth="1"/>
    <col min="9981" max="9981" width="12.81640625" style="122" customWidth="1"/>
    <col min="9982" max="9982" width="13.90625" style="122" customWidth="1"/>
    <col min="9983" max="9983" width="1.90625" style="122" customWidth="1"/>
    <col min="9984" max="9984" width="13" style="122" customWidth="1"/>
    <col min="9985" max="10224" width="8.90625" style="122"/>
    <col min="10225" max="10225" width="6" style="122" customWidth="1"/>
    <col min="10226" max="10226" width="1.453125" style="122" customWidth="1"/>
    <col min="10227" max="10227" width="39.08984375" style="122" customWidth="1"/>
    <col min="10228" max="10228" width="12" style="122" customWidth="1"/>
    <col min="10229" max="10229" width="14.453125" style="122" customWidth="1"/>
    <col min="10230" max="10230" width="11.90625" style="122" customWidth="1"/>
    <col min="10231" max="10231" width="14.08984375" style="122" customWidth="1"/>
    <col min="10232" max="10232" width="13.90625" style="122" customWidth="1"/>
    <col min="10233" max="10234" width="12.81640625" style="122" customWidth="1"/>
    <col min="10235" max="10235" width="13.54296875" style="122" customWidth="1"/>
    <col min="10236" max="10236" width="15.36328125" style="122" customWidth="1"/>
    <col min="10237" max="10237" width="12.81640625" style="122" customWidth="1"/>
    <col min="10238" max="10238" width="13.90625" style="122" customWidth="1"/>
    <col min="10239" max="10239" width="1.90625" style="122" customWidth="1"/>
    <col min="10240" max="10240" width="13" style="122" customWidth="1"/>
    <col min="10241" max="10480" width="8.90625" style="122"/>
    <col min="10481" max="10481" width="6" style="122" customWidth="1"/>
    <col min="10482" max="10482" width="1.453125" style="122" customWidth="1"/>
    <col min="10483" max="10483" width="39.08984375" style="122" customWidth="1"/>
    <col min="10484" max="10484" width="12" style="122" customWidth="1"/>
    <col min="10485" max="10485" width="14.453125" style="122" customWidth="1"/>
    <col min="10486" max="10486" width="11.90625" style="122" customWidth="1"/>
    <col min="10487" max="10487" width="14.08984375" style="122" customWidth="1"/>
    <col min="10488" max="10488" width="13.90625" style="122" customWidth="1"/>
    <col min="10489" max="10490" width="12.81640625" style="122" customWidth="1"/>
    <col min="10491" max="10491" width="13.54296875" style="122" customWidth="1"/>
    <col min="10492" max="10492" width="15.36328125" style="122" customWidth="1"/>
    <col min="10493" max="10493" width="12.81640625" style="122" customWidth="1"/>
    <col min="10494" max="10494" width="13.90625" style="122" customWidth="1"/>
    <col min="10495" max="10495" width="1.90625" style="122" customWidth="1"/>
    <col min="10496" max="10496" width="13" style="122" customWidth="1"/>
    <col min="10497" max="10736" width="8.90625" style="122"/>
    <col min="10737" max="10737" width="6" style="122" customWidth="1"/>
    <col min="10738" max="10738" width="1.453125" style="122" customWidth="1"/>
    <col min="10739" max="10739" width="39.08984375" style="122" customWidth="1"/>
    <col min="10740" max="10740" width="12" style="122" customWidth="1"/>
    <col min="10741" max="10741" width="14.453125" style="122" customWidth="1"/>
    <col min="10742" max="10742" width="11.90625" style="122" customWidth="1"/>
    <col min="10743" max="10743" width="14.08984375" style="122" customWidth="1"/>
    <col min="10744" max="10744" width="13.90625" style="122" customWidth="1"/>
    <col min="10745" max="10746" width="12.81640625" style="122" customWidth="1"/>
    <col min="10747" max="10747" width="13.54296875" style="122" customWidth="1"/>
    <col min="10748" max="10748" width="15.36328125" style="122" customWidth="1"/>
    <col min="10749" max="10749" width="12.81640625" style="122" customWidth="1"/>
    <col min="10750" max="10750" width="13.90625" style="122" customWidth="1"/>
    <col min="10751" max="10751" width="1.90625" style="122" customWidth="1"/>
    <col min="10752" max="10752" width="13" style="122" customWidth="1"/>
    <col min="10753" max="10992" width="8.90625" style="122"/>
    <col min="10993" max="10993" width="6" style="122" customWidth="1"/>
    <col min="10994" max="10994" width="1.453125" style="122" customWidth="1"/>
    <col min="10995" max="10995" width="39.08984375" style="122" customWidth="1"/>
    <col min="10996" max="10996" width="12" style="122" customWidth="1"/>
    <col min="10997" max="10997" width="14.453125" style="122" customWidth="1"/>
    <col min="10998" max="10998" width="11.90625" style="122" customWidth="1"/>
    <col min="10999" max="10999" width="14.08984375" style="122" customWidth="1"/>
    <col min="11000" max="11000" width="13.90625" style="122" customWidth="1"/>
    <col min="11001" max="11002" width="12.81640625" style="122" customWidth="1"/>
    <col min="11003" max="11003" width="13.54296875" style="122" customWidth="1"/>
    <col min="11004" max="11004" width="15.36328125" style="122" customWidth="1"/>
    <col min="11005" max="11005" width="12.81640625" style="122" customWidth="1"/>
    <col min="11006" max="11006" width="13.90625" style="122" customWidth="1"/>
    <col min="11007" max="11007" width="1.90625" style="122" customWidth="1"/>
    <col min="11008" max="11008" width="13" style="122" customWidth="1"/>
    <col min="11009" max="11248" width="8.90625" style="122"/>
    <col min="11249" max="11249" width="6" style="122" customWidth="1"/>
    <col min="11250" max="11250" width="1.453125" style="122" customWidth="1"/>
    <col min="11251" max="11251" width="39.08984375" style="122" customWidth="1"/>
    <col min="11252" max="11252" width="12" style="122" customWidth="1"/>
    <col min="11253" max="11253" width="14.453125" style="122" customWidth="1"/>
    <col min="11254" max="11254" width="11.90625" style="122" customWidth="1"/>
    <col min="11255" max="11255" width="14.08984375" style="122" customWidth="1"/>
    <col min="11256" max="11256" width="13.90625" style="122" customWidth="1"/>
    <col min="11257" max="11258" width="12.81640625" style="122" customWidth="1"/>
    <col min="11259" max="11259" width="13.54296875" style="122" customWidth="1"/>
    <col min="11260" max="11260" width="15.36328125" style="122" customWidth="1"/>
    <col min="11261" max="11261" width="12.81640625" style="122" customWidth="1"/>
    <col min="11262" max="11262" width="13.90625" style="122" customWidth="1"/>
    <col min="11263" max="11263" width="1.90625" style="122" customWidth="1"/>
    <col min="11264" max="11264" width="13" style="122" customWidth="1"/>
    <col min="11265" max="11504" width="8.90625" style="122"/>
    <col min="11505" max="11505" width="6" style="122" customWidth="1"/>
    <col min="11506" max="11506" width="1.453125" style="122" customWidth="1"/>
    <col min="11507" max="11507" width="39.08984375" style="122" customWidth="1"/>
    <col min="11508" max="11508" width="12" style="122" customWidth="1"/>
    <col min="11509" max="11509" width="14.453125" style="122" customWidth="1"/>
    <col min="11510" max="11510" width="11.90625" style="122" customWidth="1"/>
    <col min="11511" max="11511" width="14.08984375" style="122" customWidth="1"/>
    <col min="11512" max="11512" width="13.90625" style="122" customWidth="1"/>
    <col min="11513" max="11514" width="12.81640625" style="122" customWidth="1"/>
    <col min="11515" max="11515" width="13.54296875" style="122" customWidth="1"/>
    <col min="11516" max="11516" width="15.36328125" style="122" customWidth="1"/>
    <col min="11517" max="11517" width="12.81640625" style="122" customWidth="1"/>
    <col min="11518" max="11518" width="13.90625" style="122" customWidth="1"/>
    <col min="11519" max="11519" width="1.90625" style="122" customWidth="1"/>
    <col min="11520" max="11520" width="13" style="122" customWidth="1"/>
    <col min="11521" max="11760" width="8.90625" style="122"/>
    <col min="11761" max="11761" width="6" style="122" customWidth="1"/>
    <col min="11762" max="11762" width="1.453125" style="122" customWidth="1"/>
    <col min="11763" max="11763" width="39.08984375" style="122" customWidth="1"/>
    <col min="11764" max="11764" width="12" style="122" customWidth="1"/>
    <col min="11765" max="11765" width="14.453125" style="122" customWidth="1"/>
    <col min="11766" max="11766" width="11.90625" style="122" customWidth="1"/>
    <col min="11767" max="11767" width="14.08984375" style="122" customWidth="1"/>
    <col min="11768" max="11768" width="13.90625" style="122" customWidth="1"/>
    <col min="11769" max="11770" width="12.81640625" style="122" customWidth="1"/>
    <col min="11771" max="11771" width="13.54296875" style="122" customWidth="1"/>
    <col min="11772" max="11772" width="15.36328125" style="122" customWidth="1"/>
    <col min="11773" max="11773" width="12.81640625" style="122" customWidth="1"/>
    <col min="11774" max="11774" width="13.90625" style="122" customWidth="1"/>
    <col min="11775" max="11775" width="1.90625" style="122" customWidth="1"/>
    <col min="11776" max="11776" width="13" style="122" customWidth="1"/>
    <col min="11777" max="12016" width="8.90625" style="122"/>
    <col min="12017" max="12017" width="6" style="122" customWidth="1"/>
    <col min="12018" max="12018" width="1.453125" style="122" customWidth="1"/>
    <col min="12019" max="12019" width="39.08984375" style="122" customWidth="1"/>
    <col min="12020" max="12020" width="12" style="122" customWidth="1"/>
    <col min="12021" max="12021" width="14.453125" style="122" customWidth="1"/>
    <col min="12022" max="12022" width="11.90625" style="122" customWidth="1"/>
    <col min="12023" max="12023" width="14.08984375" style="122" customWidth="1"/>
    <col min="12024" max="12024" width="13.90625" style="122" customWidth="1"/>
    <col min="12025" max="12026" width="12.81640625" style="122" customWidth="1"/>
    <col min="12027" max="12027" width="13.54296875" style="122" customWidth="1"/>
    <col min="12028" max="12028" width="15.36328125" style="122" customWidth="1"/>
    <col min="12029" max="12029" width="12.81640625" style="122" customWidth="1"/>
    <col min="12030" max="12030" width="13.90625" style="122" customWidth="1"/>
    <col min="12031" max="12031" width="1.90625" style="122" customWidth="1"/>
    <col min="12032" max="12032" width="13" style="122" customWidth="1"/>
    <col min="12033" max="12272" width="8.90625" style="122"/>
    <col min="12273" max="12273" width="6" style="122" customWidth="1"/>
    <col min="12274" max="12274" width="1.453125" style="122" customWidth="1"/>
    <col min="12275" max="12275" width="39.08984375" style="122" customWidth="1"/>
    <col min="12276" max="12276" width="12" style="122" customWidth="1"/>
    <col min="12277" max="12277" width="14.453125" style="122" customWidth="1"/>
    <col min="12278" max="12278" width="11.90625" style="122" customWidth="1"/>
    <col min="12279" max="12279" width="14.08984375" style="122" customWidth="1"/>
    <col min="12280" max="12280" width="13.90625" style="122" customWidth="1"/>
    <col min="12281" max="12282" width="12.81640625" style="122" customWidth="1"/>
    <col min="12283" max="12283" width="13.54296875" style="122" customWidth="1"/>
    <col min="12284" max="12284" width="15.36328125" style="122" customWidth="1"/>
    <col min="12285" max="12285" width="12.81640625" style="122" customWidth="1"/>
    <col min="12286" max="12286" width="13.90625" style="122" customWidth="1"/>
    <col min="12287" max="12287" width="1.90625" style="122" customWidth="1"/>
    <col min="12288" max="12288" width="13" style="122" customWidth="1"/>
    <col min="12289" max="12528" width="8.90625" style="122"/>
    <col min="12529" max="12529" width="6" style="122" customWidth="1"/>
    <col min="12530" max="12530" width="1.453125" style="122" customWidth="1"/>
    <col min="12531" max="12531" width="39.08984375" style="122" customWidth="1"/>
    <col min="12532" max="12532" width="12" style="122" customWidth="1"/>
    <col min="12533" max="12533" width="14.453125" style="122" customWidth="1"/>
    <col min="12534" max="12534" width="11.90625" style="122" customWidth="1"/>
    <col min="12535" max="12535" width="14.08984375" style="122" customWidth="1"/>
    <col min="12536" max="12536" width="13.90625" style="122" customWidth="1"/>
    <col min="12537" max="12538" width="12.81640625" style="122" customWidth="1"/>
    <col min="12539" max="12539" width="13.54296875" style="122" customWidth="1"/>
    <col min="12540" max="12540" width="15.36328125" style="122" customWidth="1"/>
    <col min="12541" max="12541" width="12.81640625" style="122" customWidth="1"/>
    <col min="12542" max="12542" width="13.90625" style="122" customWidth="1"/>
    <col min="12543" max="12543" width="1.90625" style="122" customWidth="1"/>
    <col min="12544" max="12544" width="13" style="122" customWidth="1"/>
    <col min="12545" max="12784" width="8.90625" style="122"/>
    <col min="12785" max="12785" width="6" style="122" customWidth="1"/>
    <col min="12786" max="12786" width="1.453125" style="122" customWidth="1"/>
    <col min="12787" max="12787" width="39.08984375" style="122" customWidth="1"/>
    <col min="12788" max="12788" width="12" style="122" customWidth="1"/>
    <col min="12789" max="12789" width="14.453125" style="122" customWidth="1"/>
    <col min="12790" max="12790" width="11.90625" style="122" customWidth="1"/>
    <col min="12791" max="12791" width="14.08984375" style="122" customWidth="1"/>
    <col min="12792" max="12792" width="13.90625" style="122" customWidth="1"/>
    <col min="12793" max="12794" width="12.81640625" style="122" customWidth="1"/>
    <col min="12795" max="12795" width="13.54296875" style="122" customWidth="1"/>
    <col min="12796" max="12796" width="15.36328125" style="122" customWidth="1"/>
    <col min="12797" max="12797" width="12.81640625" style="122" customWidth="1"/>
    <col min="12798" max="12798" width="13.90625" style="122" customWidth="1"/>
    <col min="12799" max="12799" width="1.90625" style="122" customWidth="1"/>
    <col min="12800" max="12800" width="13" style="122" customWidth="1"/>
    <col min="12801" max="13040" width="8.90625" style="122"/>
    <col min="13041" max="13041" width="6" style="122" customWidth="1"/>
    <col min="13042" max="13042" width="1.453125" style="122" customWidth="1"/>
    <col min="13043" max="13043" width="39.08984375" style="122" customWidth="1"/>
    <col min="13044" max="13044" width="12" style="122" customWidth="1"/>
    <col min="13045" max="13045" width="14.453125" style="122" customWidth="1"/>
    <col min="13046" max="13046" width="11.90625" style="122" customWidth="1"/>
    <col min="13047" max="13047" width="14.08984375" style="122" customWidth="1"/>
    <col min="13048" max="13048" width="13.90625" style="122" customWidth="1"/>
    <col min="13049" max="13050" width="12.81640625" style="122" customWidth="1"/>
    <col min="13051" max="13051" width="13.54296875" style="122" customWidth="1"/>
    <col min="13052" max="13052" width="15.36328125" style="122" customWidth="1"/>
    <col min="13053" max="13053" width="12.81640625" style="122" customWidth="1"/>
    <col min="13054" max="13054" width="13.90625" style="122" customWidth="1"/>
    <col min="13055" max="13055" width="1.90625" style="122" customWidth="1"/>
    <col min="13056" max="13056" width="13" style="122" customWidth="1"/>
    <col min="13057" max="13296" width="8.90625" style="122"/>
    <col min="13297" max="13297" width="6" style="122" customWidth="1"/>
    <col min="13298" max="13298" width="1.453125" style="122" customWidth="1"/>
    <col min="13299" max="13299" width="39.08984375" style="122" customWidth="1"/>
    <col min="13300" max="13300" width="12" style="122" customWidth="1"/>
    <col min="13301" max="13301" width="14.453125" style="122" customWidth="1"/>
    <col min="13302" max="13302" width="11.90625" style="122" customWidth="1"/>
    <col min="13303" max="13303" width="14.08984375" style="122" customWidth="1"/>
    <col min="13304" max="13304" width="13.90625" style="122" customWidth="1"/>
    <col min="13305" max="13306" width="12.81640625" style="122" customWidth="1"/>
    <col min="13307" max="13307" width="13.54296875" style="122" customWidth="1"/>
    <col min="13308" max="13308" width="15.36328125" style="122" customWidth="1"/>
    <col min="13309" max="13309" width="12.81640625" style="122" customWidth="1"/>
    <col min="13310" max="13310" width="13.90625" style="122" customWidth="1"/>
    <col min="13311" max="13311" width="1.90625" style="122" customWidth="1"/>
    <col min="13312" max="13312" width="13" style="122" customWidth="1"/>
    <col min="13313" max="13552" width="8.90625" style="122"/>
    <col min="13553" max="13553" width="6" style="122" customWidth="1"/>
    <col min="13554" max="13554" width="1.453125" style="122" customWidth="1"/>
    <col min="13555" max="13555" width="39.08984375" style="122" customWidth="1"/>
    <col min="13556" max="13556" width="12" style="122" customWidth="1"/>
    <col min="13557" max="13557" width="14.453125" style="122" customWidth="1"/>
    <col min="13558" max="13558" width="11.90625" style="122" customWidth="1"/>
    <col min="13559" max="13559" width="14.08984375" style="122" customWidth="1"/>
    <col min="13560" max="13560" width="13.90625" style="122" customWidth="1"/>
    <col min="13561" max="13562" width="12.81640625" style="122" customWidth="1"/>
    <col min="13563" max="13563" width="13.54296875" style="122" customWidth="1"/>
    <col min="13564" max="13564" width="15.36328125" style="122" customWidth="1"/>
    <col min="13565" max="13565" width="12.81640625" style="122" customWidth="1"/>
    <col min="13566" max="13566" width="13.90625" style="122" customWidth="1"/>
    <col min="13567" max="13567" width="1.90625" style="122" customWidth="1"/>
    <col min="13568" max="13568" width="13" style="122" customWidth="1"/>
    <col min="13569" max="13808" width="8.90625" style="122"/>
    <col min="13809" max="13809" width="6" style="122" customWidth="1"/>
    <col min="13810" max="13810" width="1.453125" style="122" customWidth="1"/>
    <col min="13811" max="13811" width="39.08984375" style="122" customWidth="1"/>
    <col min="13812" max="13812" width="12" style="122" customWidth="1"/>
    <col min="13813" max="13813" width="14.453125" style="122" customWidth="1"/>
    <col min="13814" max="13814" width="11.90625" style="122" customWidth="1"/>
    <col min="13815" max="13815" width="14.08984375" style="122" customWidth="1"/>
    <col min="13816" max="13816" width="13.90625" style="122" customWidth="1"/>
    <col min="13817" max="13818" width="12.81640625" style="122" customWidth="1"/>
    <col min="13819" max="13819" width="13.54296875" style="122" customWidth="1"/>
    <col min="13820" max="13820" width="15.36328125" style="122" customWidth="1"/>
    <col min="13821" max="13821" width="12.81640625" style="122" customWidth="1"/>
    <col min="13822" max="13822" width="13.90625" style="122" customWidth="1"/>
    <col min="13823" max="13823" width="1.90625" style="122" customWidth="1"/>
    <col min="13824" max="13824" width="13" style="122" customWidth="1"/>
    <col min="13825" max="14064" width="8.90625" style="122"/>
    <col min="14065" max="14065" width="6" style="122" customWidth="1"/>
    <col min="14066" max="14066" width="1.453125" style="122" customWidth="1"/>
    <col min="14067" max="14067" width="39.08984375" style="122" customWidth="1"/>
    <col min="14068" max="14068" width="12" style="122" customWidth="1"/>
    <col min="14069" max="14069" width="14.453125" style="122" customWidth="1"/>
    <col min="14070" max="14070" width="11.90625" style="122" customWidth="1"/>
    <col min="14071" max="14071" width="14.08984375" style="122" customWidth="1"/>
    <col min="14072" max="14072" width="13.90625" style="122" customWidth="1"/>
    <col min="14073" max="14074" width="12.81640625" style="122" customWidth="1"/>
    <col min="14075" max="14075" width="13.54296875" style="122" customWidth="1"/>
    <col min="14076" max="14076" width="15.36328125" style="122" customWidth="1"/>
    <col min="14077" max="14077" width="12.81640625" style="122" customWidth="1"/>
    <col min="14078" max="14078" width="13.90625" style="122" customWidth="1"/>
    <col min="14079" max="14079" width="1.90625" style="122" customWidth="1"/>
    <col min="14080" max="14080" width="13" style="122" customWidth="1"/>
    <col min="14081" max="14320" width="8.90625" style="122"/>
    <col min="14321" max="14321" width="6" style="122" customWidth="1"/>
    <col min="14322" max="14322" width="1.453125" style="122" customWidth="1"/>
    <col min="14323" max="14323" width="39.08984375" style="122" customWidth="1"/>
    <col min="14324" max="14324" width="12" style="122" customWidth="1"/>
    <col min="14325" max="14325" width="14.453125" style="122" customWidth="1"/>
    <col min="14326" max="14326" width="11.90625" style="122" customWidth="1"/>
    <col min="14327" max="14327" width="14.08984375" style="122" customWidth="1"/>
    <col min="14328" max="14328" width="13.90625" style="122" customWidth="1"/>
    <col min="14329" max="14330" width="12.81640625" style="122" customWidth="1"/>
    <col min="14331" max="14331" width="13.54296875" style="122" customWidth="1"/>
    <col min="14332" max="14332" width="15.36328125" style="122" customWidth="1"/>
    <col min="14333" max="14333" width="12.81640625" style="122" customWidth="1"/>
    <col min="14334" max="14334" width="13.90625" style="122" customWidth="1"/>
    <col min="14335" max="14335" width="1.90625" style="122" customWidth="1"/>
    <col min="14336" max="14336" width="13" style="122" customWidth="1"/>
    <col min="14337" max="14576" width="8.90625" style="122"/>
    <col min="14577" max="14577" width="6" style="122" customWidth="1"/>
    <col min="14578" max="14578" width="1.453125" style="122" customWidth="1"/>
    <col min="14579" max="14579" width="39.08984375" style="122" customWidth="1"/>
    <col min="14580" max="14580" width="12" style="122" customWidth="1"/>
    <col min="14581" max="14581" width="14.453125" style="122" customWidth="1"/>
    <col min="14582" max="14582" width="11.90625" style="122" customWidth="1"/>
    <col min="14583" max="14583" width="14.08984375" style="122" customWidth="1"/>
    <col min="14584" max="14584" width="13.90625" style="122" customWidth="1"/>
    <col min="14585" max="14586" width="12.81640625" style="122" customWidth="1"/>
    <col min="14587" max="14587" width="13.54296875" style="122" customWidth="1"/>
    <col min="14588" max="14588" width="15.36328125" style="122" customWidth="1"/>
    <col min="14589" max="14589" width="12.81640625" style="122" customWidth="1"/>
    <col min="14590" max="14590" width="13.90625" style="122" customWidth="1"/>
    <col min="14591" max="14591" width="1.90625" style="122" customWidth="1"/>
    <col min="14592" max="14592" width="13" style="122" customWidth="1"/>
    <col min="14593" max="14832" width="8.90625" style="122"/>
    <col min="14833" max="14833" width="6" style="122" customWidth="1"/>
    <col min="14834" max="14834" width="1.453125" style="122" customWidth="1"/>
    <col min="14835" max="14835" width="39.08984375" style="122" customWidth="1"/>
    <col min="14836" max="14836" width="12" style="122" customWidth="1"/>
    <col min="14837" max="14837" width="14.453125" style="122" customWidth="1"/>
    <col min="14838" max="14838" width="11.90625" style="122" customWidth="1"/>
    <col min="14839" max="14839" width="14.08984375" style="122" customWidth="1"/>
    <col min="14840" max="14840" width="13.90625" style="122" customWidth="1"/>
    <col min="14841" max="14842" width="12.81640625" style="122" customWidth="1"/>
    <col min="14843" max="14843" width="13.54296875" style="122" customWidth="1"/>
    <col min="14844" max="14844" width="15.36328125" style="122" customWidth="1"/>
    <col min="14845" max="14845" width="12.81640625" style="122" customWidth="1"/>
    <col min="14846" max="14846" width="13.90625" style="122" customWidth="1"/>
    <col min="14847" max="14847" width="1.90625" style="122" customWidth="1"/>
    <col min="14848" max="14848" width="13" style="122" customWidth="1"/>
    <col min="14849" max="15088" width="8.90625" style="122"/>
    <col min="15089" max="15089" width="6" style="122" customWidth="1"/>
    <col min="15090" max="15090" width="1.453125" style="122" customWidth="1"/>
    <col min="15091" max="15091" width="39.08984375" style="122" customWidth="1"/>
    <col min="15092" max="15092" width="12" style="122" customWidth="1"/>
    <col min="15093" max="15093" width="14.453125" style="122" customWidth="1"/>
    <col min="15094" max="15094" width="11.90625" style="122" customWidth="1"/>
    <col min="15095" max="15095" width="14.08984375" style="122" customWidth="1"/>
    <col min="15096" max="15096" width="13.90625" style="122" customWidth="1"/>
    <col min="15097" max="15098" width="12.81640625" style="122" customWidth="1"/>
    <col min="15099" max="15099" width="13.54296875" style="122" customWidth="1"/>
    <col min="15100" max="15100" width="15.36328125" style="122" customWidth="1"/>
    <col min="15101" max="15101" width="12.81640625" style="122" customWidth="1"/>
    <col min="15102" max="15102" width="13.90625" style="122" customWidth="1"/>
    <col min="15103" max="15103" width="1.90625" style="122" customWidth="1"/>
    <col min="15104" max="15104" width="13" style="122" customWidth="1"/>
    <col min="15105" max="15344" width="8.90625" style="122"/>
    <col min="15345" max="15345" width="6" style="122" customWidth="1"/>
    <col min="15346" max="15346" width="1.453125" style="122" customWidth="1"/>
    <col min="15347" max="15347" width="39.08984375" style="122" customWidth="1"/>
    <col min="15348" max="15348" width="12" style="122" customWidth="1"/>
    <col min="15349" max="15349" width="14.453125" style="122" customWidth="1"/>
    <col min="15350" max="15350" width="11.90625" style="122" customWidth="1"/>
    <col min="15351" max="15351" width="14.08984375" style="122" customWidth="1"/>
    <col min="15352" max="15352" width="13.90625" style="122" customWidth="1"/>
    <col min="15353" max="15354" width="12.81640625" style="122" customWidth="1"/>
    <col min="15355" max="15355" width="13.54296875" style="122" customWidth="1"/>
    <col min="15356" max="15356" width="15.36328125" style="122" customWidth="1"/>
    <col min="15357" max="15357" width="12.81640625" style="122" customWidth="1"/>
    <col min="15358" max="15358" width="13.90625" style="122" customWidth="1"/>
    <col min="15359" max="15359" width="1.90625" style="122" customWidth="1"/>
    <col min="15360" max="15360" width="13" style="122" customWidth="1"/>
    <col min="15361" max="15600" width="8.90625" style="122"/>
    <col min="15601" max="15601" width="6" style="122" customWidth="1"/>
    <col min="15602" max="15602" width="1.453125" style="122" customWidth="1"/>
    <col min="15603" max="15603" width="39.08984375" style="122" customWidth="1"/>
    <col min="15604" max="15604" width="12" style="122" customWidth="1"/>
    <col min="15605" max="15605" width="14.453125" style="122" customWidth="1"/>
    <col min="15606" max="15606" width="11.90625" style="122" customWidth="1"/>
    <col min="15607" max="15607" width="14.08984375" style="122" customWidth="1"/>
    <col min="15608" max="15608" width="13.90625" style="122" customWidth="1"/>
    <col min="15609" max="15610" width="12.81640625" style="122" customWidth="1"/>
    <col min="15611" max="15611" width="13.54296875" style="122" customWidth="1"/>
    <col min="15612" max="15612" width="15.36328125" style="122" customWidth="1"/>
    <col min="15613" max="15613" width="12.81640625" style="122" customWidth="1"/>
    <col min="15614" max="15614" width="13.90625" style="122" customWidth="1"/>
    <col min="15615" max="15615" width="1.90625" style="122" customWidth="1"/>
    <col min="15616" max="15616" width="13" style="122" customWidth="1"/>
    <col min="15617" max="15856" width="8.90625" style="122"/>
    <col min="15857" max="15857" width="6" style="122" customWidth="1"/>
    <col min="15858" max="15858" width="1.453125" style="122" customWidth="1"/>
    <col min="15859" max="15859" width="39.08984375" style="122" customWidth="1"/>
    <col min="15860" max="15860" width="12" style="122" customWidth="1"/>
    <col min="15861" max="15861" width="14.453125" style="122" customWidth="1"/>
    <col min="15862" max="15862" width="11.90625" style="122" customWidth="1"/>
    <col min="15863" max="15863" width="14.08984375" style="122" customWidth="1"/>
    <col min="15864" max="15864" width="13.90625" style="122" customWidth="1"/>
    <col min="15865" max="15866" width="12.81640625" style="122" customWidth="1"/>
    <col min="15867" max="15867" width="13.54296875" style="122" customWidth="1"/>
    <col min="15868" max="15868" width="15.36328125" style="122" customWidth="1"/>
    <col min="15869" max="15869" width="12.81640625" style="122" customWidth="1"/>
    <col min="15870" max="15870" width="13.90625" style="122" customWidth="1"/>
    <col min="15871" max="15871" width="1.90625" style="122" customWidth="1"/>
    <col min="15872" max="15872" width="13" style="122" customWidth="1"/>
    <col min="15873" max="16112" width="8.90625" style="122"/>
    <col min="16113" max="16113" width="6" style="122" customWidth="1"/>
    <col min="16114" max="16114" width="1.453125" style="122" customWidth="1"/>
    <col min="16115" max="16115" width="39.08984375" style="122" customWidth="1"/>
    <col min="16116" max="16116" width="12" style="122" customWidth="1"/>
    <col min="16117" max="16117" width="14.453125" style="122" customWidth="1"/>
    <col min="16118" max="16118" width="11.90625" style="122" customWidth="1"/>
    <col min="16119" max="16119" width="14.08984375" style="122" customWidth="1"/>
    <col min="16120" max="16120" width="13.90625" style="122" customWidth="1"/>
    <col min="16121" max="16122" width="12.81640625" style="122" customWidth="1"/>
    <col min="16123" max="16123" width="13.54296875" style="122" customWidth="1"/>
    <col min="16124" max="16124" width="15.36328125" style="122" customWidth="1"/>
    <col min="16125" max="16125" width="12.81640625" style="122" customWidth="1"/>
    <col min="16126" max="16126" width="13.90625" style="122" customWidth="1"/>
    <col min="16127" max="16127" width="1.90625" style="122" customWidth="1"/>
    <col min="16128" max="16128" width="13" style="122" customWidth="1"/>
    <col min="16129" max="16368" width="8.90625" style="122"/>
    <col min="16369" max="16384" width="8.90625" style="122" customWidth="1"/>
  </cols>
  <sheetData>
    <row r="1" spans="1:49">
      <c r="I1" s="73" t="s">
        <v>306</v>
      </c>
    </row>
    <row r="2" spans="1:49">
      <c r="I2" s="73" t="s">
        <v>350</v>
      </c>
    </row>
    <row r="3" spans="1:49">
      <c r="I3" s="364" t="s">
        <v>197</v>
      </c>
    </row>
    <row r="4" spans="1:49">
      <c r="I4" s="261" t="str">
        <f>"For the 12 months ended: "&amp;TEXT(INPUT!B1,"mm/dd/yyyy")</f>
        <v>For the 12 months ended: 12/31/2018</v>
      </c>
    </row>
    <row r="5" spans="1:49">
      <c r="C5" s="100"/>
    </row>
    <row r="6" spans="1:49">
      <c r="A6" s="198" t="s">
        <v>263</v>
      </c>
      <c r="B6" s="249"/>
      <c r="C6" s="249"/>
      <c r="D6" s="198"/>
      <c r="E6" s="198"/>
      <c r="F6" s="198"/>
      <c r="G6" s="249"/>
      <c r="H6" s="198"/>
      <c r="I6" s="198"/>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row>
    <row r="7" spans="1:49">
      <c r="A7" s="199" t="s">
        <v>307</v>
      </c>
      <c r="B7" s="249"/>
      <c r="C7" s="249"/>
      <c r="D7" s="198"/>
      <c r="E7" s="198"/>
      <c r="F7" s="198"/>
      <c r="G7" s="249"/>
      <c r="H7" s="198"/>
      <c r="I7" s="198"/>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row>
    <row r="8" spans="1:49">
      <c r="A8" s="200"/>
      <c r="B8" s="249"/>
      <c r="C8" s="249"/>
      <c r="D8" s="200"/>
      <c r="E8" s="200"/>
      <c r="F8" s="200"/>
      <c r="G8" s="249"/>
      <c r="H8" s="200"/>
      <c r="I8" s="200"/>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row>
    <row r="9" spans="1:49">
      <c r="A9" s="374" t="str">
        <f>DEK!A11</f>
        <v>DUKE ENERGY KENTUCKY (DEK)</v>
      </c>
      <c r="B9" s="249"/>
      <c r="C9" s="249"/>
      <c r="D9" s="200"/>
      <c r="E9" s="200"/>
      <c r="F9" s="200"/>
      <c r="G9" s="249"/>
      <c r="H9" s="252"/>
      <c r="I9" s="200"/>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row>
    <row r="10" spans="1:49">
      <c r="A10" s="318" t="s">
        <v>305</v>
      </c>
      <c r="B10" s="249"/>
      <c r="C10" s="249"/>
      <c r="D10" s="200"/>
      <c r="E10" s="200"/>
      <c r="F10" s="200"/>
      <c r="G10" s="249"/>
      <c r="H10" s="252"/>
      <c r="I10" s="200"/>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row>
    <row r="11" spans="1:49">
      <c r="A11" s="363"/>
      <c r="B11" s="249"/>
      <c r="C11" s="200"/>
      <c r="D11" s="200"/>
      <c r="E11" s="200"/>
      <c r="F11" s="200"/>
      <c r="G11" s="252"/>
      <c r="H11" s="200"/>
      <c r="I11" s="200"/>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row>
    <row r="12" spans="1:49">
      <c r="A12" s="200" t="s">
        <v>516</v>
      </c>
      <c r="B12" s="249"/>
      <c r="C12" s="249"/>
      <c r="D12" s="200"/>
      <c r="E12" s="200"/>
      <c r="F12" s="200"/>
      <c r="G12" s="252"/>
      <c r="H12" s="200"/>
      <c r="I12" s="200"/>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row>
    <row r="13" spans="1:49">
      <c r="A13" s="126"/>
      <c r="C13" s="98"/>
      <c r="D13" s="98"/>
      <c r="E13" s="98"/>
      <c r="F13" s="98"/>
      <c r="G13" s="127"/>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row>
    <row r="14" spans="1:49">
      <c r="A14" s="126"/>
      <c r="C14" s="98"/>
      <c r="D14" s="98"/>
      <c r="E14" s="98"/>
      <c r="F14" s="98"/>
      <c r="G14" s="98"/>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row>
    <row r="15" spans="1:49">
      <c r="C15" s="96" t="s">
        <v>18</v>
      </c>
      <c r="D15" s="96"/>
      <c r="E15" s="96" t="s">
        <v>19</v>
      </c>
      <c r="F15" s="96"/>
      <c r="G15" s="96" t="s">
        <v>20</v>
      </c>
      <c r="I15" s="128" t="s">
        <v>21</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row>
    <row r="16" spans="1:49">
      <c r="C16" s="95"/>
      <c r="D16" s="9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row>
    <row r="17" spans="1:59">
      <c r="A17" s="328" t="s">
        <v>8</v>
      </c>
      <c r="B17" s="125"/>
      <c r="C17" s="95"/>
      <c r="D17" s="95"/>
      <c r="E17" s="137" t="s">
        <v>306</v>
      </c>
      <c r="F17" s="137"/>
      <c r="G17" s="99"/>
      <c r="H17" s="125"/>
      <c r="I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row>
    <row r="18" spans="1:59">
      <c r="A18" s="359" t="s">
        <v>10</v>
      </c>
      <c r="B18" s="360"/>
      <c r="C18" s="361"/>
      <c r="D18" s="361"/>
      <c r="E18" s="362" t="s">
        <v>25</v>
      </c>
      <c r="F18" s="362"/>
      <c r="G18" s="359" t="s">
        <v>24</v>
      </c>
      <c r="H18" s="360"/>
      <c r="I18" s="359" t="s">
        <v>13</v>
      </c>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row>
    <row r="19" spans="1:59" ht="15.6">
      <c r="A19" s="135"/>
      <c r="C19" s="95" t="s">
        <v>347</v>
      </c>
      <c r="D19" s="95"/>
      <c r="E19" s="99"/>
      <c r="F19" s="99"/>
      <c r="G19" s="99"/>
      <c r="I19" s="99"/>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row>
    <row r="20" spans="1:59">
      <c r="A20" s="136">
        <v>1</v>
      </c>
      <c r="C20" s="95" t="s">
        <v>220</v>
      </c>
      <c r="D20" s="95"/>
      <c r="E20" s="554" t="s">
        <v>709</v>
      </c>
      <c r="F20" s="137"/>
      <c r="G20" s="138">
        <f>DEK!J54</f>
        <v>41779310</v>
      </c>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row>
    <row r="21" spans="1:59">
      <c r="A21" s="136">
        <v>2</v>
      </c>
      <c r="C21" s="95" t="s">
        <v>221</v>
      </c>
      <c r="D21" s="95"/>
      <c r="E21" s="554" t="s">
        <v>710</v>
      </c>
      <c r="F21" s="137"/>
      <c r="G21" s="138">
        <f>DEK!J70</f>
        <v>27746879</v>
      </c>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row>
    <row r="22" spans="1:59">
      <c r="A22" s="136"/>
      <c r="E22" s="554"/>
      <c r="F22" s="137"/>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row>
    <row r="23" spans="1:59">
      <c r="A23" s="136"/>
      <c r="C23" s="95" t="s">
        <v>198</v>
      </c>
      <c r="D23" s="95"/>
      <c r="E23" s="554"/>
      <c r="F23" s="137"/>
      <c r="G23" s="99"/>
      <c r="I23" s="99"/>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row>
    <row r="24" spans="1:59">
      <c r="A24" s="136">
        <v>3</v>
      </c>
      <c r="C24" s="95" t="s">
        <v>222</v>
      </c>
      <c r="D24" s="95"/>
      <c r="E24" s="554" t="s">
        <v>708</v>
      </c>
      <c r="F24" s="137"/>
      <c r="G24" s="138">
        <f>DEK!J126</f>
        <v>1905678</v>
      </c>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row>
    <row r="25" spans="1:59">
      <c r="A25" s="136">
        <v>4</v>
      </c>
      <c r="C25" s="95" t="s">
        <v>223</v>
      </c>
      <c r="D25" s="95"/>
      <c r="E25" s="554" t="s">
        <v>715</v>
      </c>
      <c r="F25" s="137"/>
      <c r="G25" s="139">
        <f>IF(G24=0,0,G24/G20)</f>
        <v>4.5612960099149558E-2</v>
      </c>
      <c r="I25" s="140">
        <f>G25</f>
        <v>4.5612960099149558E-2</v>
      </c>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row>
    <row r="26" spans="1:59">
      <c r="A26" s="136"/>
      <c r="E26" s="554"/>
      <c r="F26" s="137"/>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row>
    <row r="27" spans="1:59" ht="30">
      <c r="A27" s="136"/>
      <c r="C27" s="632" t="s">
        <v>604</v>
      </c>
      <c r="D27" s="95"/>
      <c r="E27" s="552"/>
      <c r="F27" s="137"/>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row>
    <row r="28" spans="1:59">
      <c r="A28" s="149" t="s">
        <v>224</v>
      </c>
      <c r="C28" s="95" t="s">
        <v>605</v>
      </c>
      <c r="D28" s="95"/>
      <c r="E28" s="554" t="s">
        <v>567</v>
      </c>
      <c r="F28" s="137"/>
      <c r="G28" s="138">
        <f>DEK!J130+DEK!J131</f>
        <v>101668</v>
      </c>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row>
    <row r="29" spans="1:59" ht="30">
      <c r="A29" s="633" t="s">
        <v>225</v>
      </c>
      <c r="C29" s="632" t="s">
        <v>606</v>
      </c>
      <c r="D29" s="95"/>
      <c r="E29" s="634" t="s">
        <v>712</v>
      </c>
      <c r="F29" s="634"/>
      <c r="G29" s="635">
        <f>IF(G28=0,0,G28/G20)</f>
        <v>2.4334533049971386E-3</v>
      </c>
      <c r="H29" s="636"/>
      <c r="I29" s="637">
        <f>G29</f>
        <v>2.4334533049971386E-3</v>
      </c>
      <c r="K29" s="129"/>
      <c r="L29" s="130"/>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row>
    <row r="30" spans="1:59">
      <c r="A30" s="136"/>
      <c r="E30" s="554"/>
      <c r="F30" s="137"/>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row>
    <row r="31" spans="1:59">
      <c r="A31" s="143"/>
      <c r="C31" s="95" t="s">
        <v>201</v>
      </c>
      <c r="D31" s="95"/>
      <c r="E31" s="552"/>
      <c r="F31" s="101"/>
      <c r="G31" s="99"/>
      <c r="I31" s="99"/>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row>
    <row r="32" spans="1:59">
      <c r="A32" s="143" t="s">
        <v>227</v>
      </c>
      <c r="C32" s="95" t="s">
        <v>203</v>
      </c>
      <c r="D32" s="95"/>
      <c r="E32" s="554" t="s">
        <v>707</v>
      </c>
      <c r="F32" s="137"/>
      <c r="G32" s="138">
        <f>DEK!J143</f>
        <v>294608</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row>
    <row r="33" spans="1:49">
      <c r="A33" s="143" t="s">
        <v>229</v>
      </c>
      <c r="C33" s="95" t="s">
        <v>226</v>
      </c>
      <c r="D33" s="95"/>
      <c r="E33" s="554" t="s">
        <v>713</v>
      </c>
      <c r="F33" s="137"/>
      <c r="G33" s="139">
        <f>IF(G32=0,0,G32/G20)</f>
        <v>7.0515286154797675E-3</v>
      </c>
      <c r="I33" s="140">
        <f>G33</f>
        <v>7.0515286154797675E-3</v>
      </c>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row>
    <row r="34" spans="1:49">
      <c r="A34" s="143"/>
      <c r="C34" s="95"/>
      <c r="D34" s="95"/>
      <c r="E34" s="554"/>
      <c r="F34" s="137"/>
      <c r="G34" s="99"/>
      <c r="I34" s="99"/>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row>
    <row r="35" spans="1:49" ht="15.6">
      <c r="A35" s="145" t="s">
        <v>199</v>
      </c>
      <c r="B35" s="146"/>
      <c r="C35" s="134" t="s">
        <v>228</v>
      </c>
      <c r="D35" s="134"/>
      <c r="E35" s="553" t="s">
        <v>415</v>
      </c>
      <c r="F35" s="131"/>
      <c r="G35" s="147"/>
      <c r="I35" s="148">
        <f>I25+I29+I33</f>
        <v>5.5097942019626464E-2</v>
      </c>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row>
    <row r="36" spans="1:49">
      <c r="A36" s="324"/>
      <c r="C36" s="95"/>
      <c r="D36" s="95"/>
      <c r="E36" s="554"/>
      <c r="F36" s="137"/>
      <c r="G36" s="99"/>
      <c r="I36" s="99"/>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row>
    <row r="37" spans="1:49">
      <c r="A37" s="149"/>
      <c r="B37" s="150"/>
      <c r="C37" s="99" t="s">
        <v>205</v>
      </c>
      <c r="D37" s="99"/>
      <c r="E37" s="554"/>
      <c r="F37" s="137"/>
      <c r="G37" s="99"/>
      <c r="I37" s="99"/>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row>
    <row r="38" spans="1:49">
      <c r="A38" s="143" t="s">
        <v>200</v>
      </c>
      <c r="B38" s="150"/>
      <c r="C38" s="99" t="s">
        <v>127</v>
      </c>
      <c r="D38" s="99"/>
      <c r="E38" s="554" t="s">
        <v>706</v>
      </c>
      <c r="F38" s="137"/>
      <c r="G38" s="138">
        <f>DEK!J156</f>
        <v>418958</v>
      </c>
      <c r="I38" s="99"/>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row>
    <row r="39" spans="1:49">
      <c r="A39" s="143" t="s">
        <v>202</v>
      </c>
      <c r="B39" s="150"/>
      <c r="C39" s="99" t="s">
        <v>230</v>
      </c>
      <c r="D39" s="99"/>
      <c r="E39" s="554" t="s">
        <v>714</v>
      </c>
      <c r="F39" s="137"/>
      <c r="G39" s="139">
        <f>IF(G38=0,0,G38/G21)</f>
        <v>1.5099283778907169E-2</v>
      </c>
      <c r="I39" s="140">
        <f>G39</f>
        <v>1.5099283778907169E-2</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row>
    <row r="40" spans="1:49">
      <c r="A40" s="143"/>
      <c r="C40" s="99"/>
      <c r="D40" s="99"/>
      <c r="E40" s="554"/>
      <c r="F40" s="137"/>
      <c r="G40" s="99"/>
      <c r="I40" s="99"/>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row>
    <row r="41" spans="1:49">
      <c r="A41" s="143"/>
      <c r="C41" s="95" t="s">
        <v>59</v>
      </c>
      <c r="D41" s="95"/>
      <c r="E41" s="555"/>
      <c r="F41" s="151"/>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row>
    <row r="42" spans="1:49">
      <c r="A42" s="143" t="s">
        <v>204</v>
      </c>
      <c r="C42" s="95" t="s">
        <v>206</v>
      </c>
      <c r="D42" s="95"/>
      <c r="E42" s="554" t="s">
        <v>705</v>
      </c>
      <c r="F42" s="137"/>
      <c r="G42" s="138">
        <f>DEK!J158</f>
        <v>1624411</v>
      </c>
      <c r="I42" s="99"/>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row>
    <row r="43" spans="1:49">
      <c r="A43" s="143" t="s">
        <v>270</v>
      </c>
      <c r="B43" s="150"/>
      <c r="C43" s="99" t="s">
        <v>231</v>
      </c>
      <c r="D43" s="99"/>
      <c r="E43" s="554" t="s">
        <v>711</v>
      </c>
      <c r="F43" s="137"/>
      <c r="G43" s="152">
        <f>IF(G42=0,0,G42/G21)</f>
        <v>5.8543917678092736E-2</v>
      </c>
      <c r="I43" s="140">
        <f>G43</f>
        <v>5.8543917678092736E-2</v>
      </c>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row>
    <row r="44" spans="1:49">
      <c r="A44" s="143"/>
      <c r="C44" s="95"/>
      <c r="D44" s="95"/>
      <c r="E44" s="554"/>
      <c r="F44" s="137"/>
      <c r="G44" s="99"/>
      <c r="I44" s="99"/>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row>
    <row r="45" spans="1:49" ht="15.6">
      <c r="A45" s="145" t="s">
        <v>271</v>
      </c>
      <c r="B45" s="146"/>
      <c r="C45" s="134" t="s">
        <v>232</v>
      </c>
      <c r="D45" s="134"/>
      <c r="E45" s="553" t="s">
        <v>349</v>
      </c>
      <c r="F45" s="131"/>
      <c r="G45" s="147"/>
      <c r="I45" s="148">
        <f>I39+I43</f>
        <v>7.3643201456999902E-2</v>
      </c>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row>
    <row r="46" spans="1:49">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row>
    <row r="47" spans="1:49">
      <c r="A47" s="155"/>
      <c r="B47" s="125"/>
      <c r="C47" s="149"/>
      <c r="D47" s="149"/>
      <c r="E47" s="101"/>
      <c r="F47" s="101"/>
      <c r="G47" s="99"/>
      <c r="H47" s="94"/>
      <c r="I47" s="94"/>
      <c r="J47" s="139"/>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row>
    <row r="48" spans="1:49">
      <c r="A48" s="126"/>
      <c r="C48" s="94"/>
      <c r="D48" s="94"/>
      <c r="E48" s="94"/>
      <c r="F48" s="94"/>
      <c r="G48" s="99"/>
      <c r="H48" s="94"/>
      <c r="I48" s="94"/>
      <c r="J48" s="94"/>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row>
    <row r="49" spans="11:49">
      <c r="X49" s="73" t="s">
        <v>306</v>
      </c>
    </row>
    <row r="50" spans="11:49">
      <c r="X50" s="73" t="s">
        <v>350</v>
      </c>
    </row>
    <row r="51" spans="11:49">
      <c r="X51" s="156" t="s">
        <v>207</v>
      </c>
    </row>
    <row r="52" spans="11:49">
      <c r="K52" s="126"/>
      <c r="M52" s="94"/>
      <c r="N52" s="94"/>
      <c r="O52" s="94"/>
      <c r="P52" s="94"/>
      <c r="Q52" s="99"/>
      <c r="R52" s="94"/>
      <c r="S52" s="94"/>
      <c r="T52" s="94"/>
      <c r="U52" s="94"/>
      <c r="W52" s="99"/>
      <c r="X52" s="156" t="str">
        <f>I4</f>
        <v>For the 12 months ended: 12/31/2018</v>
      </c>
      <c r="Y52" s="129"/>
      <c r="Z52" s="123"/>
      <c r="AA52" s="129"/>
      <c r="AB52" s="130"/>
      <c r="AC52" s="125"/>
      <c r="AD52" s="125"/>
      <c r="AE52" s="125"/>
      <c r="AF52" s="125"/>
      <c r="AG52" s="125"/>
      <c r="AH52" s="125"/>
      <c r="AI52" s="125"/>
      <c r="AJ52" s="125"/>
      <c r="AK52" s="125"/>
      <c r="AL52" s="125"/>
      <c r="AM52" s="125"/>
      <c r="AN52" s="125"/>
      <c r="AO52" s="125"/>
      <c r="AP52" s="125"/>
      <c r="AQ52" s="125"/>
      <c r="AR52" s="125"/>
      <c r="AS52" s="125"/>
      <c r="AT52" s="125"/>
      <c r="AU52" s="125"/>
      <c r="AV52" s="125"/>
      <c r="AW52" s="125"/>
    </row>
    <row r="53" spans="11:49">
      <c r="K53" s="126"/>
      <c r="M53" s="95"/>
      <c r="N53" s="94"/>
      <c r="O53" s="94"/>
      <c r="P53" s="94"/>
      <c r="Q53" s="99"/>
      <c r="R53" s="94"/>
      <c r="S53" s="94"/>
      <c r="T53" s="94"/>
      <c r="U53" s="94"/>
      <c r="W53" s="99"/>
      <c r="Y53" s="129"/>
      <c r="Z53" s="123"/>
      <c r="AA53" s="129"/>
      <c r="AB53" s="130"/>
      <c r="AC53" s="125"/>
      <c r="AD53" s="125"/>
      <c r="AE53" s="125"/>
      <c r="AF53" s="125"/>
      <c r="AG53" s="125"/>
      <c r="AH53" s="125"/>
      <c r="AI53" s="125"/>
      <c r="AJ53" s="125"/>
      <c r="AK53" s="125"/>
      <c r="AL53" s="125"/>
      <c r="AM53" s="125"/>
      <c r="AN53" s="125"/>
      <c r="AO53" s="125"/>
      <c r="AP53" s="125"/>
      <c r="AQ53" s="125"/>
      <c r="AR53" s="125"/>
      <c r="AS53" s="125"/>
      <c r="AT53" s="125"/>
      <c r="AU53" s="125"/>
      <c r="AV53" s="125"/>
      <c r="AW53" s="125"/>
    </row>
    <row r="54" spans="11:49">
      <c r="K54" s="201" t="str">
        <f>A6</f>
        <v>Rate Formula Template</v>
      </c>
      <c r="L54" s="249"/>
      <c r="M54" s="249"/>
      <c r="N54" s="200"/>
      <c r="O54" s="201"/>
      <c r="P54" s="201"/>
      <c r="Q54" s="249"/>
      <c r="R54" s="201"/>
      <c r="S54" s="201"/>
      <c r="T54" s="201"/>
      <c r="U54" s="201"/>
      <c r="V54" s="249"/>
      <c r="W54" s="199"/>
      <c r="X54" s="249"/>
      <c r="Y54" s="129"/>
      <c r="Z54" s="123"/>
      <c r="AA54" s="129"/>
      <c r="AB54" s="130"/>
      <c r="AC54" s="125"/>
      <c r="AD54" s="125"/>
      <c r="AE54" s="125"/>
      <c r="AF54" s="125"/>
      <c r="AG54" s="125"/>
      <c r="AH54" s="125"/>
      <c r="AI54" s="125"/>
      <c r="AJ54" s="125"/>
      <c r="AK54" s="125"/>
      <c r="AL54" s="125"/>
      <c r="AM54" s="125"/>
      <c r="AN54" s="125"/>
      <c r="AO54" s="125"/>
      <c r="AP54" s="125"/>
      <c r="AQ54" s="125"/>
      <c r="AR54" s="125"/>
      <c r="AS54" s="125"/>
      <c r="AT54" s="125"/>
      <c r="AU54" s="125"/>
      <c r="AV54" s="125"/>
      <c r="AW54" s="125"/>
    </row>
    <row r="55" spans="11:49">
      <c r="K55" s="201" t="str">
        <f>A7</f>
        <v>Utilizing Attachment H-22A Data</v>
      </c>
      <c r="L55" s="249"/>
      <c r="M55" s="200"/>
      <c r="N55" s="200"/>
      <c r="O55" s="201"/>
      <c r="P55" s="201"/>
      <c r="Q55" s="249"/>
      <c r="R55" s="201"/>
      <c r="S55" s="201"/>
      <c r="T55" s="201"/>
      <c r="U55" s="201"/>
      <c r="V55" s="199"/>
      <c r="W55" s="199"/>
      <c r="X55" s="249"/>
      <c r="Y55" s="129"/>
      <c r="Z55" s="123"/>
      <c r="AA55" s="129"/>
      <c r="AB55" s="130"/>
      <c r="AC55" s="125"/>
      <c r="AD55" s="125"/>
      <c r="AE55" s="125"/>
      <c r="AF55" s="125"/>
      <c r="AG55" s="125"/>
      <c r="AH55" s="125"/>
      <c r="AI55" s="125"/>
      <c r="AJ55" s="125"/>
      <c r="AK55" s="125"/>
      <c r="AL55" s="125"/>
      <c r="AM55" s="125"/>
      <c r="AN55" s="125"/>
      <c r="AO55" s="125"/>
      <c r="AP55" s="125"/>
      <c r="AQ55" s="125"/>
      <c r="AR55" s="125"/>
      <c r="AS55" s="125"/>
      <c r="AT55" s="125"/>
      <c r="AU55" s="125"/>
      <c r="AV55" s="125"/>
      <c r="AW55" s="125"/>
    </row>
    <row r="56" spans="11:49" ht="14.25" customHeight="1">
      <c r="K56" s="248"/>
      <c r="M56" s="94"/>
      <c r="N56" s="94"/>
      <c r="O56" s="94"/>
      <c r="P56" s="94"/>
      <c r="R56" s="201"/>
      <c r="S56" s="94"/>
      <c r="T56" s="94"/>
      <c r="U56" s="94"/>
      <c r="W56" s="99"/>
      <c r="X56" s="94"/>
      <c r="Y56" s="129"/>
      <c r="Z56" s="123"/>
      <c r="AA56" s="129"/>
      <c r="AB56" s="130"/>
      <c r="AC56" s="125"/>
      <c r="AD56" s="125"/>
      <c r="AE56" s="125"/>
      <c r="AF56" s="125"/>
      <c r="AG56" s="125"/>
      <c r="AH56" s="125"/>
      <c r="AI56" s="125"/>
      <c r="AJ56" s="125"/>
      <c r="AK56" s="125"/>
      <c r="AL56" s="125"/>
      <c r="AM56" s="125"/>
      <c r="AN56" s="125"/>
      <c r="AO56" s="125"/>
      <c r="AP56" s="125"/>
      <c r="AQ56" s="125"/>
      <c r="AR56" s="125"/>
      <c r="AS56" s="125"/>
      <c r="AT56" s="125"/>
      <c r="AU56" s="125"/>
      <c r="AV56" s="125"/>
      <c r="AW56" s="125"/>
    </row>
    <row r="57" spans="11:49">
      <c r="K57" s="201" t="str">
        <f>A9</f>
        <v>DUKE ENERGY KENTUCKY (DEK)</v>
      </c>
      <c r="L57" s="249"/>
      <c r="M57" s="249"/>
      <c r="N57" s="249"/>
      <c r="O57" s="201"/>
      <c r="P57" s="201"/>
      <c r="Q57" s="249"/>
      <c r="R57" s="201"/>
      <c r="S57" s="201"/>
      <c r="T57" s="201"/>
      <c r="U57" s="201"/>
      <c r="V57" s="201"/>
      <c r="W57" s="199"/>
      <c r="X57" s="199"/>
      <c r="Y57" s="129"/>
      <c r="Z57" s="123"/>
      <c r="AA57" s="129"/>
      <c r="AB57" s="130"/>
      <c r="AC57" s="125"/>
      <c r="AD57" s="125"/>
      <c r="AE57" s="125"/>
      <c r="AF57" s="125"/>
      <c r="AG57" s="125"/>
      <c r="AH57" s="125"/>
      <c r="AI57" s="125"/>
      <c r="AJ57" s="125"/>
      <c r="AK57" s="125"/>
      <c r="AL57" s="125"/>
      <c r="AM57" s="125"/>
      <c r="AN57" s="125"/>
      <c r="AO57" s="125"/>
      <c r="AP57" s="125"/>
      <c r="AQ57" s="125"/>
      <c r="AR57" s="125"/>
      <c r="AS57" s="125"/>
      <c r="AT57" s="125"/>
      <c r="AU57" s="125"/>
      <c r="AV57" s="125"/>
      <c r="AW57" s="125"/>
    </row>
    <row r="58" spans="11:49">
      <c r="K58" s="201" t="str">
        <f>A10</f>
        <v>RTEP - Transmission Enhancement Charges</v>
      </c>
      <c r="L58" s="249"/>
      <c r="M58" s="249"/>
      <c r="N58" s="249"/>
      <c r="O58" s="200"/>
      <c r="P58" s="200"/>
      <c r="Q58" s="200"/>
      <c r="R58" s="200"/>
      <c r="S58" s="200"/>
      <c r="T58" s="200"/>
      <c r="U58" s="200"/>
      <c r="V58" s="200"/>
      <c r="W58" s="200"/>
      <c r="X58" s="200"/>
      <c r="Y58" s="129"/>
      <c r="Z58" s="123"/>
      <c r="AA58" s="129"/>
      <c r="AB58" s="130"/>
      <c r="AC58" s="125"/>
      <c r="AD58" s="125"/>
      <c r="AE58" s="125"/>
      <c r="AF58" s="125"/>
      <c r="AG58" s="125"/>
      <c r="AH58" s="125"/>
      <c r="AI58" s="125"/>
      <c r="AJ58" s="125"/>
      <c r="AK58" s="125"/>
      <c r="AL58" s="125"/>
      <c r="AM58" s="125"/>
      <c r="AN58" s="125"/>
      <c r="AO58" s="125"/>
      <c r="AP58" s="125"/>
      <c r="AQ58" s="125"/>
      <c r="AR58" s="125"/>
      <c r="AS58" s="125"/>
      <c r="AT58" s="125"/>
      <c r="AU58" s="125"/>
      <c r="AV58" s="125"/>
      <c r="AW58" s="125"/>
    </row>
    <row r="59" spans="11:49">
      <c r="K59" s="126"/>
      <c r="O59" s="95"/>
      <c r="P59" s="95"/>
      <c r="Q59" s="95"/>
      <c r="R59" s="95"/>
      <c r="S59" s="95"/>
      <c r="T59" s="95"/>
      <c r="U59" s="95"/>
      <c r="V59" s="95"/>
      <c r="W59" s="95"/>
      <c r="X59" s="95"/>
      <c r="Y59" s="129"/>
      <c r="Z59" s="123"/>
      <c r="AA59" s="129"/>
      <c r="AB59" s="130"/>
      <c r="AC59" s="125"/>
      <c r="AD59" s="125"/>
      <c r="AE59" s="125"/>
      <c r="AF59" s="125"/>
      <c r="AG59" s="125"/>
      <c r="AH59" s="125"/>
      <c r="AI59" s="125"/>
      <c r="AJ59" s="125"/>
      <c r="AK59" s="125"/>
      <c r="AL59" s="125"/>
      <c r="AM59" s="125"/>
      <c r="AN59" s="125"/>
      <c r="AO59" s="125"/>
      <c r="AP59" s="125"/>
      <c r="AQ59" s="125"/>
      <c r="AR59" s="125"/>
      <c r="AS59" s="125"/>
      <c r="AT59" s="125"/>
      <c r="AU59" s="125"/>
      <c r="AV59" s="125"/>
      <c r="AW59" s="125"/>
    </row>
    <row r="60" spans="11:49" ht="15.6">
      <c r="K60" s="250" t="s">
        <v>279</v>
      </c>
      <c r="L60" s="249"/>
      <c r="M60" s="201"/>
      <c r="N60" s="201"/>
      <c r="O60" s="249"/>
      <c r="P60" s="250"/>
      <c r="Q60" s="249"/>
      <c r="R60" s="200"/>
      <c r="S60" s="200"/>
      <c r="T60" s="200"/>
      <c r="U60" s="200"/>
      <c r="V60" s="200"/>
      <c r="W60" s="199"/>
      <c r="X60" s="199"/>
      <c r="Y60" s="129"/>
      <c r="Z60" s="123"/>
      <c r="AA60" s="129"/>
      <c r="AB60" s="130"/>
      <c r="AC60" s="125"/>
      <c r="AD60" s="125"/>
      <c r="AE60" s="125"/>
      <c r="AF60" s="125"/>
      <c r="AG60" s="125"/>
      <c r="AH60" s="125"/>
      <c r="AI60" s="125"/>
      <c r="AJ60" s="125"/>
      <c r="AK60" s="125"/>
      <c r="AL60" s="125"/>
      <c r="AM60" s="125"/>
      <c r="AN60" s="125"/>
      <c r="AO60" s="125"/>
      <c r="AP60" s="125"/>
      <c r="AQ60" s="125"/>
      <c r="AR60" s="125"/>
      <c r="AS60" s="125"/>
      <c r="AT60" s="125"/>
      <c r="AU60" s="125"/>
      <c r="AV60" s="125"/>
      <c r="AW60" s="125"/>
    </row>
    <row r="61" spans="11:49" ht="15.6">
      <c r="K61" s="126"/>
      <c r="M61" s="94"/>
      <c r="N61" s="94"/>
      <c r="O61" s="134"/>
      <c r="P61" s="134"/>
      <c r="R61" s="98"/>
      <c r="S61" s="98"/>
      <c r="T61" s="98"/>
      <c r="U61" s="98"/>
      <c r="V61" s="98"/>
      <c r="W61" s="99"/>
      <c r="X61" s="99"/>
      <c r="Y61" s="129"/>
      <c r="Z61" s="123"/>
      <c r="AA61" s="129"/>
      <c r="AB61" s="130"/>
      <c r="AC61" s="125"/>
      <c r="AD61" s="125"/>
      <c r="AE61" s="125"/>
      <c r="AF61" s="125"/>
      <c r="AG61" s="125"/>
      <c r="AH61" s="125"/>
      <c r="AI61" s="125"/>
      <c r="AJ61" s="125"/>
      <c r="AK61" s="125"/>
      <c r="AL61" s="125"/>
      <c r="AM61" s="125"/>
      <c r="AN61" s="125"/>
      <c r="AO61" s="125"/>
      <c r="AP61" s="125"/>
      <c r="AQ61" s="125"/>
      <c r="AR61" s="125"/>
      <c r="AS61" s="125"/>
      <c r="AT61" s="125"/>
      <c r="AU61" s="125"/>
      <c r="AV61" s="125"/>
      <c r="AW61" s="125"/>
    </row>
    <row r="62" spans="11:49" ht="15.6">
      <c r="K62" s="126"/>
      <c r="M62" s="157">
        <v>-1</v>
      </c>
      <c r="N62" s="157">
        <v>-2</v>
      </c>
      <c r="O62" s="157">
        <v>-3</v>
      </c>
      <c r="P62" s="157">
        <v>-4</v>
      </c>
      <c r="Q62" s="157">
        <v>-5</v>
      </c>
      <c r="R62" s="157">
        <v>-6</v>
      </c>
      <c r="S62" s="157">
        <v>-7</v>
      </c>
      <c r="T62" s="157">
        <v>-8</v>
      </c>
      <c r="U62" s="157">
        <v>-9</v>
      </c>
      <c r="V62" s="157">
        <v>-10</v>
      </c>
      <c r="W62" s="157">
        <v>-11</v>
      </c>
      <c r="X62" s="157">
        <v>-12</v>
      </c>
      <c r="Y62" s="129"/>
      <c r="Z62" s="123"/>
      <c r="AA62" s="129"/>
      <c r="AB62" s="130"/>
      <c r="AC62" s="125"/>
      <c r="AD62" s="125"/>
      <c r="AE62" s="125"/>
      <c r="AF62" s="125"/>
      <c r="AG62" s="125"/>
      <c r="AH62" s="125"/>
      <c r="AI62" s="125"/>
      <c r="AJ62" s="125"/>
      <c r="AK62" s="125"/>
      <c r="AL62" s="125"/>
      <c r="AM62" s="125"/>
      <c r="AN62" s="125"/>
      <c r="AO62" s="125"/>
      <c r="AP62" s="125"/>
      <c r="AQ62" s="125"/>
      <c r="AR62" s="125"/>
      <c r="AS62" s="125"/>
      <c r="AT62" s="125"/>
      <c r="AU62" s="125"/>
      <c r="AV62" s="125"/>
      <c r="AW62" s="125"/>
    </row>
    <row r="63" spans="11:49" ht="62.4">
      <c r="K63" s="158" t="s">
        <v>233</v>
      </c>
      <c r="L63" s="159"/>
      <c r="M63" s="159" t="s">
        <v>212</v>
      </c>
      <c r="N63" s="160" t="s">
        <v>348</v>
      </c>
      <c r="O63" s="161" t="s">
        <v>235</v>
      </c>
      <c r="P63" s="161" t="s">
        <v>228</v>
      </c>
      <c r="Q63" s="162" t="s">
        <v>236</v>
      </c>
      <c r="R63" s="161" t="s">
        <v>237</v>
      </c>
      <c r="S63" s="161" t="s">
        <v>232</v>
      </c>
      <c r="T63" s="162" t="s">
        <v>238</v>
      </c>
      <c r="U63" s="161" t="s">
        <v>239</v>
      </c>
      <c r="V63" s="163" t="s">
        <v>240</v>
      </c>
      <c r="W63" s="164" t="s">
        <v>241</v>
      </c>
      <c r="X63" s="163" t="s">
        <v>242</v>
      </c>
      <c r="Y63" s="142"/>
      <c r="Z63" s="123"/>
      <c r="AA63" s="129"/>
      <c r="AB63" s="130"/>
      <c r="AC63" s="125"/>
      <c r="AD63" s="125"/>
      <c r="AE63" s="125"/>
      <c r="AF63" s="125"/>
      <c r="AG63" s="125"/>
      <c r="AH63" s="125"/>
      <c r="AI63" s="125"/>
      <c r="AJ63" s="125"/>
      <c r="AK63" s="125"/>
      <c r="AL63" s="125"/>
      <c r="AM63" s="125"/>
      <c r="AN63" s="125"/>
      <c r="AO63" s="125"/>
      <c r="AP63" s="125"/>
      <c r="AQ63" s="125"/>
      <c r="AR63" s="125"/>
      <c r="AS63" s="125"/>
      <c r="AT63" s="125"/>
      <c r="AU63" s="125"/>
      <c r="AV63" s="125"/>
      <c r="AW63" s="125"/>
    </row>
    <row r="64" spans="11:49" ht="46.5" customHeight="1">
      <c r="K64" s="165"/>
      <c r="L64" s="166"/>
      <c r="M64" s="166"/>
      <c r="N64" s="166"/>
      <c r="O64" s="167" t="s">
        <v>16</v>
      </c>
      <c r="P64" s="556" t="s">
        <v>767</v>
      </c>
      <c r="Q64" s="168" t="s">
        <v>243</v>
      </c>
      <c r="R64" s="556" t="s">
        <v>17</v>
      </c>
      <c r="S64" s="556" t="s">
        <v>768</v>
      </c>
      <c r="T64" s="168" t="s">
        <v>244</v>
      </c>
      <c r="U64" s="556" t="s">
        <v>245</v>
      </c>
      <c r="V64" s="168" t="s">
        <v>246</v>
      </c>
      <c r="W64" s="169" t="s">
        <v>208</v>
      </c>
      <c r="X64" s="170" t="s">
        <v>247</v>
      </c>
      <c r="Y64" s="129"/>
      <c r="Z64" s="123"/>
      <c r="AA64" s="129"/>
      <c r="AB64" s="130"/>
      <c r="AC64" s="125"/>
      <c r="AD64" s="125"/>
      <c r="AE64" s="125"/>
      <c r="AF64" s="125"/>
      <c r="AG64" s="125"/>
      <c r="AH64" s="125"/>
      <c r="AI64" s="125"/>
      <c r="AJ64" s="125"/>
      <c r="AK64" s="125"/>
      <c r="AL64" s="125"/>
      <c r="AM64" s="125"/>
      <c r="AN64" s="125"/>
      <c r="AO64" s="125"/>
      <c r="AP64" s="125"/>
      <c r="AQ64" s="125"/>
      <c r="AR64" s="125"/>
      <c r="AS64" s="125"/>
      <c r="AT64" s="125"/>
      <c r="AU64" s="125"/>
      <c r="AV64" s="125"/>
      <c r="AW64" s="125"/>
    </row>
    <row r="65" spans="11:49">
      <c r="K65" s="171"/>
      <c r="L65" s="98"/>
      <c r="M65" s="98"/>
      <c r="N65" s="98"/>
      <c r="O65" s="98"/>
      <c r="P65" s="98"/>
      <c r="Q65" s="172"/>
      <c r="R65" s="98"/>
      <c r="S65" s="98"/>
      <c r="T65" s="172"/>
      <c r="U65" s="98"/>
      <c r="V65" s="172"/>
      <c r="W65" s="99"/>
      <c r="X65" s="173"/>
      <c r="Y65" s="129"/>
      <c r="Z65" s="123"/>
      <c r="AA65" s="129"/>
      <c r="AB65" s="130"/>
      <c r="AC65" s="125"/>
      <c r="AD65" s="125"/>
      <c r="AE65" s="125"/>
      <c r="AF65" s="125"/>
      <c r="AG65" s="125"/>
      <c r="AH65" s="125"/>
      <c r="AI65" s="125"/>
      <c r="AJ65" s="125"/>
      <c r="AK65" s="125"/>
      <c r="AL65" s="125"/>
      <c r="AM65" s="125"/>
      <c r="AN65" s="125"/>
      <c r="AO65" s="125"/>
      <c r="AP65" s="125"/>
      <c r="AQ65" s="125"/>
      <c r="AR65" s="125"/>
      <c r="AS65" s="125"/>
      <c r="AT65" s="125"/>
      <c r="AU65" s="125"/>
      <c r="AV65" s="125"/>
      <c r="AW65" s="125"/>
    </row>
    <row r="66" spans="11:49">
      <c r="K66" s="390" t="s">
        <v>1</v>
      </c>
      <c r="L66" s="370"/>
      <c r="M66" s="370"/>
      <c r="N66" s="370"/>
      <c r="O66" s="225">
        <v>0</v>
      </c>
      <c r="P66" s="140">
        <f>$I$35</f>
        <v>5.5097942019626464E-2</v>
      </c>
      <c r="Q66" s="1108">
        <f>ROUND(O66*P66,0)</f>
        <v>0</v>
      </c>
      <c r="R66" s="175">
        <v>0</v>
      </c>
      <c r="S66" s="140">
        <f>$I$45</f>
        <v>7.3643201456999902E-2</v>
      </c>
      <c r="T66" s="1108">
        <f>ROUND(R66*S66,0)</f>
        <v>0</v>
      </c>
      <c r="U66" s="1109">
        <v>0</v>
      </c>
      <c r="V66" s="1108">
        <f>Q66+T66+U66</f>
        <v>0</v>
      </c>
      <c r="W66" s="177">
        <v>0</v>
      </c>
      <c r="X66" s="1108">
        <f>V66+W66</f>
        <v>0</v>
      </c>
      <c r="Y66" s="178"/>
      <c r="Z66" s="178"/>
      <c r="AA66" s="178"/>
      <c r="AB66" s="178"/>
      <c r="AC66" s="178"/>
      <c r="AD66" s="178"/>
      <c r="AE66" s="178"/>
    </row>
    <row r="67" spans="11:49">
      <c r="K67" s="390" t="s">
        <v>250</v>
      </c>
      <c r="L67" s="370"/>
      <c r="M67" s="370"/>
      <c r="N67" s="370"/>
      <c r="O67" s="225">
        <v>0</v>
      </c>
      <c r="P67" s="140">
        <f>$I$35</f>
        <v>5.5097942019626464E-2</v>
      </c>
      <c r="Q67" s="1108">
        <f t="shared" ref="Q67:Q68" si="0">ROUND(O67*P67,0)</f>
        <v>0</v>
      </c>
      <c r="R67" s="175">
        <v>0</v>
      </c>
      <c r="S67" s="140">
        <f>$I$45</f>
        <v>7.3643201456999902E-2</v>
      </c>
      <c r="T67" s="1108">
        <f t="shared" ref="T67:T68" si="1">ROUND(R67*S67,0)</f>
        <v>0</v>
      </c>
      <c r="U67" s="1109">
        <v>0</v>
      </c>
      <c r="V67" s="1108">
        <f>Q67+T67+U67</f>
        <v>0</v>
      </c>
      <c r="W67" s="177">
        <v>0</v>
      </c>
      <c r="X67" s="1108">
        <f>V67+W67</f>
        <v>0</v>
      </c>
      <c r="Y67" s="178"/>
      <c r="Z67" s="178"/>
      <c r="AA67" s="178"/>
      <c r="AB67" s="178"/>
      <c r="AC67" s="178"/>
      <c r="AD67" s="178"/>
      <c r="AE67" s="178"/>
    </row>
    <row r="68" spans="11:49">
      <c r="K68" s="390" t="s">
        <v>253</v>
      </c>
      <c r="L68" s="370"/>
      <c r="M68" s="370"/>
      <c r="N68" s="370"/>
      <c r="O68" s="225">
        <v>0</v>
      </c>
      <c r="P68" s="140">
        <f>$I$35</f>
        <v>5.5097942019626464E-2</v>
      </c>
      <c r="Q68" s="1108">
        <f t="shared" si="0"/>
        <v>0</v>
      </c>
      <c r="R68" s="175">
        <v>0</v>
      </c>
      <c r="S68" s="140">
        <f>$I$45</f>
        <v>7.3643201456999902E-2</v>
      </c>
      <c r="T68" s="1108">
        <f t="shared" si="1"/>
        <v>0</v>
      </c>
      <c r="U68" s="1109">
        <v>0</v>
      </c>
      <c r="V68" s="1108">
        <f>Q68+T68+U68</f>
        <v>0</v>
      </c>
      <c r="W68" s="175">
        <v>0</v>
      </c>
      <c r="X68" s="1108">
        <f>V68+W68</f>
        <v>0</v>
      </c>
      <c r="Y68" s="178"/>
      <c r="Z68" s="178"/>
      <c r="AA68" s="178"/>
      <c r="AB68" s="178"/>
      <c r="AC68" s="178"/>
      <c r="AD68" s="178"/>
      <c r="AE68" s="178"/>
    </row>
    <row r="69" spans="11:49">
      <c r="K69" s="174"/>
      <c r="Q69" s="176"/>
      <c r="T69" s="176"/>
      <c r="V69" s="176"/>
      <c r="X69" s="176"/>
      <c r="Y69" s="178"/>
      <c r="Z69" s="178"/>
      <c r="AA69" s="178"/>
      <c r="AB69" s="178"/>
      <c r="AC69" s="178"/>
      <c r="AD69" s="178"/>
      <c r="AE69" s="178"/>
    </row>
    <row r="70" spans="11:49">
      <c r="K70" s="174"/>
      <c r="Q70" s="176"/>
      <c r="T70" s="176"/>
      <c r="V70" s="176"/>
      <c r="X70" s="176"/>
      <c r="Y70" s="178"/>
      <c r="Z70" s="178"/>
      <c r="AA70" s="178"/>
      <c r="AB70" s="178"/>
      <c r="AC70" s="178"/>
      <c r="AD70" s="178"/>
      <c r="AE70" s="178"/>
    </row>
    <row r="71" spans="11:49">
      <c r="K71" s="174"/>
      <c r="Q71" s="176"/>
      <c r="T71" s="176"/>
      <c r="V71" s="176"/>
      <c r="X71" s="176"/>
      <c r="Y71" s="178"/>
      <c r="Z71" s="178"/>
      <c r="AA71" s="178"/>
      <c r="AB71" s="178"/>
      <c r="AC71" s="178"/>
      <c r="AD71" s="178"/>
      <c r="AE71" s="178"/>
    </row>
    <row r="72" spans="11:49">
      <c r="K72" s="174"/>
      <c r="Q72" s="176"/>
      <c r="T72" s="176"/>
      <c r="V72" s="176"/>
      <c r="X72" s="176"/>
      <c r="Y72" s="178"/>
      <c r="Z72" s="178"/>
      <c r="AA72" s="178"/>
      <c r="AB72" s="178"/>
      <c r="AC72" s="178"/>
      <c r="AD72" s="178"/>
      <c r="AE72" s="178"/>
    </row>
    <row r="73" spans="11:49">
      <c r="K73" s="174"/>
      <c r="Q73" s="176"/>
      <c r="T73" s="176"/>
      <c r="V73" s="176"/>
      <c r="X73" s="176"/>
      <c r="Y73" s="178"/>
      <c r="Z73" s="178"/>
      <c r="AA73" s="178"/>
      <c r="AB73" s="178"/>
      <c r="AC73" s="178"/>
      <c r="AD73" s="178"/>
      <c r="AE73" s="178"/>
    </row>
    <row r="74" spans="11:49">
      <c r="K74" s="174"/>
      <c r="M74" s="178"/>
      <c r="N74" s="178"/>
      <c r="O74" s="178"/>
      <c r="P74" s="178"/>
      <c r="Q74" s="179"/>
      <c r="R74" s="178"/>
      <c r="S74" s="178"/>
      <c r="T74" s="179"/>
      <c r="U74" s="178"/>
      <c r="V74" s="179"/>
      <c r="W74" s="178"/>
      <c r="X74" s="179"/>
      <c r="Y74" s="178"/>
      <c r="Z74" s="178"/>
      <c r="AA74" s="178"/>
      <c r="AB74" s="178"/>
      <c r="AC74" s="178"/>
      <c r="AD74" s="178"/>
      <c r="AE74" s="178"/>
    </row>
    <row r="75" spans="11:49">
      <c r="K75" s="174"/>
      <c r="M75" s="178"/>
      <c r="N75" s="178"/>
      <c r="O75" s="178"/>
      <c r="P75" s="178"/>
      <c r="Q75" s="179"/>
      <c r="R75" s="178"/>
      <c r="S75" s="178"/>
      <c r="T75" s="179"/>
      <c r="U75" s="178"/>
      <c r="V75" s="179"/>
      <c r="W75" s="178"/>
      <c r="X75" s="179"/>
      <c r="Y75" s="178"/>
      <c r="Z75" s="178"/>
      <c r="AA75" s="178"/>
      <c r="AB75" s="178"/>
      <c r="AC75" s="178"/>
      <c r="AD75" s="178"/>
      <c r="AE75" s="178"/>
    </row>
    <row r="76" spans="11:49">
      <c r="K76" s="174"/>
      <c r="M76" s="178"/>
      <c r="N76" s="178"/>
      <c r="O76" s="178"/>
      <c r="P76" s="178"/>
      <c r="Q76" s="179"/>
      <c r="R76" s="178"/>
      <c r="S76" s="178"/>
      <c r="T76" s="179"/>
      <c r="U76" s="178"/>
      <c r="V76" s="179"/>
      <c r="W76" s="178"/>
      <c r="X76" s="179"/>
      <c r="Y76" s="178"/>
      <c r="Z76" s="178"/>
      <c r="AA76" s="178"/>
      <c r="AB76" s="178"/>
      <c r="AC76" s="178"/>
      <c r="AD76" s="178"/>
      <c r="AE76" s="178"/>
    </row>
    <row r="77" spans="11:49">
      <c r="K77" s="174"/>
      <c r="M77" s="178"/>
      <c r="N77" s="178"/>
      <c r="O77" s="178"/>
      <c r="P77" s="178"/>
      <c r="Q77" s="179"/>
      <c r="R77" s="178"/>
      <c r="S77" s="178"/>
      <c r="T77" s="179"/>
      <c r="U77" s="178"/>
      <c r="V77" s="179"/>
      <c r="W77" s="178"/>
      <c r="X77" s="179"/>
      <c r="Y77" s="178"/>
      <c r="Z77" s="178"/>
      <c r="AA77" s="178"/>
      <c r="AB77" s="178"/>
      <c r="AC77" s="178"/>
      <c r="AD77" s="178"/>
      <c r="AE77" s="178"/>
    </row>
    <row r="78" spans="11:49">
      <c r="K78" s="174"/>
      <c r="M78" s="178"/>
      <c r="N78" s="178"/>
      <c r="O78" s="178"/>
      <c r="P78" s="178"/>
      <c r="Q78" s="179"/>
      <c r="R78" s="178"/>
      <c r="S78" s="178"/>
      <c r="T78" s="179"/>
      <c r="U78" s="178"/>
      <c r="V78" s="179"/>
      <c r="W78" s="178"/>
      <c r="X78" s="179"/>
      <c r="Y78" s="178"/>
      <c r="Z78" s="178"/>
      <c r="AA78" s="178"/>
      <c r="AB78" s="178"/>
      <c r="AC78" s="178"/>
      <c r="AD78" s="178"/>
      <c r="AE78" s="178"/>
    </row>
    <row r="79" spans="11:49">
      <c r="K79" s="174"/>
      <c r="M79" s="178"/>
      <c r="N79" s="178"/>
      <c r="O79" s="178"/>
      <c r="P79" s="178"/>
      <c r="Q79" s="179"/>
      <c r="R79" s="178"/>
      <c r="S79" s="178"/>
      <c r="T79" s="179"/>
      <c r="U79" s="178"/>
      <c r="V79" s="179"/>
      <c r="W79" s="178"/>
      <c r="X79" s="179"/>
      <c r="Y79" s="178"/>
      <c r="Z79" s="178"/>
      <c r="AA79" s="178"/>
      <c r="AB79" s="178"/>
      <c r="AC79" s="178"/>
      <c r="AD79" s="178"/>
      <c r="AE79" s="178"/>
    </row>
    <row r="80" spans="11:49">
      <c r="K80" s="174"/>
      <c r="M80" s="178"/>
      <c r="N80" s="178"/>
      <c r="O80" s="178"/>
      <c r="P80" s="178"/>
      <c r="Q80" s="179"/>
      <c r="R80" s="178"/>
      <c r="S80" s="178"/>
      <c r="T80" s="179"/>
      <c r="U80" s="178"/>
      <c r="V80" s="179"/>
      <c r="W80" s="178"/>
      <c r="X80" s="179"/>
      <c r="Y80" s="178"/>
      <c r="Z80" s="178"/>
      <c r="AA80" s="178"/>
      <c r="AB80" s="178"/>
      <c r="AC80" s="178"/>
      <c r="AD80" s="178"/>
      <c r="AE80" s="178"/>
    </row>
    <row r="81" spans="11:31">
      <c r="K81" s="174"/>
      <c r="M81" s="178"/>
      <c r="N81" s="178"/>
      <c r="O81" s="178"/>
      <c r="P81" s="178"/>
      <c r="Q81" s="179"/>
      <c r="R81" s="178"/>
      <c r="S81" s="178"/>
      <c r="T81" s="179"/>
      <c r="U81" s="178"/>
      <c r="V81" s="179"/>
      <c r="W81" s="178"/>
      <c r="X81" s="179"/>
      <c r="Y81" s="178"/>
      <c r="Z81" s="178"/>
      <c r="AA81" s="178"/>
      <c r="AB81" s="178"/>
      <c r="AC81" s="178"/>
      <c r="AD81" s="178"/>
      <c r="AE81" s="178"/>
    </row>
    <row r="82" spans="11:31">
      <c r="K82" s="174"/>
      <c r="M82" s="178"/>
      <c r="N82" s="178"/>
      <c r="O82" s="178"/>
      <c r="P82" s="178"/>
      <c r="Q82" s="179"/>
      <c r="R82" s="178"/>
      <c r="S82" s="178"/>
      <c r="T82" s="179"/>
      <c r="U82" s="178"/>
      <c r="V82" s="179"/>
      <c r="W82" s="178"/>
      <c r="X82" s="179"/>
      <c r="Y82" s="178"/>
      <c r="Z82" s="178"/>
      <c r="AA82" s="178"/>
      <c r="AB82" s="178"/>
      <c r="AC82" s="178"/>
      <c r="AD82" s="178"/>
      <c r="AE82" s="178"/>
    </row>
    <row r="83" spans="11:31">
      <c r="K83" s="174"/>
      <c r="M83" s="178"/>
      <c r="N83" s="178"/>
      <c r="O83" s="178"/>
      <c r="P83" s="178"/>
      <c r="Q83" s="179"/>
      <c r="R83" s="178"/>
      <c r="S83" s="178"/>
      <c r="T83" s="179"/>
      <c r="U83" s="178"/>
      <c r="V83" s="179"/>
      <c r="W83" s="178"/>
      <c r="X83" s="179"/>
      <c r="Y83" s="178"/>
      <c r="Z83" s="178"/>
      <c r="AA83" s="178"/>
      <c r="AB83" s="178"/>
      <c r="AC83" s="178"/>
      <c r="AD83" s="178"/>
      <c r="AE83" s="178"/>
    </row>
    <row r="84" spans="11:31">
      <c r="K84" s="174"/>
      <c r="M84" s="178"/>
      <c r="N84" s="178"/>
      <c r="O84" s="178"/>
      <c r="P84" s="178"/>
      <c r="Q84" s="179"/>
      <c r="R84" s="178"/>
      <c r="S84" s="178"/>
      <c r="T84" s="179"/>
      <c r="U84" s="178"/>
      <c r="V84" s="179"/>
      <c r="W84" s="178"/>
      <c r="X84" s="179"/>
      <c r="Y84" s="178"/>
      <c r="Z84" s="178"/>
      <c r="AA84" s="178"/>
      <c r="AB84" s="178"/>
      <c r="AC84" s="178"/>
      <c r="AD84" s="178"/>
      <c r="AE84" s="178"/>
    </row>
    <row r="85" spans="11:31">
      <c r="K85" s="180"/>
      <c r="L85" s="181"/>
      <c r="M85" s="182"/>
      <c r="N85" s="182"/>
      <c r="O85" s="182"/>
      <c r="P85" s="182"/>
      <c r="Q85" s="183"/>
      <c r="R85" s="182"/>
      <c r="S85" s="182"/>
      <c r="T85" s="183"/>
      <c r="U85" s="182"/>
      <c r="V85" s="183"/>
      <c r="W85" s="182"/>
      <c r="X85" s="183"/>
      <c r="Y85" s="178"/>
      <c r="Z85" s="178"/>
      <c r="AA85" s="178"/>
      <c r="AB85" s="178"/>
      <c r="AC85" s="178"/>
      <c r="AD85" s="178"/>
      <c r="AE85" s="178"/>
    </row>
    <row r="86" spans="11:31">
      <c r="K86" s="128" t="s">
        <v>256</v>
      </c>
      <c r="L86" s="150"/>
      <c r="M86" s="95" t="s">
        <v>257</v>
      </c>
      <c r="N86" s="95"/>
      <c r="O86" s="101"/>
      <c r="P86" s="101"/>
      <c r="Q86" s="99"/>
      <c r="R86" s="99"/>
      <c r="S86" s="99"/>
      <c r="T86" s="99"/>
      <c r="U86" s="99"/>
      <c r="V86" s="848">
        <f>SUM(V66:V85)</f>
        <v>0</v>
      </c>
      <c r="W86" s="848">
        <f>SUM(W66:W85)</f>
        <v>0</v>
      </c>
      <c r="X86" s="848">
        <f>SUM(X66:X85)</f>
        <v>0</v>
      </c>
      <c r="Y86" s="178"/>
      <c r="Z86" s="178"/>
      <c r="AA86" s="178"/>
      <c r="AB86" s="178"/>
      <c r="AC86" s="178"/>
      <c r="AD86" s="178"/>
      <c r="AE86" s="178"/>
    </row>
    <row r="87" spans="11:31">
      <c r="K87" s="89"/>
      <c r="L87" s="178"/>
      <c r="M87" s="178"/>
      <c r="N87" s="178"/>
      <c r="O87" s="178"/>
      <c r="P87" s="178"/>
      <c r="Q87" s="178"/>
      <c r="R87" s="178"/>
      <c r="S87" s="178"/>
      <c r="T87" s="178"/>
      <c r="U87" s="178"/>
      <c r="V87" s="849"/>
      <c r="W87" s="849"/>
      <c r="X87" s="849"/>
      <c r="Y87" s="178"/>
      <c r="Z87" s="178"/>
      <c r="AA87" s="178"/>
      <c r="AB87" s="178"/>
      <c r="AC87" s="178"/>
      <c r="AD87" s="178"/>
      <c r="AE87" s="178"/>
    </row>
    <row r="88" spans="11:31">
      <c r="K88" s="184">
        <v>3</v>
      </c>
      <c r="L88" s="178"/>
      <c r="M88" s="560" t="s">
        <v>566</v>
      </c>
      <c r="N88" s="178"/>
      <c r="O88" s="178"/>
      <c r="P88" s="178"/>
      <c r="Q88" s="178"/>
      <c r="R88" s="178"/>
      <c r="S88" s="178"/>
      <c r="T88" s="178"/>
      <c r="U88" s="178"/>
      <c r="V88" s="848"/>
      <c r="W88" s="849"/>
      <c r="X88" s="848">
        <f>X86</f>
        <v>0</v>
      </c>
      <c r="Y88" s="178"/>
      <c r="Z88" s="178"/>
      <c r="AA88" s="178"/>
      <c r="AB88" s="178"/>
      <c r="AC88" s="178"/>
      <c r="AD88" s="178"/>
      <c r="AE88" s="178"/>
    </row>
    <row r="89" spans="11:31">
      <c r="K89" s="178"/>
      <c r="L89" s="178"/>
      <c r="M89" s="178"/>
      <c r="N89" s="178"/>
      <c r="O89" s="178"/>
      <c r="P89" s="178"/>
      <c r="Q89" s="178"/>
      <c r="R89" s="178"/>
      <c r="S89" s="178"/>
      <c r="T89" s="178"/>
      <c r="U89" s="178"/>
      <c r="V89" s="178"/>
      <c r="W89" s="178"/>
      <c r="X89" s="178"/>
      <c r="Y89" s="178"/>
      <c r="Z89" s="178"/>
      <c r="AA89" s="178"/>
      <c r="AB89" s="178"/>
      <c r="AC89" s="178"/>
      <c r="AD89" s="178"/>
      <c r="AE89" s="178"/>
    </row>
    <row r="90" spans="11:31">
      <c r="K90" s="178"/>
      <c r="L90" s="178"/>
      <c r="M90" s="178"/>
      <c r="N90" s="178"/>
      <c r="O90" s="178"/>
      <c r="P90" s="178"/>
      <c r="Q90" s="178"/>
      <c r="R90" s="178"/>
      <c r="S90" s="178"/>
      <c r="T90" s="178"/>
      <c r="U90" s="178"/>
      <c r="V90" s="178"/>
      <c r="W90" s="178"/>
      <c r="X90" s="178"/>
      <c r="Y90" s="178"/>
      <c r="Z90" s="178"/>
      <c r="AA90" s="178"/>
      <c r="AB90" s="178"/>
      <c r="AC90" s="178"/>
      <c r="AD90" s="178"/>
      <c r="AE90" s="178"/>
    </row>
    <row r="91" spans="11:31">
      <c r="K91" s="552" t="s">
        <v>94</v>
      </c>
      <c r="L91" s="178"/>
      <c r="M91" s="178"/>
      <c r="N91" s="178"/>
      <c r="O91" s="178"/>
      <c r="P91" s="178"/>
      <c r="Q91" s="178"/>
      <c r="R91" s="178"/>
      <c r="S91" s="178"/>
      <c r="T91" s="178"/>
      <c r="U91" s="178"/>
      <c r="V91" s="178"/>
      <c r="W91" s="178"/>
      <c r="X91" s="178"/>
      <c r="Y91" s="178"/>
      <c r="Z91" s="178"/>
      <c r="AA91" s="178"/>
      <c r="AB91" s="178"/>
      <c r="AC91" s="178"/>
      <c r="AD91" s="178"/>
      <c r="AE91" s="178"/>
    </row>
    <row r="92" spans="11:31" ht="15.6" thickBot="1">
      <c r="K92" s="970" t="s">
        <v>95</v>
      </c>
      <c r="L92" s="178"/>
      <c r="M92" s="178"/>
      <c r="N92" s="178"/>
      <c r="O92" s="178"/>
      <c r="P92" s="178"/>
      <c r="Q92" s="178"/>
      <c r="R92" s="178"/>
      <c r="S92" s="178"/>
      <c r="T92" s="178"/>
      <c r="U92" s="178"/>
      <c r="V92" s="178"/>
      <c r="W92" s="178"/>
      <c r="X92" s="178"/>
      <c r="Y92" s="178"/>
      <c r="Z92" s="178"/>
      <c r="AA92" s="178"/>
      <c r="AB92" s="178"/>
      <c r="AC92" s="178"/>
      <c r="AD92" s="178"/>
      <c r="AE92" s="178"/>
    </row>
    <row r="93" spans="11:31">
      <c r="K93" s="185" t="s">
        <v>96</v>
      </c>
      <c r="L93" s="97"/>
      <c r="M93" s="1189" t="s">
        <v>608</v>
      </c>
      <c r="N93" s="1190"/>
      <c r="O93" s="1190"/>
      <c r="P93" s="1190"/>
      <c r="Q93" s="1190"/>
      <c r="R93" s="1190"/>
      <c r="S93" s="1190"/>
      <c r="T93" s="1190"/>
      <c r="U93" s="1190"/>
      <c r="V93" s="1190"/>
      <c r="W93" s="1190"/>
      <c r="X93" s="1190"/>
      <c r="Y93" s="178"/>
      <c r="Z93" s="178"/>
      <c r="AA93" s="178"/>
      <c r="AB93" s="178"/>
      <c r="AC93" s="178"/>
      <c r="AD93" s="178"/>
      <c r="AE93" s="178"/>
    </row>
    <row r="94" spans="11:31">
      <c r="K94" s="185" t="s">
        <v>97</v>
      </c>
      <c r="L94" s="97"/>
      <c r="M94" s="1189" t="s">
        <v>609</v>
      </c>
      <c r="N94" s="1190"/>
      <c r="O94" s="1190"/>
      <c r="P94" s="1190"/>
      <c r="Q94" s="1190"/>
      <c r="R94" s="1190"/>
      <c r="S94" s="1190"/>
      <c r="T94" s="1190"/>
      <c r="U94" s="1190"/>
      <c r="V94" s="1190"/>
      <c r="W94" s="1190"/>
      <c r="X94" s="1190"/>
      <c r="Y94" s="178"/>
      <c r="Z94" s="178"/>
      <c r="AA94" s="178"/>
      <c r="AB94" s="178"/>
      <c r="AC94" s="178"/>
      <c r="AD94" s="178"/>
      <c r="AE94" s="178"/>
    </row>
    <row r="95" spans="11:31" ht="27.75" customHeight="1">
      <c r="K95" s="186" t="s">
        <v>98</v>
      </c>
      <c r="L95" s="97"/>
      <c r="M95" s="1191" t="s">
        <v>258</v>
      </c>
      <c r="N95" s="1191"/>
      <c r="O95" s="1191"/>
      <c r="P95" s="1191"/>
      <c r="Q95" s="1191"/>
      <c r="R95" s="1191"/>
      <c r="S95" s="1191"/>
      <c r="T95" s="1191"/>
      <c r="U95" s="1191"/>
      <c r="V95" s="1191"/>
      <c r="W95" s="1191"/>
      <c r="X95" s="1191"/>
      <c r="Y95" s="178"/>
      <c r="Z95" s="178"/>
      <c r="AA95" s="178"/>
      <c r="AB95" s="178"/>
      <c r="AC95" s="178"/>
      <c r="AD95" s="178"/>
      <c r="AE95" s="178"/>
    </row>
    <row r="96" spans="11:31" ht="15" customHeight="1">
      <c r="K96" s="186" t="s">
        <v>99</v>
      </c>
      <c r="L96" s="97"/>
      <c r="M96" s="1191" t="s">
        <v>259</v>
      </c>
      <c r="N96" s="1191"/>
      <c r="O96" s="1191"/>
      <c r="P96" s="1191"/>
      <c r="Q96" s="1191"/>
      <c r="R96" s="1191"/>
      <c r="S96" s="1191"/>
      <c r="T96" s="1191"/>
      <c r="U96" s="1191"/>
      <c r="V96" s="1191"/>
      <c r="W96" s="1191"/>
      <c r="X96" s="1191"/>
      <c r="Y96" s="178"/>
      <c r="Z96" s="178"/>
      <c r="AA96" s="178"/>
      <c r="AB96" s="178"/>
      <c r="AC96" s="178"/>
      <c r="AD96" s="178"/>
      <c r="AE96" s="178"/>
    </row>
    <row r="97" spans="3:31">
      <c r="K97" s="185" t="s">
        <v>100</v>
      </c>
      <c r="L97" s="97"/>
      <c r="M97" s="1190" t="s">
        <v>322</v>
      </c>
      <c r="N97" s="1190"/>
      <c r="O97" s="1190"/>
      <c r="P97" s="1190"/>
      <c r="Q97" s="1190"/>
      <c r="R97" s="1190"/>
      <c r="S97" s="1190"/>
      <c r="T97" s="1190"/>
      <c r="U97" s="1190"/>
      <c r="V97" s="1190"/>
      <c r="W97" s="1190"/>
      <c r="X97" s="1190"/>
      <c r="Y97" s="178"/>
      <c r="Z97" s="178"/>
      <c r="AA97" s="178"/>
      <c r="AB97" s="178"/>
      <c r="AC97" s="178"/>
      <c r="AD97" s="178"/>
      <c r="AE97" s="178"/>
    </row>
    <row r="98" spans="3:31">
      <c r="K98" s="185" t="s">
        <v>101</v>
      </c>
      <c r="L98" s="97"/>
      <c r="M98" s="1190" t="s">
        <v>260</v>
      </c>
      <c r="N98" s="1190"/>
      <c r="O98" s="1190"/>
      <c r="P98" s="1190"/>
      <c r="Q98" s="1190"/>
      <c r="R98" s="1190"/>
      <c r="S98" s="1190"/>
      <c r="T98" s="1190"/>
      <c r="U98" s="1190"/>
      <c r="V98" s="1190"/>
      <c r="W98" s="1190"/>
      <c r="X98" s="1190"/>
      <c r="Y98" s="178"/>
      <c r="Z98" s="178"/>
      <c r="AA98" s="178"/>
      <c r="AB98" s="178"/>
      <c r="AC98" s="178"/>
      <c r="AD98" s="178"/>
      <c r="AE98" s="178"/>
    </row>
    <row r="99" spans="3:31">
      <c r="K99" s="185" t="s">
        <v>102</v>
      </c>
      <c r="L99" s="97"/>
      <c r="M99" s="1189" t="s">
        <v>565</v>
      </c>
      <c r="N99" s="1190"/>
      <c r="O99" s="1190"/>
      <c r="P99" s="1190"/>
      <c r="Q99" s="1190"/>
      <c r="R99" s="1190"/>
      <c r="S99" s="1190"/>
      <c r="T99" s="1190"/>
      <c r="U99" s="1190"/>
      <c r="V99" s="1190"/>
      <c r="W99" s="1190"/>
      <c r="X99" s="1190"/>
      <c r="Y99" s="178"/>
      <c r="Z99" s="178"/>
      <c r="AA99" s="178"/>
      <c r="AB99" s="178"/>
      <c r="AC99" s="178"/>
      <c r="AD99" s="178"/>
      <c r="AE99" s="178"/>
    </row>
    <row r="100" spans="3:31">
      <c r="K100" s="358" t="s">
        <v>104</v>
      </c>
      <c r="L100" s="125"/>
      <c r="M100" s="1189" t="s">
        <v>346</v>
      </c>
      <c r="N100" s="1189"/>
      <c r="O100" s="1189"/>
      <c r="P100" s="1189"/>
      <c r="Q100" s="1189"/>
      <c r="R100" s="1189"/>
      <c r="S100" s="1189"/>
      <c r="T100" s="1189"/>
      <c r="U100" s="1189"/>
      <c r="V100" s="1189"/>
      <c r="W100" s="1189"/>
      <c r="X100" s="1189"/>
      <c r="Y100" s="178"/>
      <c r="Z100" s="178"/>
      <c r="AA100" s="178"/>
      <c r="AB100" s="178"/>
      <c r="AC100" s="178"/>
      <c r="AD100" s="178"/>
      <c r="AE100" s="178"/>
    </row>
    <row r="101" spans="3:31" ht="15.6">
      <c r="K101" s="153"/>
      <c r="L101" s="187"/>
      <c r="M101" s="188"/>
      <c r="N101" s="149"/>
      <c r="O101" s="101"/>
      <c r="P101" s="101"/>
      <c r="Q101" s="99"/>
      <c r="R101" s="94"/>
      <c r="S101" s="94"/>
      <c r="T101" s="139"/>
      <c r="U101" s="94"/>
      <c r="W101" s="99"/>
      <c r="X101" s="154"/>
      <c r="Y101" s="178"/>
      <c r="Z101" s="178"/>
      <c r="AA101" s="178"/>
      <c r="AB101" s="178"/>
      <c r="AC101" s="178"/>
      <c r="AD101" s="178"/>
      <c r="AE101" s="178"/>
    </row>
    <row r="102" spans="3:31" ht="15.6">
      <c r="K102" s="153"/>
      <c r="L102" s="187"/>
      <c r="M102" s="188"/>
      <c r="N102" s="149"/>
      <c r="O102" s="101"/>
      <c r="P102" s="101"/>
      <c r="Q102" s="99"/>
      <c r="R102" s="94"/>
      <c r="S102" s="94"/>
      <c r="T102" s="139"/>
      <c r="U102" s="94"/>
      <c r="W102" s="99"/>
      <c r="X102" s="141"/>
      <c r="Y102" s="178"/>
      <c r="Z102" s="178"/>
      <c r="AA102" s="178"/>
      <c r="AB102" s="178"/>
      <c r="AC102" s="178"/>
      <c r="AD102" s="178"/>
      <c r="AE102" s="178"/>
    </row>
    <row r="103" spans="3:31">
      <c r="M103" s="178"/>
      <c r="N103" s="178"/>
      <c r="O103" s="178"/>
      <c r="P103" s="178"/>
      <c r="Q103" s="178"/>
      <c r="R103" s="178"/>
      <c r="S103" s="178"/>
      <c r="T103" s="178"/>
      <c r="U103" s="178"/>
      <c r="V103" s="178"/>
      <c r="W103" s="178"/>
      <c r="X103" s="178"/>
      <c r="Y103" s="178"/>
      <c r="Z103" s="178"/>
      <c r="AA103" s="178"/>
      <c r="AB103" s="178"/>
      <c r="AC103" s="178"/>
      <c r="AD103" s="178"/>
      <c r="AE103" s="178"/>
    </row>
    <row r="104" spans="3:31">
      <c r="M104" s="178"/>
      <c r="N104" s="178"/>
      <c r="O104" s="178"/>
      <c r="P104" s="178"/>
      <c r="Q104" s="178"/>
      <c r="R104" s="178"/>
      <c r="S104" s="178"/>
      <c r="T104" s="178"/>
      <c r="U104" s="178"/>
      <c r="V104" s="178"/>
      <c r="W104" s="178"/>
      <c r="X104" s="178"/>
      <c r="Y104" s="178"/>
      <c r="Z104" s="178"/>
      <c r="AA104" s="178"/>
      <c r="AB104" s="178"/>
      <c r="AC104" s="178"/>
      <c r="AD104" s="178"/>
      <c r="AE104" s="178"/>
    </row>
    <row r="105" spans="3:31">
      <c r="M105" s="178"/>
      <c r="N105" s="178"/>
      <c r="O105" s="178"/>
      <c r="P105" s="178"/>
      <c r="Q105" s="178"/>
      <c r="R105" s="178"/>
      <c r="S105" s="178"/>
      <c r="T105" s="178"/>
      <c r="U105" s="178"/>
      <c r="V105" s="178"/>
      <c r="W105" s="178"/>
      <c r="X105" s="178"/>
      <c r="Y105" s="178"/>
      <c r="Z105" s="178"/>
      <c r="AA105" s="178"/>
      <c r="AB105" s="178"/>
      <c r="AC105" s="178"/>
      <c r="AD105" s="178"/>
      <c r="AE105" s="178"/>
    </row>
    <row r="106" spans="3:31">
      <c r="M106" s="178"/>
      <c r="N106" s="178"/>
      <c r="O106" s="178"/>
      <c r="P106" s="178"/>
      <c r="Q106" s="178"/>
      <c r="R106" s="178"/>
      <c r="S106" s="178"/>
      <c r="T106" s="178"/>
      <c r="U106" s="178"/>
      <c r="V106" s="178"/>
      <c r="W106" s="178"/>
      <c r="X106" s="178"/>
      <c r="Y106" s="178"/>
      <c r="Z106" s="178"/>
      <c r="AA106" s="178"/>
      <c r="AB106" s="178"/>
      <c r="AC106" s="178"/>
      <c r="AD106" s="178"/>
      <c r="AE106" s="178"/>
    </row>
    <row r="107" spans="3:31">
      <c r="M107" s="178"/>
      <c r="N107" s="178"/>
      <c r="O107" s="178"/>
      <c r="P107" s="178"/>
      <c r="Q107" s="178"/>
      <c r="R107" s="178"/>
      <c r="S107" s="178"/>
      <c r="T107" s="178"/>
      <c r="U107" s="178"/>
      <c r="V107" s="178"/>
      <c r="W107" s="178"/>
      <c r="X107" s="178"/>
      <c r="Y107" s="178"/>
      <c r="Z107" s="178"/>
      <c r="AA107" s="178"/>
      <c r="AB107" s="178"/>
      <c r="AC107" s="178"/>
      <c r="AD107" s="178"/>
      <c r="AE107" s="178"/>
    </row>
    <row r="108" spans="3:31">
      <c r="C108" s="178"/>
      <c r="D108" s="178"/>
      <c r="E108" s="178"/>
      <c r="F108" s="178"/>
      <c r="G108" s="178"/>
      <c r="H108" s="178"/>
      <c r="I108" s="178"/>
      <c r="J108" s="178"/>
    </row>
    <row r="109" spans="3:31">
      <c r="C109" s="178"/>
      <c r="D109" s="178"/>
      <c r="E109" s="178"/>
      <c r="F109" s="178"/>
      <c r="G109" s="178"/>
      <c r="H109" s="178"/>
      <c r="I109" s="178"/>
      <c r="J109" s="178"/>
    </row>
    <row r="110" spans="3:31">
      <c r="C110" s="178"/>
      <c r="D110" s="178"/>
      <c r="E110" s="178"/>
      <c r="F110" s="178"/>
      <c r="G110" s="178"/>
      <c r="H110" s="178"/>
      <c r="I110" s="178"/>
      <c r="J110" s="178"/>
    </row>
    <row r="111" spans="3:31">
      <c r="C111" s="178"/>
      <c r="D111" s="178"/>
      <c r="E111" s="178"/>
      <c r="F111" s="178"/>
      <c r="G111" s="178"/>
      <c r="H111" s="178"/>
      <c r="I111" s="178"/>
      <c r="J111" s="178"/>
    </row>
    <row r="112" spans="3:31">
      <c r="C112" s="178"/>
      <c r="D112" s="178"/>
      <c r="E112" s="178"/>
      <c r="F112" s="178"/>
      <c r="G112" s="178"/>
      <c r="H112" s="178"/>
      <c r="I112" s="178"/>
      <c r="J112" s="178"/>
    </row>
    <row r="113" spans="3:10">
      <c r="C113" s="178"/>
      <c r="D113" s="178"/>
      <c r="E113" s="178"/>
      <c r="F113" s="178"/>
      <c r="G113" s="178"/>
      <c r="H113" s="178"/>
      <c r="I113" s="178"/>
      <c r="J113" s="178"/>
    </row>
    <row r="114" spans="3:10">
      <c r="C114" s="178"/>
      <c r="D114" s="178"/>
      <c r="E114" s="178"/>
      <c r="F114" s="178"/>
      <c r="G114" s="178"/>
      <c r="H114" s="178"/>
      <c r="I114" s="178"/>
      <c r="J114" s="178"/>
    </row>
    <row r="115" spans="3:10">
      <c r="C115" s="178"/>
      <c r="D115" s="178"/>
      <c r="E115" s="178"/>
      <c r="F115" s="178"/>
      <c r="G115" s="178"/>
      <c r="H115" s="178"/>
      <c r="I115" s="178"/>
      <c r="J115" s="178"/>
    </row>
    <row r="116" spans="3:10">
      <c r="C116" s="178"/>
      <c r="D116" s="178"/>
      <c r="E116" s="178"/>
      <c r="F116" s="178"/>
      <c r="G116" s="178"/>
      <c r="H116" s="178"/>
      <c r="I116" s="178"/>
      <c r="J116" s="178"/>
    </row>
    <row r="117" spans="3:10">
      <c r="C117" s="178"/>
      <c r="D117" s="178"/>
      <c r="E117" s="178"/>
      <c r="F117" s="178"/>
      <c r="G117" s="178"/>
      <c r="H117" s="178"/>
      <c r="I117" s="178"/>
      <c r="J117" s="178"/>
    </row>
    <row r="118" spans="3:10">
      <c r="C118" s="178"/>
      <c r="D118" s="178"/>
      <c r="E118" s="178"/>
      <c r="F118" s="178"/>
      <c r="G118" s="178"/>
      <c r="H118" s="178"/>
      <c r="I118" s="178"/>
      <c r="J118" s="178"/>
    </row>
    <row r="119" spans="3:10">
      <c r="C119" s="178"/>
      <c r="D119" s="178"/>
      <c r="E119" s="178"/>
      <c r="F119" s="178"/>
      <c r="G119" s="178"/>
      <c r="H119" s="178"/>
      <c r="I119" s="178"/>
      <c r="J119" s="178"/>
    </row>
    <row r="120" spans="3:10">
      <c r="C120" s="178"/>
      <c r="D120" s="178"/>
      <c r="E120" s="178"/>
      <c r="F120" s="178"/>
      <c r="G120" s="178"/>
      <c r="H120" s="178"/>
      <c r="I120" s="178"/>
      <c r="J120" s="178"/>
    </row>
    <row r="121" spans="3:10">
      <c r="C121" s="178"/>
      <c r="D121" s="178"/>
      <c r="E121" s="178"/>
      <c r="F121" s="178"/>
      <c r="G121" s="178"/>
      <c r="H121" s="178"/>
      <c r="I121" s="178"/>
      <c r="J121" s="178"/>
    </row>
    <row r="122" spans="3:10">
      <c r="C122" s="178"/>
      <c r="D122" s="178"/>
      <c r="E122" s="178"/>
      <c r="F122" s="178"/>
      <c r="G122" s="178"/>
      <c r="H122" s="178"/>
      <c r="I122" s="178"/>
      <c r="J122" s="178"/>
    </row>
    <row r="123" spans="3:10">
      <c r="C123" s="178"/>
      <c r="D123" s="178"/>
      <c r="E123" s="178"/>
      <c r="F123" s="178"/>
      <c r="G123" s="178"/>
      <c r="H123" s="178"/>
      <c r="I123" s="178"/>
      <c r="J123" s="178"/>
    </row>
    <row r="124" spans="3:10">
      <c r="C124" s="178"/>
      <c r="D124" s="178"/>
      <c r="E124" s="178"/>
      <c r="F124" s="178"/>
      <c r="G124" s="178"/>
      <c r="H124" s="178"/>
      <c r="I124" s="178"/>
      <c r="J124" s="178"/>
    </row>
    <row r="125" spans="3:10">
      <c r="C125" s="178"/>
      <c r="D125" s="178"/>
      <c r="E125" s="178"/>
      <c r="F125" s="178"/>
      <c r="G125" s="178"/>
      <c r="H125" s="178"/>
      <c r="I125" s="178"/>
      <c r="J125" s="178"/>
    </row>
    <row r="126" spans="3:10">
      <c r="C126" s="178"/>
      <c r="D126" s="178"/>
      <c r="E126" s="178"/>
      <c r="F126" s="178"/>
      <c r="G126" s="178"/>
      <c r="H126" s="178"/>
      <c r="I126" s="178"/>
      <c r="J126" s="178"/>
    </row>
    <row r="127" spans="3:10">
      <c r="C127" s="178"/>
      <c r="D127" s="178"/>
      <c r="E127" s="178"/>
      <c r="F127" s="178"/>
      <c r="G127" s="178"/>
      <c r="H127" s="178"/>
      <c r="I127" s="178"/>
      <c r="J127" s="178"/>
    </row>
    <row r="128" spans="3:10">
      <c r="C128" s="178"/>
      <c r="D128" s="178"/>
      <c r="E128" s="178"/>
      <c r="F128" s="178"/>
      <c r="G128" s="178"/>
      <c r="H128" s="178"/>
      <c r="I128" s="178"/>
      <c r="J128" s="178"/>
    </row>
    <row r="129" spans="3:10">
      <c r="C129" s="178"/>
      <c r="D129" s="178"/>
      <c r="E129" s="178"/>
      <c r="F129" s="178"/>
      <c r="G129" s="178"/>
      <c r="H129" s="178"/>
      <c r="I129" s="178"/>
      <c r="J129" s="178"/>
    </row>
    <row r="130" spans="3:10">
      <c r="C130" s="178"/>
      <c r="D130" s="178"/>
      <c r="E130" s="178"/>
      <c r="F130" s="178"/>
      <c r="G130" s="178"/>
      <c r="H130" s="178"/>
      <c r="I130" s="178"/>
      <c r="J130" s="178"/>
    </row>
    <row r="131" spans="3:10">
      <c r="C131" s="178"/>
      <c r="D131" s="178"/>
      <c r="E131" s="178"/>
      <c r="F131" s="178"/>
      <c r="G131" s="178"/>
      <c r="H131" s="178"/>
      <c r="I131" s="178"/>
      <c r="J131" s="178"/>
    </row>
    <row r="132" spans="3:10">
      <c r="C132" s="178"/>
      <c r="D132" s="178"/>
      <c r="E132" s="178"/>
      <c r="F132" s="178"/>
      <c r="G132" s="178"/>
      <c r="H132" s="178"/>
      <c r="I132" s="178"/>
      <c r="J132" s="178"/>
    </row>
    <row r="133" spans="3:10">
      <c r="C133" s="178"/>
      <c r="D133" s="178"/>
      <c r="E133" s="178"/>
      <c r="F133" s="178"/>
      <c r="G133" s="178"/>
      <c r="H133" s="178"/>
      <c r="I133" s="178"/>
      <c r="J133" s="178"/>
    </row>
    <row r="134" spans="3:10">
      <c r="C134" s="178"/>
      <c r="D134" s="178"/>
      <c r="E134" s="178"/>
      <c r="F134" s="178"/>
      <c r="G134" s="178"/>
      <c r="H134" s="178"/>
      <c r="I134" s="178"/>
      <c r="J134" s="178"/>
    </row>
    <row r="135" spans="3:10">
      <c r="C135" s="178"/>
      <c r="D135" s="178"/>
      <c r="E135" s="178"/>
      <c r="F135" s="178"/>
      <c r="G135" s="178"/>
      <c r="H135" s="178"/>
      <c r="I135" s="178"/>
      <c r="J135" s="178"/>
    </row>
    <row r="136" spans="3:10">
      <c r="C136" s="178"/>
      <c r="D136" s="178"/>
      <c r="E136" s="178"/>
      <c r="F136" s="178"/>
      <c r="G136" s="178"/>
      <c r="H136" s="178"/>
      <c r="I136" s="178"/>
      <c r="J136" s="178"/>
    </row>
    <row r="137" spans="3:10">
      <c r="C137" s="178"/>
      <c r="D137" s="178"/>
      <c r="E137" s="178"/>
      <c r="F137" s="178"/>
      <c r="G137" s="178"/>
      <c r="H137" s="178"/>
      <c r="I137" s="178"/>
      <c r="J137" s="178"/>
    </row>
    <row r="138" spans="3:10">
      <c r="C138" s="178"/>
      <c r="D138" s="178"/>
      <c r="E138" s="178"/>
      <c r="F138" s="178"/>
      <c r="G138" s="178"/>
      <c r="H138" s="178"/>
      <c r="I138" s="178"/>
      <c r="J138" s="178"/>
    </row>
    <row r="139" spans="3:10">
      <c r="C139" s="178"/>
      <c r="D139" s="178"/>
      <c r="E139" s="178"/>
      <c r="F139" s="178"/>
      <c r="G139" s="178"/>
      <c r="H139" s="178"/>
      <c r="I139" s="178"/>
      <c r="J139" s="178"/>
    </row>
    <row r="140" spans="3:10">
      <c r="C140" s="178"/>
      <c r="D140" s="178"/>
      <c r="E140" s="178"/>
      <c r="F140" s="178"/>
      <c r="G140" s="178"/>
      <c r="H140" s="178"/>
      <c r="I140" s="178"/>
      <c r="J140" s="178"/>
    </row>
    <row r="141" spans="3:10">
      <c r="C141" s="178"/>
      <c r="D141" s="178"/>
      <c r="E141" s="178"/>
      <c r="F141" s="178"/>
      <c r="G141" s="178"/>
      <c r="H141" s="178"/>
      <c r="I141" s="178"/>
      <c r="J141" s="178"/>
    </row>
    <row r="142" spans="3:10">
      <c r="C142" s="178"/>
      <c r="D142" s="178"/>
      <c r="E142" s="178"/>
      <c r="F142" s="178"/>
      <c r="G142" s="178"/>
      <c r="H142" s="178"/>
      <c r="I142" s="178"/>
      <c r="J142" s="178"/>
    </row>
    <row r="143" spans="3:10">
      <c r="C143" s="178"/>
      <c r="D143" s="178"/>
      <c r="E143" s="178"/>
      <c r="F143" s="178"/>
      <c r="G143" s="178"/>
      <c r="H143" s="178"/>
      <c r="I143" s="178"/>
      <c r="J143" s="178"/>
    </row>
    <row r="144" spans="3:10">
      <c r="C144" s="178"/>
      <c r="D144" s="178"/>
      <c r="E144" s="178"/>
      <c r="F144" s="178"/>
      <c r="G144" s="178"/>
      <c r="H144" s="178"/>
      <c r="I144" s="178"/>
      <c r="J144" s="178"/>
    </row>
    <row r="145" spans="3:10">
      <c r="C145" s="178"/>
      <c r="D145" s="178"/>
      <c r="E145" s="178"/>
      <c r="F145" s="178"/>
      <c r="G145" s="178"/>
      <c r="H145" s="178"/>
      <c r="I145" s="178"/>
      <c r="J145" s="178"/>
    </row>
    <row r="146" spans="3:10">
      <c r="C146" s="178"/>
      <c r="D146" s="178"/>
      <c r="E146" s="178"/>
      <c r="F146" s="178"/>
      <c r="G146" s="178"/>
      <c r="H146" s="178"/>
      <c r="I146" s="178"/>
      <c r="J146" s="178"/>
    </row>
    <row r="147" spans="3:10">
      <c r="C147" s="178"/>
      <c r="D147" s="178"/>
      <c r="E147" s="178"/>
      <c r="F147" s="178"/>
      <c r="G147" s="178"/>
      <c r="H147" s="178"/>
      <c r="I147" s="178"/>
      <c r="J147" s="178"/>
    </row>
    <row r="148" spans="3:10">
      <c r="C148" s="178"/>
      <c r="D148" s="178"/>
      <c r="E148" s="178"/>
      <c r="F148" s="178"/>
      <c r="G148" s="178"/>
      <c r="H148" s="178"/>
      <c r="I148" s="178"/>
      <c r="J148" s="178"/>
    </row>
    <row r="149" spans="3:10">
      <c r="C149" s="178"/>
      <c r="D149" s="178"/>
      <c r="E149" s="178"/>
      <c r="F149" s="178"/>
      <c r="G149" s="178"/>
      <c r="H149" s="178"/>
      <c r="I149" s="178"/>
      <c r="J149" s="178"/>
    </row>
    <row r="150" spans="3:10">
      <c r="C150" s="178"/>
      <c r="D150" s="178"/>
      <c r="E150" s="178"/>
      <c r="F150" s="178"/>
      <c r="G150" s="178"/>
      <c r="H150" s="178"/>
      <c r="I150" s="178"/>
      <c r="J150" s="178"/>
    </row>
    <row r="151" spans="3:10">
      <c r="C151" s="178"/>
      <c r="D151" s="178"/>
      <c r="E151" s="178"/>
      <c r="F151" s="178"/>
      <c r="G151" s="178"/>
      <c r="H151" s="178"/>
      <c r="I151" s="178"/>
      <c r="J151" s="178"/>
    </row>
    <row r="152" spans="3:10">
      <c r="C152" s="178"/>
      <c r="D152" s="178"/>
      <c r="E152" s="178"/>
      <c r="F152" s="178"/>
      <c r="G152" s="178"/>
      <c r="H152" s="178"/>
      <c r="I152" s="178"/>
      <c r="J152" s="178"/>
    </row>
    <row r="153" spans="3:10">
      <c r="C153" s="178"/>
      <c r="D153" s="178"/>
      <c r="E153" s="178"/>
      <c r="F153" s="178"/>
      <c r="G153" s="178"/>
      <c r="H153" s="178"/>
      <c r="I153" s="178"/>
      <c r="J153" s="178"/>
    </row>
    <row r="154" spans="3:10">
      <c r="C154" s="178"/>
      <c r="D154" s="178"/>
      <c r="E154" s="178"/>
      <c r="F154" s="178"/>
      <c r="G154" s="178"/>
      <c r="H154" s="178"/>
      <c r="I154" s="178"/>
      <c r="J154" s="178"/>
    </row>
    <row r="155" spans="3:10">
      <c r="C155" s="178"/>
      <c r="D155" s="178"/>
      <c r="E155" s="178"/>
      <c r="F155" s="178"/>
      <c r="G155" s="178"/>
      <c r="H155" s="178"/>
      <c r="I155" s="178"/>
      <c r="J155" s="178"/>
    </row>
    <row r="156" spans="3:10">
      <c r="C156" s="178"/>
      <c r="D156" s="178"/>
      <c r="E156" s="178"/>
      <c r="F156" s="178"/>
      <c r="G156" s="178"/>
      <c r="H156" s="178"/>
      <c r="I156" s="178"/>
      <c r="J156" s="178"/>
    </row>
    <row r="157" spans="3:10">
      <c r="C157" s="178"/>
      <c r="D157" s="178"/>
      <c r="E157" s="178"/>
      <c r="F157" s="178"/>
      <c r="G157" s="178"/>
      <c r="H157" s="178"/>
      <c r="I157" s="178"/>
      <c r="J157" s="178"/>
    </row>
    <row r="158" spans="3:10">
      <c r="C158" s="178"/>
      <c r="D158" s="178"/>
      <c r="E158" s="178"/>
      <c r="F158" s="178"/>
      <c r="G158" s="178"/>
      <c r="H158" s="178"/>
      <c r="I158" s="178"/>
      <c r="J158" s="178"/>
    </row>
    <row r="159" spans="3:10">
      <c r="C159" s="178"/>
      <c r="D159" s="178"/>
      <c r="E159" s="178"/>
      <c r="F159" s="178"/>
      <c r="G159" s="178"/>
      <c r="H159" s="178"/>
      <c r="I159" s="178"/>
      <c r="J159" s="178"/>
    </row>
    <row r="160" spans="3:10">
      <c r="C160" s="178"/>
      <c r="D160" s="178"/>
      <c r="E160" s="178"/>
      <c r="F160" s="178"/>
      <c r="G160" s="178"/>
      <c r="H160" s="178"/>
      <c r="I160" s="178"/>
      <c r="J160" s="178"/>
    </row>
    <row r="161" spans="3:10">
      <c r="C161" s="178"/>
      <c r="D161" s="178"/>
      <c r="E161" s="178"/>
      <c r="F161" s="178"/>
      <c r="G161" s="178"/>
      <c r="H161" s="178"/>
      <c r="I161" s="178"/>
      <c r="J161" s="178"/>
    </row>
    <row r="162" spans="3:10">
      <c r="C162" s="178"/>
      <c r="D162" s="178"/>
      <c r="E162" s="178"/>
      <c r="F162" s="178"/>
      <c r="G162" s="178"/>
      <c r="H162" s="178"/>
      <c r="I162" s="178"/>
      <c r="J162" s="178"/>
    </row>
    <row r="163" spans="3:10">
      <c r="C163" s="178"/>
      <c r="D163" s="178"/>
      <c r="E163" s="178"/>
      <c r="F163" s="178"/>
      <c r="G163" s="178"/>
      <c r="H163" s="178"/>
      <c r="I163" s="178"/>
      <c r="J163" s="178"/>
    </row>
    <row r="164" spans="3:10">
      <c r="C164" s="178"/>
      <c r="D164" s="178"/>
      <c r="E164" s="178"/>
      <c r="F164" s="178"/>
      <c r="G164" s="178"/>
      <c r="H164" s="178"/>
      <c r="I164" s="178"/>
      <c r="J164" s="178"/>
    </row>
    <row r="165" spans="3:10">
      <c r="C165" s="178"/>
      <c r="D165" s="178"/>
      <c r="E165" s="178"/>
      <c r="F165" s="178"/>
      <c r="G165" s="178"/>
      <c r="H165" s="178"/>
      <c r="I165" s="178"/>
      <c r="J165" s="178"/>
    </row>
    <row r="166" spans="3:10">
      <c r="C166" s="178"/>
      <c r="D166" s="178"/>
      <c r="E166" s="178"/>
      <c r="F166" s="178"/>
      <c r="G166" s="178"/>
      <c r="H166" s="178"/>
      <c r="I166" s="178"/>
      <c r="J166" s="178"/>
    </row>
    <row r="167" spans="3:10">
      <c r="C167" s="178"/>
      <c r="D167" s="178"/>
      <c r="E167" s="178"/>
      <c r="F167" s="178"/>
      <c r="G167" s="178"/>
      <c r="H167" s="178"/>
      <c r="I167" s="178"/>
      <c r="J167" s="178"/>
    </row>
    <row r="168" spans="3:10">
      <c r="C168" s="178"/>
      <c r="D168" s="178"/>
      <c r="E168" s="178"/>
      <c r="F168" s="178"/>
      <c r="G168" s="178"/>
      <c r="H168" s="178"/>
      <c r="I168" s="178"/>
      <c r="J168" s="178"/>
    </row>
    <row r="169" spans="3:10">
      <c r="C169" s="178"/>
      <c r="D169" s="178"/>
      <c r="E169" s="178"/>
      <c r="F169" s="178"/>
      <c r="G169" s="178"/>
      <c r="H169" s="178"/>
      <c r="I169" s="178"/>
      <c r="J169" s="178"/>
    </row>
    <row r="170" spans="3:10">
      <c r="C170" s="178"/>
      <c r="D170" s="178"/>
      <c r="E170" s="178"/>
      <c r="F170" s="178"/>
      <c r="G170" s="178"/>
      <c r="H170" s="178"/>
      <c r="I170" s="178"/>
      <c r="J170" s="178"/>
    </row>
    <row r="171" spans="3:10">
      <c r="C171" s="178"/>
      <c r="D171" s="178"/>
      <c r="E171" s="178"/>
      <c r="F171" s="178"/>
      <c r="G171" s="178"/>
      <c r="H171" s="178"/>
      <c r="I171" s="178"/>
      <c r="J171" s="178"/>
    </row>
    <row r="172" spans="3:10">
      <c r="C172" s="178"/>
      <c r="D172" s="178"/>
      <c r="E172" s="178"/>
      <c r="F172" s="178"/>
      <c r="G172" s="178"/>
      <c r="H172" s="178"/>
      <c r="I172" s="178"/>
      <c r="J172" s="178"/>
    </row>
    <row r="173" spans="3:10">
      <c r="C173" s="178"/>
      <c r="D173" s="178"/>
      <c r="E173" s="178"/>
      <c r="F173" s="178"/>
      <c r="G173" s="178"/>
      <c r="H173" s="178"/>
      <c r="I173" s="178"/>
      <c r="J173" s="178"/>
    </row>
    <row r="174" spans="3:10">
      <c r="C174" s="178"/>
      <c r="D174" s="178"/>
      <c r="E174" s="178"/>
      <c r="F174" s="178"/>
      <c r="G174" s="178"/>
      <c r="H174" s="178"/>
      <c r="I174" s="178"/>
      <c r="J174" s="178"/>
    </row>
    <row r="175" spans="3:10">
      <c r="C175" s="178"/>
      <c r="D175" s="178"/>
      <c r="E175" s="178"/>
      <c r="F175" s="178"/>
      <c r="G175" s="178"/>
      <c r="H175" s="178"/>
      <c r="I175" s="178"/>
      <c r="J175" s="178"/>
    </row>
    <row r="176" spans="3:10">
      <c r="C176" s="178"/>
      <c r="D176" s="178"/>
      <c r="E176" s="178"/>
      <c r="F176" s="178"/>
      <c r="G176" s="178"/>
      <c r="H176" s="178"/>
      <c r="I176" s="178"/>
      <c r="J176" s="178"/>
    </row>
    <row r="177" spans="3:10">
      <c r="C177" s="178"/>
      <c r="D177" s="178"/>
      <c r="E177" s="178"/>
      <c r="F177" s="178"/>
      <c r="G177" s="178"/>
      <c r="H177" s="178"/>
      <c r="I177" s="178"/>
      <c r="J177" s="178"/>
    </row>
    <row r="178" spans="3:10">
      <c r="C178" s="178"/>
      <c r="D178" s="178"/>
      <c r="E178" s="178"/>
      <c r="F178" s="178"/>
      <c r="G178" s="178"/>
      <c r="H178" s="178"/>
      <c r="I178" s="178"/>
      <c r="J178" s="178"/>
    </row>
    <row r="179" spans="3:10">
      <c r="C179" s="178"/>
      <c r="D179" s="178"/>
      <c r="E179" s="178"/>
      <c r="F179" s="178"/>
      <c r="G179" s="178"/>
      <c r="H179" s="178"/>
      <c r="I179" s="178"/>
      <c r="J179" s="178"/>
    </row>
    <row r="180" spans="3:10">
      <c r="C180" s="178"/>
      <c r="D180" s="178"/>
      <c r="E180" s="178"/>
      <c r="F180" s="178"/>
      <c r="G180" s="178"/>
      <c r="H180" s="178"/>
      <c r="I180" s="178"/>
      <c r="J180" s="178"/>
    </row>
    <row r="181" spans="3:10">
      <c r="C181" s="178"/>
      <c r="D181" s="178"/>
      <c r="E181" s="178"/>
      <c r="F181" s="178"/>
      <c r="G181" s="178"/>
      <c r="H181" s="178"/>
      <c r="I181" s="178"/>
      <c r="J181" s="178"/>
    </row>
    <row r="182" spans="3:10">
      <c r="C182" s="178"/>
      <c r="D182" s="178"/>
      <c r="E182" s="178"/>
      <c r="F182" s="178"/>
      <c r="G182" s="178"/>
      <c r="H182" s="178"/>
      <c r="I182" s="178"/>
      <c r="J182" s="178"/>
    </row>
    <row r="183" spans="3:10">
      <c r="C183" s="178"/>
      <c r="D183" s="178"/>
      <c r="E183" s="178"/>
      <c r="F183" s="178"/>
      <c r="G183" s="178"/>
      <c r="H183" s="178"/>
      <c r="I183" s="178"/>
      <c r="J183" s="178"/>
    </row>
    <row r="184" spans="3:10">
      <c r="C184" s="178"/>
      <c r="D184" s="178"/>
      <c r="E184" s="178"/>
      <c r="F184" s="178"/>
      <c r="G184" s="178"/>
      <c r="H184" s="178"/>
      <c r="I184" s="178"/>
      <c r="J184" s="178"/>
    </row>
    <row r="185" spans="3:10">
      <c r="C185" s="178"/>
      <c r="D185" s="178"/>
      <c r="E185" s="178"/>
      <c r="F185" s="178"/>
      <c r="G185" s="178"/>
      <c r="H185" s="178"/>
      <c r="I185" s="178"/>
      <c r="J185" s="178"/>
    </row>
    <row r="186" spans="3:10">
      <c r="C186" s="178"/>
      <c r="D186" s="178"/>
      <c r="E186" s="178"/>
      <c r="F186" s="178"/>
      <c r="G186" s="178"/>
      <c r="H186" s="178"/>
      <c r="I186" s="178"/>
      <c r="J186" s="178"/>
    </row>
    <row r="187" spans="3:10">
      <c r="C187" s="178"/>
      <c r="D187" s="178"/>
      <c r="E187" s="178"/>
      <c r="F187" s="178"/>
      <c r="G187" s="178"/>
      <c r="H187" s="178"/>
      <c r="I187" s="178"/>
      <c r="J187" s="178"/>
    </row>
    <row r="188" spans="3:10">
      <c r="C188" s="178"/>
      <c r="D188" s="178"/>
      <c r="E188" s="178"/>
      <c r="F188" s="178"/>
      <c r="G188" s="178"/>
      <c r="H188" s="178"/>
      <c r="I188" s="178"/>
      <c r="J188" s="178"/>
    </row>
    <row r="189" spans="3:10">
      <c r="C189" s="178"/>
      <c r="D189" s="178"/>
      <c r="E189" s="178"/>
      <c r="F189" s="178"/>
      <c r="G189" s="178"/>
      <c r="H189" s="178"/>
      <c r="I189" s="178"/>
      <c r="J189" s="178"/>
    </row>
    <row r="190" spans="3:10">
      <c r="C190" s="178"/>
      <c r="D190" s="178"/>
      <c r="E190" s="178"/>
      <c r="F190" s="178"/>
      <c r="G190" s="178"/>
      <c r="H190" s="178"/>
      <c r="I190" s="178"/>
      <c r="J190" s="178"/>
    </row>
    <row r="191" spans="3:10">
      <c r="C191" s="178"/>
      <c r="D191" s="178"/>
      <c r="E191" s="178"/>
      <c r="F191" s="178"/>
      <c r="G191" s="178"/>
      <c r="H191" s="178"/>
      <c r="I191" s="178"/>
      <c r="J191" s="178"/>
    </row>
    <row r="192" spans="3:10">
      <c r="C192" s="178"/>
      <c r="D192" s="178"/>
      <c r="E192" s="178"/>
      <c r="F192" s="178"/>
      <c r="G192" s="178"/>
      <c r="H192" s="178"/>
      <c r="I192" s="178"/>
      <c r="J192" s="178"/>
    </row>
    <row r="193" spans="3:10">
      <c r="C193" s="178"/>
      <c r="D193" s="178"/>
      <c r="E193" s="178"/>
      <c r="F193" s="178"/>
      <c r="G193" s="178"/>
      <c r="H193" s="178"/>
      <c r="I193" s="178"/>
      <c r="J193" s="178"/>
    </row>
    <row r="194" spans="3:10">
      <c r="C194" s="178"/>
      <c r="D194" s="178"/>
      <c r="E194" s="178"/>
      <c r="F194" s="178"/>
      <c r="G194" s="178"/>
      <c r="H194" s="178"/>
      <c r="I194" s="178"/>
      <c r="J194" s="178"/>
    </row>
    <row r="195" spans="3:10">
      <c r="C195" s="178"/>
      <c r="D195" s="178"/>
      <c r="E195" s="178"/>
      <c r="F195" s="178"/>
      <c r="G195" s="178"/>
      <c r="H195" s="178"/>
      <c r="I195" s="178"/>
      <c r="J195" s="178"/>
    </row>
    <row r="196" spans="3:10">
      <c r="C196" s="178"/>
      <c r="D196" s="178"/>
      <c r="E196" s="178"/>
      <c r="F196" s="178"/>
      <c r="G196" s="178"/>
      <c r="H196" s="178"/>
      <c r="I196" s="178"/>
      <c r="J196" s="178"/>
    </row>
    <row r="197" spans="3:10">
      <c r="C197" s="178"/>
      <c r="D197" s="178"/>
      <c r="E197" s="178"/>
      <c r="F197" s="178"/>
      <c r="G197" s="178"/>
      <c r="H197" s="178"/>
      <c r="I197" s="178"/>
      <c r="J197" s="178"/>
    </row>
    <row r="198" spans="3:10">
      <c r="C198" s="178"/>
      <c r="D198" s="178"/>
      <c r="E198" s="178"/>
      <c r="F198" s="178"/>
      <c r="G198" s="178"/>
      <c r="H198" s="178"/>
      <c r="I198" s="178"/>
      <c r="J198" s="178"/>
    </row>
    <row r="199" spans="3:10">
      <c r="C199" s="178"/>
      <c r="D199" s="178"/>
      <c r="E199" s="178"/>
      <c r="F199" s="178"/>
      <c r="G199" s="178"/>
      <c r="H199" s="178"/>
      <c r="I199" s="178"/>
      <c r="J199" s="178"/>
    </row>
    <row r="200" spans="3:10">
      <c r="C200" s="178"/>
      <c r="D200" s="178"/>
      <c r="E200" s="178"/>
      <c r="F200" s="178"/>
      <c r="G200" s="178"/>
      <c r="H200" s="178"/>
      <c r="I200" s="178"/>
      <c r="J200" s="178"/>
    </row>
    <row r="201" spans="3:10">
      <c r="C201" s="178"/>
      <c r="D201" s="178"/>
      <c r="E201" s="178"/>
      <c r="F201" s="178"/>
      <c r="G201" s="178"/>
      <c r="H201" s="178"/>
      <c r="I201" s="178"/>
      <c r="J201" s="178"/>
    </row>
    <row r="202" spans="3:10">
      <c r="C202" s="178"/>
      <c r="D202" s="178"/>
      <c r="E202" s="178"/>
      <c r="F202" s="178"/>
      <c r="G202" s="178"/>
      <c r="H202" s="178"/>
      <c r="I202" s="178"/>
      <c r="J202" s="178"/>
    </row>
    <row r="203" spans="3:10">
      <c r="C203" s="178"/>
      <c r="D203" s="178"/>
      <c r="E203" s="178"/>
      <c r="F203" s="178"/>
      <c r="G203" s="178"/>
      <c r="H203" s="178"/>
      <c r="I203" s="178"/>
      <c r="J203" s="178"/>
    </row>
    <row r="204" spans="3:10">
      <c r="C204" s="178"/>
      <c r="D204" s="178"/>
      <c r="E204" s="178"/>
      <c r="F204" s="178"/>
      <c r="G204" s="178"/>
      <c r="H204" s="178"/>
      <c r="I204" s="178"/>
      <c r="J204" s="178"/>
    </row>
    <row r="205" spans="3:10">
      <c r="C205" s="178"/>
      <c r="D205" s="178"/>
      <c r="E205" s="178"/>
      <c r="F205" s="178"/>
      <c r="G205" s="178"/>
      <c r="H205" s="178"/>
      <c r="I205" s="178"/>
      <c r="J205" s="178"/>
    </row>
    <row r="206" spans="3:10">
      <c r="C206" s="178"/>
      <c r="D206" s="178"/>
      <c r="E206" s="178"/>
      <c r="F206" s="178"/>
      <c r="G206" s="178"/>
      <c r="H206" s="178"/>
      <c r="I206" s="178"/>
      <c r="J206" s="178"/>
    </row>
    <row r="207" spans="3:10">
      <c r="C207" s="178"/>
      <c r="D207" s="178"/>
      <c r="E207" s="178"/>
      <c r="F207" s="178"/>
      <c r="G207" s="178"/>
      <c r="H207" s="178"/>
      <c r="I207" s="178"/>
      <c r="J207" s="178"/>
    </row>
    <row r="208" spans="3:10">
      <c r="C208" s="178"/>
      <c r="D208" s="178"/>
      <c r="E208" s="178"/>
      <c r="F208" s="178"/>
      <c r="G208" s="178"/>
      <c r="H208" s="178"/>
      <c r="I208" s="178"/>
      <c r="J208" s="178"/>
    </row>
    <row r="209" spans="3:10">
      <c r="C209" s="178"/>
      <c r="D209" s="178"/>
      <c r="E209" s="178"/>
      <c r="F209" s="178"/>
      <c r="G209" s="178"/>
      <c r="H209" s="178"/>
      <c r="I209" s="178"/>
      <c r="J209" s="178"/>
    </row>
    <row r="210" spans="3:10">
      <c r="C210" s="178"/>
      <c r="D210" s="178"/>
      <c r="E210" s="178"/>
      <c r="F210" s="178"/>
      <c r="G210" s="178"/>
      <c r="H210" s="178"/>
      <c r="I210" s="178"/>
      <c r="J210" s="178"/>
    </row>
    <row r="211" spans="3:10">
      <c r="C211" s="178"/>
      <c r="D211" s="178"/>
      <c r="E211" s="178"/>
      <c r="F211" s="178"/>
      <c r="G211" s="178"/>
      <c r="H211" s="178"/>
      <c r="I211" s="178"/>
      <c r="J211" s="178"/>
    </row>
    <row r="212" spans="3:10">
      <c r="C212" s="178"/>
      <c r="D212" s="178"/>
      <c r="E212" s="178"/>
      <c r="F212" s="178"/>
      <c r="G212" s="178"/>
      <c r="H212" s="178"/>
      <c r="I212" s="178"/>
      <c r="J212" s="178"/>
    </row>
    <row r="213" spans="3:10">
      <c r="C213" s="178"/>
      <c r="D213" s="178"/>
      <c r="E213" s="178"/>
      <c r="F213" s="178"/>
      <c r="G213" s="178"/>
      <c r="H213" s="178"/>
      <c r="I213" s="178"/>
      <c r="J213" s="178"/>
    </row>
    <row r="214" spans="3:10">
      <c r="C214" s="178"/>
      <c r="D214" s="178"/>
      <c r="E214" s="178"/>
      <c r="F214" s="178"/>
      <c r="G214" s="178"/>
      <c r="H214" s="178"/>
      <c r="I214" s="178"/>
      <c r="J214" s="178"/>
    </row>
    <row r="215" spans="3:10">
      <c r="C215" s="178"/>
      <c r="D215" s="178"/>
      <c r="E215" s="178"/>
      <c r="F215" s="178"/>
      <c r="G215" s="178"/>
      <c r="H215" s="178"/>
      <c r="I215" s="178"/>
      <c r="J215" s="178"/>
    </row>
    <row r="216" spans="3:10">
      <c r="C216" s="178"/>
      <c r="D216" s="178"/>
      <c r="E216" s="178"/>
      <c r="F216" s="178"/>
      <c r="G216" s="178"/>
      <c r="H216" s="178"/>
      <c r="I216" s="178"/>
      <c r="J216" s="178"/>
    </row>
    <row r="217" spans="3:10">
      <c r="C217" s="178"/>
      <c r="D217" s="178"/>
      <c r="E217" s="178"/>
      <c r="F217" s="178"/>
      <c r="G217" s="178"/>
      <c r="H217" s="178"/>
      <c r="I217" s="178"/>
      <c r="J217" s="178"/>
    </row>
    <row r="218" spans="3:10">
      <c r="C218" s="178"/>
      <c r="D218" s="178"/>
      <c r="E218" s="178"/>
      <c r="F218" s="178"/>
      <c r="G218" s="178"/>
      <c r="H218" s="178"/>
      <c r="I218" s="178"/>
      <c r="J218" s="178"/>
    </row>
    <row r="219" spans="3:10">
      <c r="C219" s="178"/>
      <c r="D219" s="178"/>
      <c r="E219" s="178"/>
      <c r="F219" s="178"/>
      <c r="G219" s="178"/>
      <c r="H219" s="178"/>
      <c r="I219" s="178"/>
      <c r="J219" s="178"/>
    </row>
    <row r="220" spans="3:10">
      <c r="C220" s="178"/>
      <c r="D220" s="178"/>
      <c r="E220" s="178"/>
      <c r="F220" s="178"/>
      <c r="G220" s="178"/>
      <c r="H220" s="178"/>
      <c r="I220" s="178"/>
      <c r="J220" s="178"/>
    </row>
    <row r="221" spans="3:10">
      <c r="C221" s="178"/>
      <c r="D221" s="178"/>
      <c r="E221" s="178"/>
      <c r="F221" s="178"/>
      <c r="G221" s="178"/>
      <c r="H221" s="178"/>
      <c r="I221" s="178"/>
      <c r="J221" s="178"/>
    </row>
    <row r="222" spans="3:10">
      <c r="C222" s="178"/>
      <c r="D222" s="178"/>
      <c r="E222" s="178"/>
      <c r="F222" s="178"/>
      <c r="G222" s="178"/>
      <c r="H222" s="178"/>
      <c r="I222" s="178"/>
      <c r="J222" s="178"/>
    </row>
    <row r="223" spans="3:10">
      <c r="C223" s="178"/>
      <c r="D223" s="178"/>
      <c r="E223" s="178"/>
      <c r="F223" s="178"/>
      <c r="G223" s="178"/>
      <c r="H223" s="178"/>
      <c r="I223" s="178"/>
      <c r="J223" s="178"/>
    </row>
    <row r="224" spans="3:10">
      <c r="C224" s="178"/>
      <c r="D224" s="178"/>
      <c r="E224" s="178"/>
      <c r="F224" s="178"/>
      <c r="G224" s="178"/>
      <c r="H224" s="178"/>
      <c r="I224" s="178"/>
      <c r="J224" s="178"/>
    </row>
    <row r="225" spans="3:10">
      <c r="C225" s="178"/>
      <c r="D225" s="178"/>
      <c r="E225" s="178"/>
      <c r="F225" s="178"/>
      <c r="G225" s="178"/>
      <c r="H225" s="178"/>
      <c r="I225" s="178"/>
      <c r="J225" s="178"/>
    </row>
    <row r="226" spans="3:10">
      <c r="C226" s="178"/>
      <c r="D226" s="178"/>
      <c r="E226" s="178"/>
      <c r="F226" s="178"/>
      <c r="G226" s="178"/>
      <c r="H226" s="178"/>
      <c r="I226" s="178"/>
      <c r="J226" s="178"/>
    </row>
    <row r="227" spans="3:10">
      <c r="C227" s="178"/>
      <c r="D227" s="178"/>
      <c r="E227" s="178"/>
      <c r="F227" s="178"/>
      <c r="G227" s="178"/>
      <c r="H227" s="178"/>
      <c r="I227" s="178"/>
      <c r="J227" s="178"/>
    </row>
    <row r="228" spans="3:10">
      <c r="C228" s="178"/>
      <c r="D228" s="178"/>
      <c r="E228" s="178"/>
      <c r="F228" s="178"/>
      <c r="G228" s="178"/>
      <c r="H228" s="178"/>
      <c r="I228" s="178"/>
      <c r="J228" s="178"/>
    </row>
    <row r="229" spans="3:10">
      <c r="C229" s="178"/>
      <c r="D229" s="178"/>
      <c r="E229" s="178"/>
      <c r="F229" s="178"/>
      <c r="G229" s="178"/>
      <c r="H229" s="178"/>
      <c r="I229" s="178"/>
      <c r="J229" s="178"/>
    </row>
    <row r="230" spans="3:10">
      <c r="C230" s="178"/>
      <c r="D230" s="178"/>
      <c r="E230" s="178"/>
      <c r="F230" s="178"/>
      <c r="G230" s="178"/>
      <c r="H230" s="178"/>
      <c r="I230" s="178"/>
      <c r="J230" s="178"/>
    </row>
    <row r="231" spans="3:10">
      <c r="C231" s="178"/>
      <c r="D231" s="178"/>
      <c r="E231" s="178"/>
      <c r="F231" s="178"/>
      <c r="G231" s="178"/>
      <c r="H231" s="178"/>
      <c r="I231" s="178"/>
      <c r="J231" s="178"/>
    </row>
    <row r="232" spans="3:10">
      <c r="C232" s="178"/>
      <c r="D232" s="178"/>
      <c r="E232" s="178"/>
      <c r="F232" s="178"/>
      <c r="G232" s="178"/>
      <c r="H232" s="178"/>
      <c r="I232" s="178"/>
      <c r="J232" s="178"/>
    </row>
    <row r="233" spans="3:10">
      <c r="C233" s="178"/>
      <c r="D233" s="178"/>
      <c r="E233" s="178"/>
      <c r="F233" s="178"/>
      <c r="G233" s="178"/>
      <c r="H233" s="178"/>
      <c r="I233" s="178"/>
      <c r="J233" s="178"/>
    </row>
    <row r="234" spans="3:10">
      <c r="C234" s="178"/>
      <c r="D234" s="178"/>
      <c r="E234" s="178"/>
      <c r="F234" s="178"/>
      <c r="G234" s="178"/>
      <c r="H234" s="178"/>
      <c r="I234" s="178"/>
      <c r="J234" s="178"/>
    </row>
    <row r="235" spans="3:10">
      <c r="C235" s="178"/>
      <c r="D235" s="178"/>
      <c r="E235" s="178"/>
      <c r="F235" s="178"/>
      <c r="G235" s="178"/>
      <c r="H235" s="178"/>
      <c r="I235" s="178"/>
      <c r="J235" s="178"/>
    </row>
    <row r="236" spans="3:10">
      <c r="C236" s="178"/>
      <c r="D236" s="178"/>
      <c r="E236" s="178"/>
      <c r="F236" s="178"/>
      <c r="G236" s="178"/>
      <c r="H236" s="178"/>
      <c r="I236" s="178"/>
      <c r="J236" s="178"/>
    </row>
    <row r="237" spans="3:10">
      <c r="C237" s="178"/>
      <c r="D237" s="178"/>
      <c r="E237" s="178"/>
      <c r="F237" s="178"/>
      <c r="G237" s="178"/>
      <c r="H237" s="178"/>
      <c r="I237" s="178"/>
      <c r="J237" s="178"/>
    </row>
    <row r="238" spans="3:10">
      <c r="C238" s="178"/>
      <c r="D238" s="178"/>
      <c r="E238" s="178"/>
      <c r="F238" s="178"/>
      <c r="G238" s="178"/>
      <c r="H238" s="178"/>
      <c r="I238" s="178"/>
      <c r="J238" s="178"/>
    </row>
    <row r="239" spans="3:10">
      <c r="C239" s="178"/>
      <c r="D239" s="178"/>
      <c r="E239" s="178"/>
      <c r="F239" s="178"/>
      <c r="G239" s="178"/>
      <c r="H239" s="178"/>
      <c r="I239" s="178"/>
      <c r="J239" s="178"/>
    </row>
    <row r="240" spans="3:10">
      <c r="C240" s="178"/>
      <c r="D240" s="178"/>
      <c r="E240" s="178"/>
      <c r="F240" s="178"/>
      <c r="G240" s="178"/>
      <c r="H240" s="178"/>
      <c r="I240" s="178"/>
      <c r="J240" s="178"/>
    </row>
    <row r="241" spans="3:10">
      <c r="C241" s="178"/>
      <c r="D241" s="178"/>
      <c r="E241" s="178"/>
      <c r="F241" s="178"/>
      <c r="G241" s="178"/>
      <c r="H241" s="178"/>
      <c r="I241" s="178"/>
      <c r="J241" s="178"/>
    </row>
    <row r="242" spans="3:10">
      <c r="C242" s="178"/>
      <c r="D242" s="178"/>
      <c r="E242" s="178"/>
      <c r="F242" s="178"/>
      <c r="G242" s="178"/>
      <c r="H242" s="178"/>
      <c r="I242" s="178"/>
      <c r="J242" s="178"/>
    </row>
    <row r="243" spans="3:10">
      <c r="C243" s="178"/>
      <c r="D243" s="178"/>
      <c r="E243" s="178"/>
      <c r="F243" s="178"/>
      <c r="G243" s="178"/>
      <c r="H243" s="178"/>
      <c r="I243" s="178"/>
      <c r="J243" s="178"/>
    </row>
    <row r="244" spans="3:10">
      <c r="C244" s="178"/>
      <c r="D244" s="178"/>
      <c r="E244" s="178"/>
      <c r="F244" s="178"/>
      <c r="G244" s="178"/>
      <c r="H244" s="178"/>
      <c r="I244" s="178"/>
      <c r="J244" s="178"/>
    </row>
    <row r="245" spans="3:10">
      <c r="C245" s="178"/>
      <c r="D245" s="178"/>
      <c r="E245" s="178"/>
      <c r="F245" s="178"/>
      <c r="G245" s="178"/>
      <c r="H245" s="178"/>
      <c r="I245" s="178"/>
      <c r="J245" s="178"/>
    </row>
    <row r="246" spans="3:10">
      <c r="C246" s="178"/>
      <c r="D246" s="178"/>
      <c r="E246" s="178"/>
      <c r="F246" s="178"/>
      <c r="G246" s="178"/>
      <c r="H246" s="178"/>
      <c r="I246" s="178"/>
      <c r="J246" s="178"/>
    </row>
    <row r="247" spans="3:10">
      <c r="C247" s="178"/>
      <c r="D247" s="178"/>
      <c r="E247" s="178"/>
      <c r="F247" s="178"/>
      <c r="G247" s="178"/>
      <c r="H247" s="178"/>
      <c r="I247" s="178"/>
      <c r="J247" s="178"/>
    </row>
    <row r="248" spans="3:10">
      <c r="C248" s="178"/>
      <c r="D248" s="178"/>
      <c r="E248" s="178"/>
      <c r="F248" s="178"/>
      <c r="G248" s="178"/>
      <c r="H248" s="178"/>
      <c r="I248" s="178"/>
      <c r="J248" s="178"/>
    </row>
    <row r="249" spans="3:10">
      <c r="C249" s="178"/>
      <c r="D249" s="178"/>
      <c r="E249" s="178"/>
      <c r="F249" s="178"/>
      <c r="G249" s="178"/>
      <c r="H249" s="178"/>
      <c r="I249" s="178"/>
      <c r="J249" s="178"/>
    </row>
    <row r="250" spans="3:10">
      <c r="C250" s="178"/>
      <c r="D250" s="178"/>
      <c r="E250" s="178"/>
      <c r="F250" s="178"/>
      <c r="G250" s="178"/>
      <c r="H250" s="178"/>
      <c r="I250" s="178"/>
      <c r="J250" s="178"/>
    </row>
    <row r="251" spans="3:10">
      <c r="C251" s="178"/>
      <c r="D251" s="178"/>
      <c r="E251" s="178"/>
      <c r="F251" s="178"/>
      <c r="G251" s="178"/>
      <c r="H251" s="178"/>
      <c r="I251" s="178"/>
      <c r="J251" s="178"/>
    </row>
    <row r="252" spans="3:10">
      <c r="C252" s="178"/>
      <c r="D252" s="178"/>
      <c r="E252" s="178"/>
      <c r="F252" s="178"/>
      <c r="G252" s="178"/>
      <c r="H252" s="178"/>
      <c r="I252" s="178"/>
      <c r="J252" s="178"/>
    </row>
    <row r="253" spans="3:10">
      <c r="C253" s="178"/>
      <c r="D253" s="178"/>
      <c r="E253" s="178"/>
      <c r="F253" s="178"/>
      <c r="G253" s="178"/>
      <c r="H253" s="178"/>
      <c r="I253" s="178"/>
      <c r="J253" s="178"/>
    </row>
    <row r="254" spans="3:10">
      <c r="C254" s="178"/>
      <c r="D254" s="178"/>
      <c r="E254" s="178"/>
      <c r="F254" s="178"/>
      <c r="G254" s="178"/>
      <c r="H254" s="178"/>
      <c r="I254" s="178"/>
      <c r="J254" s="178"/>
    </row>
    <row r="255" spans="3:10">
      <c r="C255" s="178"/>
      <c r="D255" s="178"/>
      <c r="E255" s="178"/>
      <c r="F255" s="178"/>
      <c r="G255" s="178"/>
      <c r="H255" s="178"/>
      <c r="I255" s="178"/>
      <c r="J255" s="178"/>
    </row>
    <row r="256" spans="3:10">
      <c r="C256" s="178"/>
      <c r="D256" s="178"/>
      <c r="E256" s="178"/>
      <c r="F256" s="178"/>
      <c r="G256" s="178"/>
      <c r="H256" s="178"/>
      <c r="I256" s="178"/>
      <c r="J256" s="178"/>
    </row>
    <row r="257" spans="3:10">
      <c r="C257" s="178"/>
      <c r="D257" s="178"/>
      <c r="E257" s="178"/>
      <c r="F257" s="178"/>
      <c r="G257" s="178"/>
      <c r="H257" s="178"/>
      <c r="I257" s="178"/>
      <c r="J257" s="178"/>
    </row>
    <row r="258" spans="3:10">
      <c r="C258" s="178"/>
      <c r="D258" s="178"/>
      <c r="E258" s="178"/>
      <c r="F258" s="178"/>
      <c r="G258" s="178"/>
      <c r="H258" s="178"/>
      <c r="I258" s="178"/>
      <c r="J258" s="178"/>
    </row>
    <row r="259" spans="3:10">
      <c r="C259" s="178"/>
      <c r="D259" s="178"/>
      <c r="E259" s="178"/>
      <c r="F259" s="178"/>
      <c r="G259" s="178"/>
      <c r="H259" s="178"/>
      <c r="I259" s="178"/>
      <c r="J259" s="178"/>
    </row>
    <row r="260" spans="3:10">
      <c r="C260" s="178"/>
      <c r="D260" s="178"/>
      <c r="E260" s="178"/>
      <c r="F260" s="178"/>
      <c r="G260" s="178"/>
      <c r="H260" s="178"/>
      <c r="I260" s="178"/>
      <c r="J260" s="178"/>
    </row>
    <row r="261" spans="3:10">
      <c r="C261" s="178"/>
      <c r="D261" s="178"/>
      <c r="E261" s="178"/>
      <c r="F261" s="178"/>
      <c r="G261" s="178"/>
      <c r="H261" s="178"/>
      <c r="I261" s="178"/>
      <c r="J261" s="178"/>
    </row>
    <row r="262" spans="3:10">
      <c r="C262" s="178"/>
      <c r="D262" s="178"/>
      <c r="E262" s="178"/>
      <c r="F262" s="178"/>
      <c r="G262" s="178"/>
      <c r="H262" s="178"/>
      <c r="I262" s="178"/>
      <c r="J262" s="178"/>
    </row>
    <row r="263" spans="3:10">
      <c r="C263" s="178"/>
      <c r="D263" s="178"/>
      <c r="E263" s="178"/>
      <c r="F263" s="178"/>
      <c r="G263" s="178"/>
      <c r="H263" s="178"/>
      <c r="I263" s="178"/>
      <c r="J263" s="178"/>
    </row>
    <row r="264" spans="3:10">
      <c r="C264" s="178"/>
      <c r="D264" s="178"/>
      <c r="E264" s="178"/>
      <c r="F264" s="178"/>
      <c r="G264" s="178"/>
      <c r="H264" s="178"/>
      <c r="I264" s="178"/>
      <c r="J264" s="178"/>
    </row>
    <row r="265" spans="3:10">
      <c r="C265" s="178"/>
      <c r="D265" s="178"/>
      <c r="E265" s="178"/>
      <c r="F265" s="178"/>
      <c r="G265" s="178"/>
      <c r="H265" s="178"/>
      <c r="I265" s="178"/>
      <c r="J265" s="178"/>
    </row>
    <row r="266" spans="3:10">
      <c r="C266" s="178"/>
      <c r="D266" s="178"/>
      <c r="E266" s="178"/>
      <c r="F266" s="178"/>
      <c r="G266" s="178"/>
      <c r="H266" s="178"/>
      <c r="I266" s="178"/>
      <c r="J266" s="178"/>
    </row>
    <row r="267" spans="3:10">
      <c r="C267" s="178"/>
      <c r="D267" s="178"/>
      <c r="E267" s="178"/>
      <c r="F267" s="178"/>
      <c r="G267" s="178"/>
      <c r="H267" s="178"/>
      <c r="I267" s="178"/>
      <c r="J267" s="178"/>
    </row>
    <row r="268" spans="3:10">
      <c r="C268" s="178"/>
      <c r="D268" s="178"/>
      <c r="E268" s="178"/>
      <c r="F268" s="178"/>
      <c r="G268" s="178"/>
      <c r="H268" s="178"/>
      <c r="I268" s="178"/>
      <c r="J268" s="178"/>
    </row>
    <row r="269" spans="3:10">
      <c r="C269" s="178"/>
      <c r="D269" s="178"/>
      <c r="E269" s="178"/>
      <c r="F269" s="178"/>
      <c r="G269" s="178"/>
      <c r="H269" s="178"/>
      <c r="I269" s="178"/>
      <c r="J269" s="178"/>
    </row>
    <row r="270" spans="3:10">
      <c r="C270" s="178"/>
      <c r="D270" s="178"/>
      <c r="E270" s="178"/>
      <c r="F270" s="178"/>
      <c r="G270" s="178"/>
      <c r="H270" s="178"/>
      <c r="I270" s="178"/>
      <c r="J270" s="178"/>
    </row>
    <row r="271" spans="3:10">
      <c r="C271" s="178"/>
      <c r="D271" s="178"/>
      <c r="E271" s="178"/>
      <c r="F271" s="178"/>
      <c r="G271" s="178"/>
      <c r="H271" s="178"/>
      <c r="I271" s="178"/>
      <c r="J271" s="178"/>
    </row>
    <row r="272" spans="3:10">
      <c r="C272" s="178"/>
      <c r="D272" s="178"/>
      <c r="E272" s="178"/>
      <c r="F272" s="178"/>
      <c r="G272" s="178"/>
      <c r="H272" s="178"/>
      <c r="I272" s="178"/>
      <c r="J272" s="178"/>
    </row>
    <row r="273" spans="3:10">
      <c r="C273" s="178"/>
      <c r="D273" s="178"/>
      <c r="E273" s="178"/>
      <c r="F273" s="178"/>
      <c r="G273" s="178"/>
      <c r="H273" s="178"/>
      <c r="I273" s="178"/>
      <c r="J273" s="178"/>
    </row>
    <row r="274" spans="3:10">
      <c r="C274" s="178"/>
      <c r="D274" s="178"/>
      <c r="E274" s="178"/>
      <c r="F274" s="178"/>
      <c r="G274" s="178"/>
      <c r="H274" s="178"/>
      <c r="I274" s="178"/>
      <c r="J274" s="178"/>
    </row>
    <row r="275" spans="3:10">
      <c r="C275" s="178"/>
      <c r="D275" s="178"/>
      <c r="E275" s="178"/>
      <c r="F275" s="178"/>
      <c r="G275" s="178"/>
      <c r="H275" s="178"/>
      <c r="I275" s="178"/>
      <c r="J275" s="178"/>
    </row>
    <row r="276" spans="3:10">
      <c r="C276" s="178"/>
      <c r="D276" s="178"/>
      <c r="E276" s="178"/>
      <c r="F276" s="178"/>
      <c r="G276" s="178"/>
      <c r="H276" s="178"/>
      <c r="I276" s="178"/>
      <c r="J276" s="178"/>
    </row>
    <row r="277" spans="3:10">
      <c r="C277" s="178"/>
      <c r="D277" s="178"/>
      <c r="E277" s="178"/>
      <c r="F277" s="178"/>
      <c r="G277" s="178"/>
      <c r="H277" s="178"/>
      <c r="I277" s="178"/>
      <c r="J277" s="178"/>
    </row>
    <row r="278" spans="3:10">
      <c r="C278" s="178"/>
      <c r="D278" s="178"/>
      <c r="E278" s="178"/>
      <c r="F278" s="178"/>
      <c r="G278" s="178"/>
      <c r="H278" s="178"/>
      <c r="I278" s="178"/>
      <c r="J278" s="178"/>
    </row>
    <row r="279" spans="3:10">
      <c r="C279" s="178"/>
      <c r="D279" s="178"/>
      <c r="E279" s="178"/>
      <c r="F279" s="178"/>
      <c r="G279" s="178"/>
      <c r="H279" s="178"/>
      <c r="I279" s="178"/>
      <c r="J279" s="178"/>
    </row>
    <row r="280" spans="3:10">
      <c r="C280" s="178"/>
      <c r="D280" s="178"/>
      <c r="E280" s="178"/>
      <c r="F280" s="178"/>
      <c r="G280" s="178"/>
      <c r="H280" s="178"/>
      <c r="I280" s="178"/>
      <c r="J280" s="178"/>
    </row>
    <row r="281" spans="3:10">
      <c r="C281" s="178"/>
      <c r="D281" s="178"/>
      <c r="E281" s="178"/>
      <c r="F281" s="178"/>
      <c r="G281" s="178"/>
      <c r="H281" s="178"/>
      <c r="I281" s="178"/>
      <c r="J281" s="178"/>
    </row>
    <row r="282" spans="3:10">
      <c r="C282" s="178"/>
      <c r="D282" s="178"/>
      <c r="E282" s="178"/>
      <c r="F282" s="178"/>
      <c r="G282" s="178"/>
      <c r="H282" s="178"/>
      <c r="I282" s="178"/>
      <c r="J282" s="178"/>
    </row>
    <row r="283" spans="3:10">
      <c r="C283" s="178"/>
      <c r="D283" s="178"/>
      <c r="E283" s="178"/>
      <c r="F283" s="178"/>
      <c r="G283" s="178"/>
      <c r="H283" s="178"/>
      <c r="I283" s="178"/>
      <c r="J283" s="178"/>
    </row>
    <row r="284" spans="3:10">
      <c r="C284" s="178"/>
      <c r="D284" s="178"/>
      <c r="E284" s="178"/>
      <c r="F284" s="178"/>
      <c r="G284" s="178"/>
      <c r="H284" s="178"/>
      <c r="I284" s="178"/>
      <c r="J284" s="178"/>
    </row>
    <row r="285" spans="3:10">
      <c r="C285" s="178"/>
      <c r="D285" s="178"/>
      <c r="E285" s="178"/>
      <c r="F285" s="178"/>
      <c r="G285" s="178"/>
      <c r="H285" s="178"/>
      <c r="I285" s="178"/>
      <c r="J285" s="178"/>
    </row>
    <row r="286" spans="3:10">
      <c r="C286" s="178"/>
      <c r="D286" s="178"/>
      <c r="E286" s="178"/>
      <c r="F286" s="178"/>
      <c r="G286" s="178"/>
      <c r="H286" s="178"/>
      <c r="I286" s="178"/>
      <c r="J286" s="178"/>
    </row>
    <row r="287" spans="3:10">
      <c r="C287" s="178"/>
      <c r="D287" s="178"/>
      <c r="E287" s="178"/>
      <c r="F287" s="178"/>
      <c r="G287" s="178"/>
      <c r="H287" s="178"/>
      <c r="I287" s="178"/>
      <c r="J287" s="178"/>
    </row>
    <row r="288" spans="3:10">
      <c r="C288" s="178"/>
      <c r="D288" s="178"/>
      <c r="E288" s="178"/>
      <c r="F288" s="178"/>
      <c r="G288" s="178"/>
      <c r="H288" s="178"/>
      <c r="I288" s="178"/>
      <c r="J288" s="178"/>
    </row>
    <row r="289" spans="3:10">
      <c r="C289" s="178"/>
      <c r="D289" s="178"/>
      <c r="E289" s="178"/>
      <c r="F289" s="178"/>
      <c r="G289" s="178"/>
      <c r="H289" s="178"/>
      <c r="I289" s="178"/>
      <c r="J289" s="178"/>
    </row>
    <row r="290" spans="3:10">
      <c r="C290" s="178"/>
      <c r="D290" s="178"/>
      <c r="E290" s="178"/>
      <c r="F290" s="178"/>
      <c r="G290" s="178"/>
      <c r="H290" s="178"/>
      <c r="I290" s="178"/>
      <c r="J290" s="178"/>
    </row>
    <row r="291" spans="3:10">
      <c r="C291" s="178"/>
      <c r="D291" s="178"/>
      <c r="E291" s="178"/>
      <c r="F291" s="178"/>
      <c r="G291" s="178"/>
      <c r="H291" s="178"/>
      <c r="I291" s="178"/>
      <c r="J291" s="178"/>
    </row>
    <row r="292" spans="3:10">
      <c r="C292" s="178"/>
      <c r="D292" s="178"/>
      <c r="E292" s="178"/>
      <c r="F292" s="178"/>
      <c r="G292" s="178"/>
      <c r="H292" s="178"/>
      <c r="I292" s="178"/>
      <c r="J292" s="178"/>
    </row>
    <row r="293" spans="3:10">
      <c r="C293" s="178"/>
      <c r="D293" s="178"/>
      <c r="E293" s="178"/>
      <c r="F293" s="178"/>
      <c r="G293" s="178"/>
      <c r="H293" s="178"/>
      <c r="I293" s="178"/>
      <c r="J293" s="178"/>
    </row>
    <row r="294" spans="3:10">
      <c r="C294" s="178"/>
      <c r="D294" s="178"/>
      <c r="E294" s="178"/>
      <c r="F294" s="178"/>
      <c r="G294" s="178"/>
      <c r="H294" s="178"/>
      <c r="I294" s="178"/>
      <c r="J294" s="178"/>
    </row>
    <row r="295" spans="3:10">
      <c r="C295" s="178"/>
      <c r="D295" s="178"/>
      <c r="E295" s="178"/>
      <c r="F295" s="178"/>
      <c r="G295" s="178"/>
      <c r="H295" s="178"/>
      <c r="I295" s="178"/>
      <c r="J295" s="178"/>
    </row>
    <row r="296" spans="3:10">
      <c r="C296" s="178"/>
      <c r="D296" s="178"/>
      <c r="E296" s="178"/>
      <c r="F296" s="178"/>
      <c r="G296" s="178"/>
      <c r="H296" s="178"/>
      <c r="I296" s="178"/>
      <c r="J296" s="178"/>
    </row>
    <row r="297" spans="3:10">
      <c r="C297" s="178"/>
      <c r="D297" s="178"/>
      <c r="E297" s="178"/>
      <c r="F297" s="178"/>
      <c r="G297" s="178"/>
      <c r="H297" s="178"/>
      <c r="I297" s="178"/>
      <c r="J297" s="178"/>
    </row>
    <row r="298" spans="3:10">
      <c r="C298" s="178"/>
      <c r="D298" s="178"/>
      <c r="E298" s="178"/>
      <c r="F298" s="178"/>
      <c r="G298" s="178"/>
      <c r="H298" s="178"/>
      <c r="I298" s="178"/>
      <c r="J298" s="178"/>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32" orientation="landscape" horizontalDpi="300" verticalDpi="300" r:id="rId1"/>
  <headerFooter alignWithMargins="0"/>
  <rowBreaks count="1" manualBreakCount="1">
    <brk id="48" min="10"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rgb="FFFF3300"/>
    <pageSetUpPr fitToPage="1"/>
  </sheetPr>
  <dimension ref="A1:AT250"/>
  <sheetViews>
    <sheetView zoomScale="75" zoomScaleNormal="75" workbookViewId="0"/>
  </sheetViews>
  <sheetFormatPr defaultRowHeight="15"/>
  <cols>
    <col min="1" max="1" width="4.81640625" style="122" customWidth="1"/>
    <col min="2" max="2" width="4.90625" style="122" customWidth="1"/>
    <col min="3" max="3" width="1.1796875" style="122" customWidth="1"/>
    <col min="4" max="4" width="24.6328125" style="122" customWidth="1"/>
    <col min="5" max="5" width="8.81640625" style="122"/>
    <col min="6" max="6" width="13.81640625" style="122" customWidth="1"/>
    <col min="7" max="7" width="13.1796875" style="122" customWidth="1"/>
    <col min="8" max="8" width="12.81640625" style="122" customWidth="1"/>
    <col min="9" max="9" width="12.90625" style="122" customWidth="1"/>
    <col min="10" max="10" width="15.6328125" style="122" customWidth="1"/>
    <col min="11" max="11" width="12.54296875" style="122" customWidth="1"/>
    <col min="12" max="12" width="11.81640625" style="122" customWidth="1"/>
    <col min="13" max="13" width="15.453125" style="122" customWidth="1"/>
    <col min="14" max="14" width="12.6328125" style="122" customWidth="1"/>
    <col min="15" max="15" width="15.453125" style="122" customWidth="1"/>
    <col min="16" max="237" width="8.81640625" style="122"/>
    <col min="238" max="238" width="6" style="122" customWidth="1"/>
    <col min="239" max="239" width="1.453125" style="122" customWidth="1"/>
    <col min="240" max="240" width="39.08984375" style="122" customWidth="1"/>
    <col min="241" max="241" width="12" style="122" customWidth="1"/>
    <col min="242" max="242" width="14.453125" style="122" customWidth="1"/>
    <col min="243" max="243" width="11.90625" style="122" customWidth="1"/>
    <col min="244" max="244" width="14.08984375" style="122" customWidth="1"/>
    <col min="245" max="245" width="13.90625" style="122" customWidth="1"/>
    <col min="246" max="247" width="12.81640625" style="122" customWidth="1"/>
    <col min="248" max="248" width="13.54296875" style="122" customWidth="1"/>
    <col min="249" max="249" width="15.36328125" style="122" customWidth="1"/>
    <col min="250" max="250" width="12.81640625" style="122" customWidth="1"/>
    <col min="251" max="251" width="13.90625" style="122" customWidth="1"/>
    <col min="252" max="252" width="1.90625" style="122" customWidth="1"/>
    <col min="253" max="253" width="13" style="122" customWidth="1"/>
    <col min="254" max="493" width="8.81640625" style="122"/>
    <col min="494" max="494" width="6" style="122" customWidth="1"/>
    <col min="495" max="495" width="1.453125" style="122" customWidth="1"/>
    <col min="496" max="496" width="39.08984375" style="122" customWidth="1"/>
    <col min="497" max="497" width="12" style="122" customWidth="1"/>
    <col min="498" max="498" width="14.453125" style="122" customWidth="1"/>
    <col min="499" max="499" width="11.90625" style="122" customWidth="1"/>
    <col min="500" max="500" width="14.08984375" style="122" customWidth="1"/>
    <col min="501" max="501" width="13.90625" style="122" customWidth="1"/>
    <col min="502" max="503" width="12.81640625" style="122" customWidth="1"/>
    <col min="504" max="504" width="13.54296875" style="122" customWidth="1"/>
    <col min="505" max="505" width="15.36328125" style="122" customWidth="1"/>
    <col min="506" max="506" width="12.81640625" style="122" customWidth="1"/>
    <col min="507" max="507" width="13.90625" style="122" customWidth="1"/>
    <col min="508" max="508" width="1.90625" style="122" customWidth="1"/>
    <col min="509" max="509" width="13" style="122" customWidth="1"/>
    <col min="510" max="749" width="8.81640625" style="122"/>
    <col min="750" max="750" width="6" style="122" customWidth="1"/>
    <col min="751" max="751" width="1.453125" style="122" customWidth="1"/>
    <col min="752" max="752" width="39.08984375" style="122" customWidth="1"/>
    <col min="753" max="753" width="12" style="122" customWidth="1"/>
    <col min="754" max="754" width="14.453125" style="122" customWidth="1"/>
    <col min="755" max="755" width="11.90625" style="122" customWidth="1"/>
    <col min="756" max="756" width="14.08984375" style="122" customWidth="1"/>
    <col min="757" max="757" width="13.90625" style="122" customWidth="1"/>
    <col min="758" max="759" width="12.81640625" style="122" customWidth="1"/>
    <col min="760" max="760" width="13.54296875" style="122" customWidth="1"/>
    <col min="761" max="761" width="15.36328125" style="122" customWidth="1"/>
    <col min="762" max="762" width="12.81640625" style="122" customWidth="1"/>
    <col min="763" max="763" width="13.90625" style="122" customWidth="1"/>
    <col min="764" max="764" width="1.90625" style="122" customWidth="1"/>
    <col min="765" max="765" width="13" style="122" customWidth="1"/>
    <col min="766" max="1005" width="8.81640625" style="122"/>
    <col min="1006" max="1006" width="6" style="122" customWidth="1"/>
    <col min="1007" max="1007" width="1.453125" style="122" customWidth="1"/>
    <col min="1008" max="1008" width="39.08984375" style="122" customWidth="1"/>
    <col min="1009" max="1009" width="12" style="122" customWidth="1"/>
    <col min="1010" max="1010" width="14.453125" style="122" customWidth="1"/>
    <col min="1011" max="1011" width="11.90625" style="122" customWidth="1"/>
    <col min="1012" max="1012" width="14.08984375" style="122" customWidth="1"/>
    <col min="1013" max="1013" width="13.90625" style="122" customWidth="1"/>
    <col min="1014" max="1015" width="12.81640625" style="122" customWidth="1"/>
    <col min="1016" max="1016" width="13.54296875" style="122" customWidth="1"/>
    <col min="1017" max="1017" width="15.36328125" style="122" customWidth="1"/>
    <col min="1018" max="1018" width="12.81640625" style="122" customWidth="1"/>
    <col min="1019" max="1019" width="13.90625" style="122" customWidth="1"/>
    <col min="1020" max="1020" width="1.90625" style="122" customWidth="1"/>
    <col min="1021" max="1021" width="13" style="122" customWidth="1"/>
    <col min="1022" max="1261" width="8.81640625" style="122"/>
    <col min="1262" max="1262" width="6" style="122" customWidth="1"/>
    <col min="1263" max="1263" width="1.453125" style="122" customWidth="1"/>
    <col min="1264" max="1264" width="39.08984375" style="122" customWidth="1"/>
    <col min="1265" max="1265" width="12" style="122" customWidth="1"/>
    <col min="1266" max="1266" width="14.453125" style="122" customWidth="1"/>
    <col min="1267" max="1267" width="11.90625" style="122" customWidth="1"/>
    <col min="1268" max="1268" width="14.08984375" style="122" customWidth="1"/>
    <col min="1269" max="1269" width="13.90625" style="122" customWidth="1"/>
    <col min="1270" max="1271" width="12.81640625" style="122" customWidth="1"/>
    <col min="1272" max="1272" width="13.54296875" style="122" customWidth="1"/>
    <col min="1273" max="1273" width="15.36328125" style="122" customWidth="1"/>
    <col min="1274" max="1274" width="12.81640625" style="122" customWidth="1"/>
    <col min="1275" max="1275" width="13.90625" style="122" customWidth="1"/>
    <col min="1276" max="1276" width="1.90625" style="122" customWidth="1"/>
    <col min="1277" max="1277" width="13" style="122" customWidth="1"/>
    <col min="1278" max="1517" width="8.81640625" style="122"/>
    <col min="1518" max="1518" width="6" style="122" customWidth="1"/>
    <col min="1519" max="1519" width="1.453125" style="122" customWidth="1"/>
    <col min="1520" max="1520" width="39.08984375" style="122" customWidth="1"/>
    <col min="1521" max="1521" width="12" style="122" customWidth="1"/>
    <col min="1522" max="1522" width="14.453125" style="122" customWidth="1"/>
    <col min="1523" max="1523" width="11.90625" style="122" customWidth="1"/>
    <col min="1524" max="1524" width="14.08984375" style="122" customWidth="1"/>
    <col min="1525" max="1525" width="13.90625" style="122" customWidth="1"/>
    <col min="1526" max="1527" width="12.81640625" style="122" customWidth="1"/>
    <col min="1528" max="1528" width="13.54296875" style="122" customWidth="1"/>
    <col min="1529" max="1529" width="15.36328125" style="122" customWidth="1"/>
    <col min="1530" max="1530" width="12.81640625" style="122" customWidth="1"/>
    <col min="1531" max="1531" width="13.90625" style="122" customWidth="1"/>
    <col min="1532" max="1532" width="1.90625" style="122" customWidth="1"/>
    <col min="1533" max="1533" width="13" style="122" customWidth="1"/>
    <col min="1534" max="1773" width="8.81640625" style="122"/>
    <col min="1774" max="1774" width="6" style="122" customWidth="1"/>
    <col min="1775" max="1775" width="1.453125" style="122" customWidth="1"/>
    <col min="1776" max="1776" width="39.08984375" style="122" customWidth="1"/>
    <col min="1777" max="1777" width="12" style="122" customWidth="1"/>
    <col min="1778" max="1778" width="14.453125" style="122" customWidth="1"/>
    <col min="1779" max="1779" width="11.90625" style="122" customWidth="1"/>
    <col min="1780" max="1780" width="14.08984375" style="122" customWidth="1"/>
    <col min="1781" max="1781" width="13.90625" style="122" customWidth="1"/>
    <col min="1782" max="1783" width="12.81640625" style="122" customWidth="1"/>
    <col min="1784" max="1784" width="13.54296875" style="122" customWidth="1"/>
    <col min="1785" max="1785" width="15.36328125" style="122" customWidth="1"/>
    <col min="1786" max="1786" width="12.81640625" style="122" customWidth="1"/>
    <col min="1787" max="1787" width="13.90625" style="122" customWidth="1"/>
    <col min="1788" max="1788" width="1.90625" style="122" customWidth="1"/>
    <col min="1789" max="1789" width="13" style="122" customWidth="1"/>
    <col min="1790" max="2029" width="8.81640625" style="122"/>
    <col min="2030" max="2030" width="6" style="122" customWidth="1"/>
    <col min="2031" max="2031" width="1.453125" style="122" customWidth="1"/>
    <col min="2032" max="2032" width="39.08984375" style="122" customWidth="1"/>
    <col min="2033" max="2033" width="12" style="122" customWidth="1"/>
    <col min="2034" max="2034" width="14.453125" style="122" customWidth="1"/>
    <col min="2035" max="2035" width="11.90625" style="122" customWidth="1"/>
    <col min="2036" max="2036" width="14.08984375" style="122" customWidth="1"/>
    <col min="2037" max="2037" width="13.90625" style="122" customWidth="1"/>
    <col min="2038" max="2039" width="12.81640625" style="122" customWidth="1"/>
    <col min="2040" max="2040" width="13.54296875" style="122" customWidth="1"/>
    <col min="2041" max="2041" width="15.36328125" style="122" customWidth="1"/>
    <col min="2042" max="2042" width="12.81640625" style="122" customWidth="1"/>
    <col min="2043" max="2043" width="13.90625" style="122" customWidth="1"/>
    <col min="2044" max="2044" width="1.90625" style="122" customWidth="1"/>
    <col min="2045" max="2045" width="13" style="122" customWidth="1"/>
    <col min="2046" max="2285" width="8.81640625" style="122"/>
    <col min="2286" max="2286" width="6" style="122" customWidth="1"/>
    <col min="2287" max="2287" width="1.453125" style="122" customWidth="1"/>
    <col min="2288" max="2288" width="39.08984375" style="122" customWidth="1"/>
    <col min="2289" max="2289" width="12" style="122" customWidth="1"/>
    <col min="2290" max="2290" width="14.453125" style="122" customWidth="1"/>
    <col min="2291" max="2291" width="11.90625" style="122" customWidth="1"/>
    <col min="2292" max="2292" width="14.08984375" style="122" customWidth="1"/>
    <col min="2293" max="2293" width="13.90625" style="122" customWidth="1"/>
    <col min="2294" max="2295" width="12.81640625" style="122" customWidth="1"/>
    <col min="2296" max="2296" width="13.54296875" style="122" customWidth="1"/>
    <col min="2297" max="2297" width="15.36328125" style="122" customWidth="1"/>
    <col min="2298" max="2298" width="12.81640625" style="122" customWidth="1"/>
    <col min="2299" max="2299" width="13.90625" style="122" customWidth="1"/>
    <col min="2300" max="2300" width="1.90625" style="122" customWidth="1"/>
    <col min="2301" max="2301" width="13" style="122" customWidth="1"/>
    <col min="2302" max="2541" width="8.81640625" style="122"/>
    <col min="2542" max="2542" width="6" style="122" customWidth="1"/>
    <col min="2543" max="2543" width="1.453125" style="122" customWidth="1"/>
    <col min="2544" max="2544" width="39.08984375" style="122" customWidth="1"/>
    <col min="2545" max="2545" width="12" style="122" customWidth="1"/>
    <col min="2546" max="2546" width="14.453125" style="122" customWidth="1"/>
    <col min="2547" max="2547" width="11.90625" style="122" customWidth="1"/>
    <col min="2548" max="2548" width="14.08984375" style="122" customWidth="1"/>
    <col min="2549" max="2549" width="13.90625" style="122" customWidth="1"/>
    <col min="2550" max="2551" width="12.81640625" style="122" customWidth="1"/>
    <col min="2552" max="2552" width="13.54296875" style="122" customWidth="1"/>
    <col min="2553" max="2553" width="15.36328125" style="122" customWidth="1"/>
    <col min="2554" max="2554" width="12.81640625" style="122" customWidth="1"/>
    <col min="2555" max="2555" width="13.90625" style="122" customWidth="1"/>
    <col min="2556" max="2556" width="1.90625" style="122" customWidth="1"/>
    <col min="2557" max="2557" width="13" style="122" customWidth="1"/>
    <col min="2558" max="2797" width="8.81640625" style="122"/>
    <col min="2798" max="2798" width="6" style="122" customWidth="1"/>
    <col min="2799" max="2799" width="1.453125" style="122" customWidth="1"/>
    <col min="2800" max="2800" width="39.08984375" style="122" customWidth="1"/>
    <col min="2801" max="2801" width="12" style="122" customWidth="1"/>
    <col min="2802" max="2802" width="14.453125" style="122" customWidth="1"/>
    <col min="2803" max="2803" width="11.90625" style="122" customWidth="1"/>
    <col min="2804" max="2804" width="14.08984375" style="122" customWidth="1"/>
    <col min="2805" max="2805" width="13.90625" style="122" customWidth="1"/>
    <col min="2806" max="2807" width="12.81640625" style="122" customWidth="1"/>
    <col min="2808" max="2808" width="13.54296875" style="122" customWidth="1"/>
    <col min="2809" max="2809" width="15.36328125" style="122" customWidth="1"/>
    <col min="2810" max="2810" width="12.81640625" style="122" customWidth="1"/>
    <col min="2811" max="2811" width="13.90625" style="122" customWidth="1"/>
    <col min="2812" max="2812" width="1.90625" style="122" customWidth="1"/>
    <col min="2813" max="2813" width="13" style="122" customWidth="1"/>
    <col min="2814" max="3053" width="8.81640625" style="122"/>
    <col min="3054" max="3054" width="6" style="122" customWidth="1"/>
    <col min="3055" max="3055" width="1.453125" style="122" customWidth="1"/>
    <col min="3056" max="3056" width="39.08984375" style="122" customWidth="1"/>
    <col min="3057" max="3057" width="12" style="122" customWidth="1"/>
    <col min="3058" max="3058" width="14.453125" style="122" customWidth="1"/>
    <col min="3059" max="3059" width="11.90625" style="122" customWidth="1"/>
    <col min="3060" max="3060" width="14.08984375" style="122" customWidth="1"/>
    <col min="3061" max="3061" width="13.90625" style="122" customWidth="1"/>
    <col min="3062" max="3063" width="12.81640625" style="122" customWidth="1"/>
    <col min="3064" max="3064" width="13.54296875" style="122" customWidth="1"/>
    <col min="3065" max="3065" width="15.36328125" style="122" customWidth="1"/>
    <col min="3066" max="3066" width="12.81640625" style="122" customWidth="1"/>
    <col min="3067" max="3067" width="13.90625" style="122" customWidth="1"/>
    <col min="3068" max="3068" width="1.90625" style="122" customWidth="1"/>
    <col min="3069" max="3069" width="13" style="122" customWidth="1"/>
    <col min="3070" max="3309" width="8.81640625" style="122"/>
    <col min="3310" max="3310" width="6" style="122" customWidth="1"/>
    <col min="3311" max="3311" width="1.453125" style="122" customWidth="1"/>
    <col min="3312" max="3312" width="39.08984375" style="122" customWidth="1"/>
    <col min="3313" max="3313" width="12" style="122" customWidth="1"/>
    <col min="3314" max="3314" width="14.453125" style="122" customWidth="1"/>
    <col min="3315" max="3315" width="11.90625" style="122" customWidth="1"/>
    <col min="3316" max="3316" width="14.08984375" style="122" customWidth="1"/>
    <col min="3317" max="3317" width="13.90625" style="122" customWidth="1"/>
    <col min="3318" max="3319" width="12.81640625" style="122" customWidth="1"/>
    <col min="3320" max="3320" width="13.54296875" style="122" customWidth="1"/>
    <col min="3321" max="3321" width="15.36328125" style="122" customWidth="1"/>
    <col min="3322" max="3322" width="12.81640625" style="122" customWidth="1"/>
    <col min="3323" max="3323" width="13.90625" style="122" customWidth="1"/>
    <col min="3324" max="3324" width="1.90625" style="122" customWidth="1"/>
    <col min="3325" max="3325" width="13" style="122" customWidth="1"/>
    <col min="3326" max="3565" width="8.81640625" style="122"/>
    <col min="3566" max="3566" width="6" style="122" customWidth="1"/>
    <col min="3567" max="3567" width="1.453125" style="122" customWidth="1"/>
    <col min="3568" max="3568" width="39.08984375" style="122" customWidth="1"/>
    <col min="3569" max="3569" width="12" style="122" customWidth="1"/>
    <col min="3570" max="3570" width="14.453125" style="122" customWidth="1"/>
    <col min="3571" max="3571" width="11.90625" style="122" customWidth="1"/>
    <col min="3572" max="3572" width="14.08984375" style="122" customWidth="1"/>
    <col min="3573" max="3573" width="13.90625" style="122" customWidth="1"/>
    <col min="3574" max="3575" width="12.81640625" style="122" customWidth="1"/>
    <col min="3576" max="3576" width="13.54296875" style="122" customWidth="1"/>
    <col min="3577" max="3577" width="15.36328125" style="122" customWidth="1"/>
    <col min="3578" max="3578" width="12.81640625" style="122" customWidth="1"/>
    <col min="3579" max="3579" width="13.90625" style="122" customWidth="1"/>
    <col min="3580" max="3580" width="1.90625" style="122" customWidth="1"/>
    <col min="3581" max="3581" width="13" style="122" customWidth="1"/>
    <col min="3582" max="3821" width="8.81640625" style="122"/>
    <col min="3822" max="3822" width="6" style="122" customWidth="1"/>
    <col min="3823" max="3823" width="1.453125" style="122" customWidth="1"/>
    <col min="3824" max="3824" width="39.08984375" style="122" customWidth="1"/>
    <col min="3825" max="3825" width="12" style="122" customWidth="1"/>
    <col min="3826" max="3826" width="14.453125" style="122" customWidth="1"/>
    <col min="3827" max="3827" width="11.90625" style="122" customWidth="1"/>
    <col min="3828" max="3828" width="14.08984375" style="122" customWidth="1"/>
    <col min="3829" max="3829" width="13.90625" style="122" customWidth="1"/>
    <col min="3830" max="3831" width="12.81640625" style="122" customWidth="1"/>
    <col min="3832" max="3832" width="13.54296875" style="122" customWidth="1"/>
    <col min="3833" max="3833" width="15.36328125" style="122" customWidth="1"/>
    <col min="3834" max="3834" width="12.81640625" style="122" customWidth="1"/>
    <col min="3835" max="3835" width="13.90625" style="122" customWidth="1"/>
    <col min="3836" max="3836" width="1.90625" style="122" customWidth="1"/>
    <col min="3837" max="3837" width="13" style="122" customWidth="1"/>
    <col min="3838" max="4077" width="8.81640625" style="122"/>
    <col min="4078" max="4078" width="6" style="122" customWidth="1"/>
    <col min="4079" max="4079" width="1.453125" style="122" customWidth="1"/>
    <col min="4080" max="4080" width="39.08984375" style="122" customWidth="1"/>
    <col min="4081" max="4081" width="12" style="122" customWidth="1"/>
    <col min="4082" max="4082" width="14.453125" style="122" customWidth="1"/>
    <col min="4083" max="4083" width="11.90625" style="122" customWidth="1"/>
    <col min="4084" max="4084" width="14.08984375" style="122" customWidth="1"/>
    <col min="4085" max="4085" width="13.90625" style="122" customWidth="1"/>
    <col min="4086" max="4087" width="12.81640625" style="122" customWidth="1"/>
    <col min="4088" max="4088" width="13.54296875" style="122" customWidth="1"/>
    <col min="4089" max="4089" width="15.36328125" style="122" customWidth="1"/>
    <col min="4090" max="4090" width="12.81640625" style="122" customWidth="1"/>
    <col min="4091" max="4091" width="13.90625" style="122" customWidth="1"/>
    <col min="4092" max="4092" width="1.90625" style="122" customWidth="1"/>
    <col min="4093" max="4093" width="13" style="122" customWidth="1"/>
    <col min="4094" max="4333" width="8.81640625" style="122"/>
    <col min="4334" max="4334" width="6" style="122" customWidth="1"/>
    <col min="4335" max="4335" width="1.453125" style="122" customWidth="1"/>
    <col min="4336" max="4336" width="39.08984375" style="122" customWidth="1"/>
    <col min="4337" max="4337" width="12" style="122" customWidth="1"/>
    <col min="4338" max="4338" width="14.453125" style="122" customWidth="1"/>
    <col min="4339" max="4339" width="11.90625" style="122" customWidth="1"/>
    <col min="4340" max="4340" width="14.08984375" style="122" customWidth="1"/>
    <col min="4341" max="4341" width="13.90625" style="122" customWidth="1"/>
    <col min="4342" max="4343" width="12.81640625" style="122" customWidth="1"/>
    <col min="4344" max="4344" width="13.54296875" style="122" customWidth="1"/>
    <col min="4345" max="4345" width="15.36328125" style="122" customWidth="1"/>
    <col min="4346" max="4346" width="12.81640625" style="122" customWidth="1"/>
    <col min="4347" max="4347" width="13.90625" style="122" customWidth="1"/>
    <col min="4348" max="4348" width="1.90625" style="122" customWidth="1"/>
    <col min="4349" max="4349" width="13" style="122" customWidth="1"/>
    <col min="4350" max="4589" width="8.81640625" style="122"/>
    <col min="4590" max="4590" width="6" style="122" customWidth="1"/>
    <col min="4591" max="4591" width="1.453125" style="122" customWidth="1"/>
    <col min="4592" max="4592" width="39.08984375" style="122" customWidth="1"/>
    <col min="4593" max="4593" width="12" style="122" customWidth="1"/>
    <col min="4594" max="4594" width="14.453125" style="122" customWidth="1"/>
    <col min="4595" max="4595" width="11.90625" style="122" customWidth="1"/>
    <col min="4596" max="4596" width="14.08984375" style="122" customWidth="1"/>
    <col min="4597" max="4597" width="13.90625" style="122" customWidth="1"/>
    <col min="4598" max="4599" width="12.81640625" style="122" customWidth="1"/>
    <col min="4600" max="4600" width="13.54296875" style="122" customWidth="1"/>
    <col min="4601" max="4601" width="15.36328125" style="122" customWidth="1"/>
    <col min="4602" max="4602" width="12.81640625" style="122" customWidth="1"/>
    <col min="4603" max="4603" width="13.90625" style="122" customWidth="1"/>
    <col min="4604" max="4604" width="1.90625" style="122" customWidth="1"/>
    <col min="4605" max="4605" width="13" style="122" customWidth="1"/>
    <col min="4606" max="4845" width="8.81640625" style="122"/>
    <col min="4846" max="4846" width="6" style="122" customWidth="1"/>
    <col min="4847" max="4847" width="1.453125" style="122" customWidth="1"/>
    <col min="4848" max="4848" width="39.08984375" style="122" customWidth="1"/>
    <col min="4849" max="4849" width="12" style="122" customWidth="1"/>
    <col min="4850" max="4850" width="14.453125" style="122" customWidth="1"/>
    <col min="4851" max="4851" width="11.90625" style="122" customWidth="1"/>
    <col min="4852" max="4852" width="14.08984375" style="122" customWidth="1"/>
    <col min="4853" max="4853" width="13.90625" style="122" customWidth="1"/>
    <col min="4854" max="4855" width="12.81640625" style="122" customWidth="1"/>
    <col min="4856" max="4856" width="13.54296875" style="122" customWidth="1"/>
    <col min="4857" max="4857" width="15.36328125" style="122" customWidth="1"/>
    <col min="4858" max="4858" width="12.81640625" style="122" customWidth="1"/>
    <col min="4859" max="4859" width="13.90625" style="122" customWidth="1"/>
    <col min="4860" max="4860" width="1.90625" style="122" customWidth="1"/>
    <col min="4861" max="4861" width="13" style="122" customWidth="1"/>
    <col min="4862" max="5101" width="8.81640625" style="122"/>
    <col min="5102" max="5102" width="6" style="122" customWidth="1"/>
    <col min="5103" max="5103" width="1.453125" style="122" customWidth="1"/>
    <col min="5104" max="5104" width="39.08984375" style="122" customWidth="1"/>
    <col min="5105" max="5105" width="12" style="122" customWidth="1"/>
    <col min="5106" max="5106" width="14.453125" style="122" customWidth="1"/>
    <col min="5107" max="5107" width="11.90625" style="122" customWidth="1"/>
    <col min="5108" max="5108" width="14.08984375" style="122" customWidth="1"/>
    <col min="5109" max="5109" width="13.90625" style="122" customWidth="1"/>
    <col min="5110" max="5111" width="12.81640625" style="122" customWidth="1"/>
    <col min="5112" max="5112" width="13.54296875" style="122" customWidth="1"/>
    <col min="5113" max="5113" width="15.36328125" style="122" customWidth="1"/>
    <col min="5114" max="5114" width="12.81640625" style="122" customWidth="1"/>
    <col min="5115" max="5115" width="13.90625" style="122" customWidth="1"/>
    <col min="5116" max="5116" width="1.90625" style="122" customWidth="1"/>
    <col min="5117" max="5117" width="13" style="122" customWidth="1"/>
    <col min="5118" max="5357" width="8.81640625" style="122"/>
    <col min="5358" max="5358" width="6" style="122" customWidth="1"/>
    <col min="5359" max="5359" width="1.453125" style="122" customWidth="1"/>
    <col min="5360" max="5360" width="39.08984375" style="122" customWidth="1"/>
    <col min="5361" max="5361" width="12" style="122" customWidth="1"/>
    <col min="5362" max="5362" width="14.453125" style="122" customWidth="1"/>
    <col min="5363" max="5363" width="11.90625" style="122" customWidth="1"/>
    <col min="5364" max="5364" width="14.08984375" style="122" customWidth="1"/>
    <col min="5365" max="5365" width="13.90625" style="122" customWidth="1"/>
    <col min="5366" max="5367" width="12.81640625" style="122" customWidth="1"/>
    <col min="5368" max="5368" width="13.54296875" style="122" customWidth="1"/>
    <col min="5369" max="5369" width="15.36328125" style="122" customWidth="1"/>
    <col min="5370" max="5370" width="12.81640625" style="122" customWidth="1"/>
    <col min="5371" max="5371" width="13.90625" style="122" customWidth="1"/>
    <col min="5372" max="5372" width="1.90625" style="122" customWidth="1"/>
    <col min="5373" max="5373" width="13" style="122" customWidth="1"/>
    <col min="5374" max="5613" width="8.81640625" style="122"/>
    <col min="5614" max="5614" width="6" style="122" customWidth="1"/>
    <col min="5615" max="5615" width="1.453125" style="122" customWidth="1"/>
    <col min="5616" max="5616" width="39.08984375" style="122" customWidth="1"/>
    <col min="5617" max="5617" width="12" style="122" customWidth="1"/>
    <col min="5618" max="5618" width="14.453125" style="122" customWidth="1"/>
    <col min="5619" max="5619" width="11.90625" style="122" customWidth="1"/>
    <col min="5620" max="5620" width="14.08984375" style="122" customWidth="1"/>
    <col min="5621" max="5621" width="13.90625" style="122" customWidth="1"/>
    <col min="5622" max="5623" width="12.81640625" style="122" customWidth="1"/>
    <col min="5624" max="5624" width="13.54296875" style="122" customWidth="1"/>
    <col min="5625" max="5625" width="15.36328125" style="122" customWidth="1"/>
    <col min="5626" max="5626" width="12.81640625" style="122" customWidth="1"/>
    <col min="5627" max="5627" width="13.90625" style="122" customWidth="1"/>
    <col min="5628" max="5628" width="1.90625" style="122" customWidth="1"/>
    <col min="5629" max="5629" width="13" style="122" customWidth="1"/>
    <col min="5630" max="5869" width="8.81640625" style="122"/>
    <col min="5870" max="5870" width="6" style="122" customWidth="1"/>
    <col min="5871" max="5871" width="1.453125" style="122" customWidth="1"/>
    <col min="5872" max="5872" width="39.08984375" style="122" customWidth="1"/>
    <col min="5873" max="5873" width="12" style="122" customWidth="1"/>
    <col min="5874" max="5874" width="14.453125" style="122" customWidth="1"/>
    <col min="5875" max="5875" width="11.90625" style="122" customWidth="1"/>
    <col min="5876" max="5876" width="14.08984375" style="122" customWidth="1"/>
    <col min="5877" max="5877" width="13.90625" style="122" customWidth="1"/>
    <col min="5878" max="5879" width="12.81640625" style="122" customWidth="1"/>
    <col min="5880" max="5880" width="13.54296875" style="122" customWidth="1"/>
    <col min="5881" max="5881" width="15.36328125" style="122" customWidth="1"/>
    <col min="5882" max="5882" width="12.81640625" style="122" customWidth="1"/>
    <col min="5883" max="5883" width="13.90625" style="122" customWidth="1"/>
    <col min="5884" max="5884" width="1.90625" style="122" customWidth="1"/>
    <col min="5885" max="5885" width="13" style="122" customWidth="1"/>
    <col min="5886" max="6125" width="8.81640625" style="122"/>
    <col min="6126" max="6126" width="6" style="122" customWidth="1"/>
    <col min="6127" max="6127" width="1.453125" style="122" customWidth="1"/>
    <col min="6128" max="6128" width="39.08984375" style="122" customWidth="1"/>
    <col min="6129" max="6129" width="12" style="122" customWidth="1"/>
    <col min="6130" max="6130" width="14.453125" style="122" customWidth="1"/>
    <col min="6131" max="6131" width="11.90625" style="122" customWidth="1"/>
    <col min="6132" max="6132" width="14.08984375" style="122" customWidth="1"/>
    <col min="6133" max="6133" width="13.90625" style="122" customWidth="1"/>
    <col min="6134" max="6135" width="12.81640625" style="122" customWidth="1"/>
    <col min="6136" max="6136" width="13.54296875" style="122" customWidth="1"/>
    <col min="6137" max="6137" width="15.36328125" style="122" customWidth="1"/>
    <col min="6138" max="6138" width="12.81640625" style="122" customWidth="1"/>
    <col min="6139" max="6139" width="13.90625" style="122" customWidth="1"/>
    <col min="6140" max="6140" width="1.90625" style="122" customWidth="1"/>
    <col min="6141" max="6141" width="13" style="122" customWidth="1"/>
    <col min="6142" max="6381" width="8.81640625" style="122"/>
    <col min="6382" max="6382" width="6" style="122" customWidth="1"/>
    <col min="6383" max="6383" width="1.453125" style="122" customWidth="1"/>
    <col min="6384" max="6384" width="39.08984375" style="122" customWidth="1"/>
    <col min="6385" max="6385" width="12" style="122" customWidth="1"/>
    <col min="6386" max="6386" width="14.453125" style="122" customWidth="1"/>
    <col min="6387" max="6387" width="11.90625" style="122" customWidth="1"/>
    <col min="6388" max="6388" width="14.08984375" style="122" customWidth="1"/>
    <col min="6389" max="6389" width="13.90625" style="122" customWidth="1"/>
    <col min="6390" max="6391" width="12.81640625" style="122" customWidth="1"/>
    <col min="6392" max="6392" width="13.54296875" style="122" customWidth="1"/>
    <col min="6393" max="6393" width="15.36328125" style="122" customWidth="1"/>
    <col min="6394" max="6394" width="12.81640625" style="122" customWidth="1"/>
    <col min="6395" max="6395" width="13.90625" style="122" customWidth="1"/>
    <col min="6396" max="6396" width="1.90625" style="122" customWidth="1"/>
    <col min="6397" max="6397" width="13" style="122" customWidth="1"/>
    <col min="6398" max="6637" width="8.81640625" style="122"/>
    <col min="6638" max="6638" width="6" style="122" customWidth="1"/>
    <col min="6639" max="6639" width="1.453125" style="122" customWidth="1"/>
    <col min="6640" max="6640" width="39.08984375" style="122" customWidth="1"/>
    <col min="6641" max="6641" width="12" style="122" customWidth="1"/>
    <col min="6642" max="6642" width="14.453125" style="122" customWidth="1"/>
    <col min="6643" max="6643" width="11.90625" style="122" customWidth="1"/>
    <col min="6644" max="6644" width="14.08984375" style="122" customWidth="1"/>
    <col min="6645" max="6645" width="13.90625" style="122" customWidth="1"/>
    <col min="6646" max="6647" width="12.81640625" style="122" customWidth="1"/>
    <col min="6648" max="6648" width="13.54296875" style="122" customWidth="1"/>
    <col min="6649" max="6649" width="15.36328125" style="122" customWidth="1"/>
    <col min="6650" max="6650" width="12.81640625" style="122" customWidth="1"/>
    <col min="6651" max="6651" width="13.90625" style="122" customWidth="1"/>
    <col min="6652" max="6652" width="1.90625" style="122" customWidth="1"/>
    <col min="6653" max="6653" width="13" style="122" customWidth="1"/>
    <col min="6654" max="6893" width="8.81640625" style="122"/>
    <col min="6894" max="6894" width="6" style="122" customWidth="1"/>
    <col min="6895" max="6895" width="1.453125" style="122" customWidth="1"/>
    <col min="6896" max="6896" width="39.08984375" style="122" customWidth="1"/>
    <col min="6897" max="6897" width="12" style="122" customWidth="1"/>
    <col min="6898" max="6898" width="14.453125" style="122" customWidth="1"/>
    <col min="6899" max="6899" width="11.90625" style="122" customWidth="1"/>
    <col min="6900" max="6900" width="14.08984375" style="122" customWidth="1"/>
    <col min="6901" max="6901" width="13.90625" style="122" customWidth="1"/>
    <col min="6902" max="6903" width="12.81640625" style="122" customWidth="1"/>
    <col min="6904" max="6904" width="13.54296875" style="122" customWidth="1"/>
    <col min="6905" max="6905" width="15.36328125" style="122" customWidth="1"/>
    <col min="6906" max="6906" width="12.81640625" style="122" customWidth="1"/>
    <col min="6907" max="6907" width="13.90625" style="122" customWidth="1"/>
    <col min="6908" max="6908" width="1.90625" style="122" customWidth="1"/>
    <col min="6909" max="6909" width="13" style="122" customWidth="1"/>
    <col min="6910" max="7149" width="8.81640625" style="122"/>
    <col min="7150" max="7150" width="6" style="122" customWidth="1"/>
    <col min="7151" max="7151" width="1.453125" style="122" customWidth="1"/>
    <col min="7152" max="7152" width="39.08984375" style="122" customWidth="1"/>
    <col min="7153" max="7153" width="12" style="122" customWidth="1"/>
    <col min="7154" max="7154" width="14.453125" style="122" customWidth="1"/>
    <col min="7155" max="7155" width="11.90625" style="122" customWidth="1"/>
    <col min="7156" max="7156" width="14.08984375" style="122" customWidth="1"/>
    <col min="7157" max="7157" width="13.90625" style="122" customWidth="1"/>
    <col min="7158" max="7159" width="12.81640625" style="122" customWidth="1"/>
    <col min="7160" max="7160" width="13.54296875" style="122" customWidth="1"/>
    <col min="7161" max="7161" width="15.36328125" style="122" customWidth="1"/>
    <col min="7162" max="7162" width="12.81640625" style="122" customWidth="1"/>
    <col min="7163" max="7163" width="13.90625" style="122" customWidth="1"/>
    <col min="7164" max="7164" width="1.90625" style="122" customWidth="1"/>
    <col min="7165" max="7165" width="13" style="122" customWidth="1"/>
    <col min="7166" max="7405" width="8.81640625" style="122"/>
    <col min="7406" max="7406" width="6" style="122" customWidth="1"/>
    <col min="7407" max="7407" width="1.453125" style="122" customWidth="1"/>
    <col min="7408" max="7408" width="39.08984375" style="122" customWidth="1"/>
    <col min="7409" max="7409" width="12" style="122" customWidth="1"/>
    <col min="7410" max="7410" width="14.453125" style="122" customWidth="1"/>
    <col min="7411" max="7411" width="11.90625" style="122" customWidth="1"/>
    <col min="7412" max="7412" width="14.08984375" style="122" customWidth="1"/>
    <col min="7413" max="7413" width="13.90625" style="122" customWidth="1"/>
    <col min="7414" max="7415" width="12.81640625" style="122" customWidth="1"/>
    <col min="7416" max="7416" width="13.54296875" style="122" customWidth="1"/>
    <col min="7417" max="7417" width="15.36328125" style="122" customWidth="1"/>
    <col min="7418" max="7418" width="12.81640625" style="122" customWidth="1"/>
    <col min="7419" max="7419" width="13.90625" style="122" customWidth="1"/>
    <col min="7420" max="7420" width="1.90625" style="122" customWidth="1"/>
    <col min="7421" max="7421" width="13" style="122" customWidth="1"/>
    <col min="7422" max="7661" width="8.81640625" style="122"/>
    <col min="7662" max="7662" width="6" style="122" customWidth="1"/>
    <col min="7663" max="7663" width="1.453125" style="122" customWidth="1"/>
    <col min="7664" max="7664" width="39.08984375" style="122" customWidth="1"/>
    <col min="7665" max="7665" width="12" style="122" customWidth="1"/>
    <col min="7666" max="7666" width="14.453125" style="122" customWidth="1"/>
    <col min="7667" max="7667" width="11.90625" style="122" customWidth="1"/>
    <col min="7668" max="7668" width="14.08984375" style="122" customWidth="1"/>
    <col min="7669" max="7669" width="13.90625" style="122" customWidth="1"/>
    <col min="7670" max="7671" width="12.81640625" style="122" customWidth="1"/>
    <col min="7672" max="7672" width="13.54296875" style="122" customWidth="1"/>
    <col min="7673" max="7673" width="15.36328125" style="122" customWidth="1"/>
    <col min="7674" max="7674" width="12.81640625" style="122" customWidth="1"/>
    <col min="7675" max="7675" width="13.90625" style="122" customWidth="1"/>
    <col min="7676" max="7676" width="1.90625" style="122" customWidth="1"/>
    <col min="7677" max="7677" width="13" style="122" customWidth="1"/>
    <col min="7678" max="7917" width="8.81640625" style="122"/>
    <col min="7918" max="7918" width="6" style="122" customWidth="1"/>
    <col min="7919" max="7919" width="1.453125" style="122" customWidth="1"/>
    <col min="7920" max="7920" width="39.08984375" style="122" customWidth="1"/>
    <col min="7921" max="7921" width="12" style="122" customWidth="1"/>
    <col min="7922" max="7922" width="14.453125" style="122" customWidth="1"/>
    <col min="7923" max="7923" width="11.90625" style="122" customWidth="1"/>
    <col min="7924" max="7924" width="14.08984375" style="122" customWidth="1"/>
    <col min="7925" max="7925" width="13.90625" style="122" customWidth="1"/>
    <col min="7926" max="7927" width="12.81640625" style="122" customWidth="1"/>
    <col min="7928" max="7928" width="13.54296875" style="122" customWidth="1"/>
    <col min="7929" max="7929" width="15.36328125" style="122" customWidth="1"/>
    <col min="7930" max="7930" width="12.81640625" style="122" customWidth="1"/>
    <col min="7931" max="7931" width="13.90625" style="122" customWidth="1"/>
    <col min="7932" max="7932" width="1.90625" style="122" customWidth="1"/>
    <col min="7933" max="7933" width="13" style="122" customWidth="1"/>
    <col min="7934" max="8173" width="8.81640625" style="122"/>
    <col min="8174" max="8174" width="6" style="122" customWidth="1"/>
    <col min="8175" max="8175" width="1.453125" style="122" customWidth="1"/>
    <col min="8176" max="8176" width="39.08984375" style="122" customWidth="1"/>
    <col min="8177" max="8177" width="12" style="122" customWidth="1"/>
    <col min="8178" max="8178" width="14.453125" style="122" customWidth="1"/>
    <col min="8179" max="8179" width="11.90625" style="122" customWidth="1"/>
    <col min="8180" max="8180" width="14.08984375" style="122" customWidth="1"/>
    <col min="8181" max="8181" width="13.90625" style="122" customWidth="1"/>
    <col min="8182" max="8183" width="12.81640625" style="122" customWidth="1"/>
    <col min="8184" max="8184" width="13.54296875" style="122" customWidth="1"/>
    <col min="8185" max="8185" width="15.36328125" style="122" customWidth="1"/>
    <col min="8186" max="8186" width="12.81640625" style="122" customWidth="1"/>
    <col min="8187" max="8187" width="13.90625" style="122" customWidth="1"/>
    <col min="8188" max="8188" width="1.90625" style="122" customWidth="1"/>
    <col min="8189" max="8189" width="13" style="122" customWidth="1"/>
    <col min="8190" max="8429" width="8.81640625" style="122"/>
    <col min="8430" max="8430" width="6" style="122" customWidth="1"/>
    <col min="8431" max="8431" width="1.453125" style="122" customWidth="1"/>
    <col min="8432" max="8432" width="39.08984375" style="122" customWidth="1"/>
    <col min="8433" max="8433" width="12" style="122" customWidth="1"/>
    <col min="8434" max="8434" width="14.453125" style="122" customWidth="1"/>
    <col min="8435" max="8435" width="11.90625" style="122" customWidth="1"/>
    <col min="8436" max="8436" width="14.08984375" style="122" customWidth="1"/>
    <col min="8437" max="8437" width="13.90625" style="122" customWidth="1"/>
    <col min="8438" max="8439" width="12.81640625" style="122" customWidth="1"/>
    <col min="8440" max="8440" width="13.54296875" style="122" customWidth="1"/>
    <col min="8441" max="8441" width="15.36328125" style="122" customWidth="1"/>
    <col min="8442" max="8442" width="12.81640625" style="122" customWidth="1"/>
    <col min="8443" max="8443" width="13.90625" style="122" customWidth="1"/>
    <col min="8444" max="8444" width="1.90625" style="122" customWidth="1"/>
    <col min="8445" max="8445" width="13" style="122" customWidth="1"/>
    <col min="8446" max="8685" width="8.81640625" style="122"/>
    <col min="8686" max="8686" width="6" style="122" customWidth="1"/>
    <col min="8687" max="8687" width="1.453125" style="122" customWidth="1"/>
    <col min="8688" max="8688" width="39.08984375" style="122" customWidth="1"/>
    <col min="8689" max="8689" width="12" style="122" customWidth="1"/>
    <col min="8690" max="8690" width="14.453125" style="122" customWidth="1"/>
    <col min="8691" max="8691" width="11.90625" style="122" customWidth="1"/>
    <col min="8692" max="8692" width="14.08984375" style="122" customWidth="1"/>
    <col min="8693" max="8693" width="13.90625" style="122" customWidth="1"/>
    <col min="8694" max="8695" width="12.81640625" style="122" customWidth="1"/>
    <col min="8696" max="8696" width="13.54296875" style="122" customWidth="1"/>
    <col min="8697" max="8697" width="15.36328125" style="122" customWidth="1"/>
    <col min="8698" max="8698" width="12.81640625" style="122" customWidth="1"/>
    <col min="8699" max="8699" width="13.90625" style="122" customWidth="1"/>
    <col min="8700" max="8700" width="1.90625" style="122" customWidth="1"/>
    <col min="8701" max="8701" width="13" style="122" customWidth="1"/>
    <col min="8702" max="8941" width="8.81640625" style="122"/>
    <col min="8942" max="8942" width="6" style="122" customWidth="1"/>
    <col min="8943" max="8943" width="1.453125" style="122" customWidth="1"/>
    <col min="8944" max="8944" width="39.08984375" style="122" customWidth="1"/>
    <col min="8945" max="8945" width="12" style="122" customWidth="1"/>
    <col min="8946" max="8946" width="14.453125" style="122" customWidth="1"/>
    <col min="8947" max="8947" width="11.90625" style="122" customWidth="1"/>
    <col min="8948" max="8948" width="14.08984375" style="122" customWidth="1"/>
    <col min="8949" max="8949" width="13.90625" style="122" customWidth="1"/>
    <col min="8950" max="8951" width="12.81640625" style="122" customWidth="1"/>
    <col min="8952" max="8952" width="13.54296875" style="122" customWidth="1"/>
    <col min="8953" max="8953" width="15.36328125" style="122" customWidth="1"/>
    <col min="8954" max="8954" width="12.81640625" style="122" customWidth="1"/>
    <col min="8955" max="8955" width="13.90625" style="122" customWidth="1"/>
    <col min="8956" max="8956" width="1.90625" style="122" customWidth="1"/>
    <col min="8957" max="8957" width="13" style="122" customWidth="1"/>
    <col min="8958" max="9197" width="8.81640625" style="122"/>
    <col min="9198" max="9198" width="6" style="122" customWidth="1"/>
    <col min="9199" max="9199" width="1.453125" style="122" customWidth="1"/>
    <col min="9200" max="9200" width="39.08984375" style="122" customWidth="1"/>
    <col min="9201" max="9201" width="12" style="122" customWidth="1"/>
    <col min="9202" max="9202" width="14.453125" style="122" customWidth="1"/>
    <col min="9203" max="9203" width="11.90625" style="122" customWidth="1"/>
    <col min="9204" max="9204" width="14.08984375" style="122" customWidth="1"/>
    <col min="9205" max="9205" width="13.90625" style="122" customWidth="1"/>
    <col min="9206" max="9207" width="12.81640625" style="122" customWidth="1"/>
    <col min="9208" max="9208" width="13.54296875" style="122" customWidth="1"/>
    <col min="9209" max="9209" width="15.36328125" style="122" customWidth="1"/>
    <col min="9210" max="9210" width="12.81640625" style="122" customWidth="1"/>
    <col min="9211" max="9211" width="13.90625" style="122" customWidth="1"/>
    <col min="9212" max="9212" width="1.90625" style="122" customWidth="1"/>
    <col min="9213" max="9213" width="13" style="122" customWidth="1"/>
    <col min="9214" max="9453" width="8.81640625" style="122"/>
    <col min="9454" max="9454" width="6" style="122" customWidth="1"/>
    <col min="9455" max="9455" width="1.453125" style="122" customWidth="1"/>
    <col min="9456" max="9456" width="39.08984375" style="122" customWidth="1"/>
    <col min="9457" max="9457" width="12" style="122" customWidth="1"/>
    <col min="9458" max="9458" width="14.453125" style="122" customWidth="1"/>
    <col min="9459" max="9459" width="11.90625" style="122" customWidth="1"/>
    <col min="9460" max="9460" width="14.08984375" style="122" customWidth="1"/>
    <col min="9461" max="9461" width="13.90625" style="122" customWidth="1"/>
    <col min="9462" max="9463" width="12.81640625" style="122" customWidth="1"/>
    <col min="9464" max="9464" width="13.54296875" style="122" customWidth="1"/>
    <col min="9465" max="9465" width="15.36328125" style="122" customWidth="1"/>
    <col min="9466" max="9466" width="12.81640625" style="122" customWidth="1"/>
    <col min="9467" max="9467" width="13.90625" style="122" customWidth="1"/>
    <col min="9468" max="9468" width="1.90625" style="122" customWidth="1"/>
    <col min="9469" max="9469" width="13" style="122" customWidth="1"/>
    <col min="9470" max="9709" width="8.81640625" style="122"/>
    <col min="9710" max="9710" width="6" style="122" customWidth="1"/>
    <col min="9711" max="9711" width="1.453125" style="122" customWidth="1"/>
    <col min="9712" max="9712" width="39.08984375" style="122" customWidth="1"/>
    <col min="9713" max="9713" width="12" style="122" customWidth="1"/>
    <col min="9714" max="9714" width="14.453125" style="122" customWidth="1"/>
    <col min="9715" max="9715" width="11.90625" style="122" customWidth="1"/>
    <col min="9716" max="9716" width="14.08984375" style="122" customWidth="1"/>
    <col min="9717" max="9717" width="13.90625" style="122" customWidth="1"/>
    <col min="9718" max="9719" width="12.81640625" style="122" customWidth="1"/>
    <col min="9720" max="9720" width="13.54296875" style="122" customWidth="1"/>
    <col min="9721" max="9721" width="15.36328125" style="122" customWidth="1"/>
    <col min="9722" max="9722" width="12.81640625" style="122" customWidth="1"/>
    <col min="9723" max="9723" width="13.90625" style="122" customWidth="1"/>
    <col min="9724" max="9724" width="1.90625" style="122" customWidth="1"/>
    <col min="9725" max="9725" width="13" style="122" customWidth="1"/>
    <col min="9726" max="9965" width="8.81640625" style="122"/>
    <col min="9966" max="9966" width="6" style="122" customWidth="1"/>
    <col min="9967" max="9967" width="1.453125" style="122" customWidth="1"/>
    <col min="9968" max="9968" width="39.08984375" style="122" customWidth="1"/>
    <col min="9969" max="9969" width="12" style="122" customWidth="1"/>
    <col min="9970" max="9970" width="14.453125" style="122" customWidth="1"/>
    <col min="9971" max="9971" width="11.90625" style="122" customWidth="1"/>
    <col min="9972" max="9972" width="14.08984375" style="122" customWidth="1"/>
    <col min="9973" max="9973" width="13.90625" style="122" customWidth="1"/>
    <col min="9974" max="9975" width="12.81640625" style="122" customWidth="1"/>
    <col min="9976" max="9976" width="13.54296875" style="122" customWidth="1"/>
    <col min="9977" max="9977" width="15.36328125" style="122" customWidth="1"/>
    <col min="9978" max="9978" width="12.81640625" style="122" customWidth="1"/>
    <col min="9979" max="9979" width="13.90625" style="122" customWidth="1"/>
    <col min="9980" max="9980" width="1.90625" style="122" customWidth="1"/>
    <col min="9981" max="9981" width="13" style="122" customWidth="1"/>
    <col min="9982" max="10221" width="8.81640625" style="122"/>
    <col min="10222" max="10222" width="6" style="122" customWidth="1"/>
    <col min="10223" max="10223" width="1.453125" style="122" customWidth="1"/>
    <col min="10224" max="10224" width="39.08984375" style="122" customWidth="1"/>
    <col min="10225" max="10225" width="12" style="122" customWidth="1"/>
    <col min="10226" max="10226" width="14.453125" style="122" customWidth="1"/>
    <col min="10227" max="10227" width="11.90625" style="122" customWidth="1"/>
    <col min="10228" max="10228" width="14.08984375" style="122" customWidth="1"/>
    <col min="10229" max="10229" width="13.90625" style="122" customWidth="1"/>
    <col min="10230" max="10231" width="12.81640625" style="122" customWidth="1"/>
    <col min="10232" max="10232" width="13.54296875" style="122" customWidth="1"/>
    <col min="10233" max="10233" width="15.36328125" style="122" customWidth="1"/>
    <col min="10234" max="10234" width="12.81640625" style="122" customWidth="1"/>
    <col min="10235" max="10235" width="13.90625" style="122" customWidth="1"/>
    <col min="10236" max="10236" width="1.90625" style="122" customWidth="1"/>
    <col min="10237" max="10237" width="13" style="122" customWidth="1"/>
    <col min="10238" max="10477" width="8.81640625" style="122"/>
    <col min="10478" max="10478" width="6" style="122" customWidth="1"/>
    <col min="10479" max="10479" width="1.453125" style="122" customWidth="1"/>
    <col min="10480" max="10480" width="39.08984375" style="122" customWidth="1"/>
    <col min="10481" max="10481" width="12" style="122" customWidth="1"/>
    <col min="10482" max="10482" width="14.453125" style="122" customWidth="1"/>
    <col min="10483" max="10483" width="11.90625" style="122" customWidth="1"/>
    <col min="10484" max="10484" width="14.08984375" style="122" customWidth="1"/>
    <col min="10485" max="10485" width="13.90625" style="122" customWidth="1"/>
    <col min="10486" max="10487" width="12.81640625" style="122" customWidth="1"/>
    <col min="10488" max="10488" width="13.54296875" style="122" customWidth="1"/>
    <col min="10489" max="10489" width="15.36328125" style="122" customWidth="1"/>
    <col min="10490" max="10490" width="12.81640625" style="122" customWidth="1"/>
    <col min="10491" max="10491" width="13.90625" style="122" customWidth="1"/>
    <col min="10492" max="10492" width="1.90625" style="122" customWidth="1"/>
    <col min="10493" max="10493" width="13" style="122" customWidth="1"/>
    <col min="10494" max="10733" width="8.81640625" style="122"/>
    <col min="10734" max="10734" width="6" style="122" customWidth="1"/>
    <col min="10735" max="10735" width="1.453125" style="122" customWidth="1"/>
    <col min="10736" max="10736" width="39.08984375" style="122" customWidth="1"/>
    <col min="10737" max="10737" width="12" style="122" customWidth="1"/>
    <col min="10738" max="10738" width="14.453125" style="122" customWidth="1"/>
    <col min="10739" max="10739" width="11.90625" style="122" customWidth="1"/>
    <col min="10740" max="10740" width="14.08984375" style="122" customWidth="1"/>
    <col min="10741" max="10741" width="13.90625" style="122" customWidth="1"/>
    <col min="10742" max="10743" width="12.81640625" style="122" customWidth="1"/>
    <col min="10744" max="10744" width="13.54296875" style="122" customWidth="1"/>
    <col min="10745" max="10745" width="15.36328125" style="122" customWidth="1"/>
    <col min="10746" max="10746" width="12.81640625" style="122" customWidth="1"/>
    <col min="10747" max="10747" width="13.90625" style="122" customWidth="1"/>
    <col min="10748" max="10748" width="1.90625" style="122" customWidth="1"/>
    <col min="10749" max="10749" width="13" style="122" customWidth="1"/>
    <col min="10750" max="10989" width="8.81640625" style="122"/>
    <col min="10990" max="10990" width="6" style="122" customWidth="1"/>
    <col min="10991" max="10991" width="1.453125" style="122" customWidth="1"/>
    <col min="10992" max="10992" width="39.08984375" style="122" customWidth="1"/>
    <col min="10993" max="10993" width="12" style="122" customWidth="1"/>
    <col min="10994" max="10994" width="14.453125" style="122" customWidth="1"/>
    <col min="10995" max="10995" width="11.90625" style="122" customWidth="1"/>
    <col min="10996" max="10996" width="14.08984375" style="122" customWidth="1"/>
    <col min="10997" max="10997" width="13.90625" style="122" customWidth="1"/>
    <col min="10998" max="10999" width="12.81640625" style="122" customWidth="1"/>
    <col min="11000" max="11000" width="13.54296875" style="122" customWidth="1"/>
    <col min="11001" max="11001" width="15.36328125" style="122" customWidth="1"/>
    <col min="11002" max="11002" width="12.81640625" style="122" customWidth="1"/>
    <col min="11003" max="11003" width="13.90625" style="122" customWidth="1"/>
    <col min="11004" max="11004" width="1.90625" style="122" customWidth="1"/>
    <col min="11005" max="11005" width="13" style="122" customWidth="1"/>
    <col min="11006" max="11245" width="8.81640625" style="122"/>
    <col min="11246" max="11246" width="6" style="122" customWidth="1"/>
    <col min="11247" max="11247" width="1.453125" style="122" customWidth="1"/>
    <col min="11248" max="11248" width="39.08984375" style="122" customWidth="1"/>
    <col min="11249" max="11249" width="12" style="122" customWidth="1"/>
    <col min="11250" max="11250" width="14.453125" style="122" customWidth="1"/>
    <col min="11251" max="11251" width="11.90625" style="122" customWidth="1"/>
    <col min="11252" max="11252" width="14.08984375" style="122" customWidth="1"/>
    <col min="11253" max="11253" width="13.90625" style="122" customWidth="1"/>
    <col min="11254" max="11255" width="12.81640625" style="122" customWidth="1"/>
    <col min="11256" max="11256" width="13.54296875" style="122" customWidth="1"/>
    <col min="11257" max="11257" width="15.36328125" style="122" customWidth="1"/>
    <col min="11258" max="11258" width="12.81640625" style="122" customWidth="1"/>
    <col min="11259" max="11259" width="13.90625" style="122" customWidth="1"/>
    <col min="11260" max="11260" width="1.90625" style="122" customWidth="1"/>
    <col min="11261" max="11261" width="13" style="122" customWidth="1"/>
    <col min="11262" max="11501" width="8.81640625" style="122"/>
    <col min="11502" max="11502" width="6" style="122" customWidth="1"/>
    <col min="11503" max="11503" width="1.453125" style="122" customWidth="1"/>
    <col min="11504" max="11504" width="39.08984375" style="122" customWidth="1"/>
    <col min="11505" max="11505" width="12" style="122" customWidth="1"/>
    <col min="11506" max="11506" width="14.453125" style="122" customWidth="1"/>
    <col min="11507" max="11507" width="11.90625" style="122" customWidth="1"/>
    <col min="11508" max="11508" width="14.08984375" style="122" customWidth="1"/>
    <col min="11509" max="11509" width="13.90625" style="122" customWidth="1"/>
    <col min="11510" max="11511" width="12.81640625" style="122" customWidth="1"/>
    <col min="11512" max="11512" width="13.54296875" style="122" customWidth="1"/>
    <col min="11513" max="11513" width="15.36328125" style="122" customWidth="1"/>
    <col min="11514" max="11514" width="12.81640625" style="122" customWidth="1"/>
    <col min="11515" max="11515" width="13.90625" style="122" customWidth="1"/>
    <col min="11516" max="11516" width="1.90625" style="122" customWidth="1"/>
    <col min="11517" max="11517" width="13" style="122" customWidth="1"/>
    <col min="11518" max="11757" width="8.81640625" style="122"/>
    <col min="11758" max="11758" width="6" style="122" customWidth="1"/>
    <col min="11759" max="11759" width="1.453125" style="122" customWidth="1"/>
    <col min="11760" max="11760" width="39.08984375" style="122" customWidth="1"/>
    <col min="11761" max="11761" width="12" style="122" customWidth="1"/>
    <col min="11762" max="11762" width="14.453125" style="122" customWidth="1"/>
    <col min="11763" max="11763" width="11.90625" style="122" customWidth="1"/>
    <col min="11764" max="11764" width="14.08984375" style="122" customWidth="1"/>
    <col min="11765" max="11765" width="13.90625" style="122" customWidth="1"/>
    <col min="11766" max="11767" width="12.81640625" style="122" customWidth="1"/>
    <col min="11768" max="11768" width="13.54296875" style="122" customWidth="1"/>
    <col min="11769" max="11769" width="15.36328125" style="122" customWidth="1"/>
    <col min="11770" max="11770" width="12.81640625" style="122" customWidth="1"/>
    <col min="11771" max="11771" width="13.90625" style="122" customWidth="1"/>
    <col min="11772" max="11772" width="1.90625" style="122" customWidth="1"/>
    <col min="11773" max="11773" width="13" style="122" customWidth="1"/>
    <col min="11774" max="12013" width="8.81640625" style="122"/>
    <col min="12014" max="12014" width="6" style="122" customWidth="1"/>
    <col min="12015" max="12015" width="1.453125" style="122" customWidth="1"/>
    <col min="12016" max="12016" width="39.08984375" style="122" customWidth="1"/>
    <col min="12017" max="12017" width="12" style="122" customWidth="1"/>
    <col min="12018" max="12018" width="14.453125" style="122" customWidth="1"/>
    <col min="12019" max="12019" width="11.90625" style="122" customWidth="1"/>
    <col min="12020" max="12020" width="14.08984375" style="122" customWidth="1"/>
    <col min="12021" max="12021" width="13.90625" style="122" customWidth="1"/>
    <col min="12022" max="12023" width="12.81640625" style="122" customWidth="1"/>
    <col min="12024" max="12024" width="13.54296875" style="122" customWidth="1"/>
    <col min="12025" max="12025" width="15.36328125" style="122" customWidth="1"/>
    <col min="12026" max="12026" width="12.81640625" style="122" customWidth="1"/>
    <col min="12027" max="12027" width="13.90625" style="122" customWidth="1"/>
    <col min="12028" max="12028" width="1.90625" style="122" customWidth="1"/>
    <col min="12029" max="12029" width="13" style="122" customWidth="1"/>
    <col min="12030" max="12269" width="8.81640625" style="122"/>
    <col min="12270" max="12270" width="6" style="122" customWidth="1"/>
    <col min="12271" max="12271" width="1.453125" style="122" customWidth="1"/>
    <col min="12272" max="12272" width="39.08984375" style="122" customWidth="1"/>
    <col min="12273" max="12273" width="12" style="122" customWidth="1"/>
    <col min="12274" max="12274" width="14.453125" style="122" customWidth="1"/>
    <col min="12275" max="12275" width="11.90625" style="122" customWidth="1"/>
    <col min="12276" max="12276" width="14.08984375" style="122" customWidth="1"/>
    <col min="12277" max="12277" width="13.90625" style="122" customWidth="1"/>
    <col min="12278" max="12279" width="12.81640625" style="122" customWidth="1"/>
    <col min="12280" max="12280" width="13.54296875" style="122" customWidth="1"/>
    <col min="12281" max="12281" width="15.36328125" style="122" customWidth="1"/>
    <col min="12282" max="12282" width="12.81640625" style="122" customWidth="1"/>
    <col min="12283" max="12283" width="13.90625" style="122" customWidth="1"/>
    <col min="12284" max="12284" width="1.90625" style="122" customWidth="1"/>
    <col min="12285" max="12285" width="13" style="122" customWidth="1"/>
    <col min="12286" max="12525" width="8.81640625" style="122"/>
    <col min="12526" max="12526" width="6" style="122" customWidth="1"/>
    <col min="12527" max="12527" width="1.453125" style="122" customWidth="1"/>
    <col min="12528" max="12528" width="39.08984375" style="122" customWidth="1"/>
    <col min="12529" max="12529" width="12" style="122" customWidth="1"/>
    <col min="12530" max="12530" width="14.453125" style="122" customWidth="1"/>
    <col min="12531" max="12531" width="11.90625" style="122" customWidth="1"/>
    <col min="12532" max="12532" width="14.08984375" style="122" customWidth="1"/>
    <col min="12533" max="12533" width="13.90625" style="122" customWidth="1"/>
    <col min="12534" max="12535" width="12.81640625" style="122" customWidth="1"/>
    <col min="12536" max="12536" width="13.54296875" style="122" customWidth="1"/>
    <col min="12537" max="12537" width="15.36328125" style="122" customWidth="1"/>
    <col min="12538" max="12538" width="12.81640625" style="122" customWidth="1"/>
    <col min="12539" max="12539" width="13.90625" style="122" customWidth="1"/>
    <col min="12540" max="12540" width="1.90625" style="122" customWidth="1"/>
    <col min="12541" max="12541" width="13" style="122" customWidth="1"/>
    <col min="12542" max="12781" width="8.81640625" style="122"/>
    <col min="12782" max="12782" width="6" style="122" customWidth="1"/>
    <col min="12783" max="12783" width="1.453125" style="122" customWidth="1"/>
    <col min="12784" max="12784" width="39.08984375" style="122" customWidth="1"/>
    <col min="12785" max="12785" width="12" style="122" customWidth="1"/>
    <col min="12786" max="12786" width="14.453125" style="122" customWidth="1"/>
    <col min="12787" max="12787" width="11.90625" style="122" customWidth="1"/>
    <col min="12788" max="12788" width="14.08984375" style="122" customWidth="1"/>
    <col min="12789" max="12789" width="13.90625" style="122" customWidth="1"/>
    <col min="12790" max="12791" width="12.81640625" style="122" customWidth="1"/>
    <col min="12792" max="12792" width="13.54296875" style="122" customWidth="1"/>
    <col min="12793" max="12793" width="15.36328125" style="122" customWidth="1"/>
    <col min="12794" max="12794" width="12.81640625" style="122" customWidth="1"/>
    <col min="12795" max="12795" width="13.90625" style="122" customWidth="1"/>
    <col min="12796" max="12796" width="1.90625" style="122" customWidth="1"/>
    <col min="12797" max="12797" width="13" style="122" customWidth="1"/>
    <col min="12798" max="13037" width="8.81640625" style="122"/>
    <col min="13038" max="13038" width="6" style="122" customWidth="1"/>
    <col min="13039" max="13039" width="1.453125" style="122" customWidth="1"/>
    <col min="13040" max="13040" width="39.08984375" style="122" customWidth="1"/>
    <col min="13041" max="13041" width="12" style="122" customWidth="1"/>
    <col min="13042" max="13042" width="14.453125" style="122" customWidth="1"/>
    <col min="13043" max="13043" width="11.90625" style="122" customWidth="1"/>
    <col min="13044" max="13044" width="14.08984375" style="122" customWidth="1"/>
    <col min="13045" max="13045" width="13.90625" style="122" customWidth="1"/>
    <col min="13046" max="13047" width="12.81640625" style="122" customWidth="1"/>
    <col min="13048" max="13048" width="13.54296875" style="122" customWidth="1"/>
    <col min="13049" max="13049" width="15.36328125" style="122" customWidth="1"/>
    <col min="13050" max="13050" width="12.81640625" style="122" customWidth="1"/>
    <col min="13051" max="13051" width="13.90625" style="122" customWidth="1"/>
    <col min="13052" max="13052" width="1.90625" style="122" customWidth="1"/>
    <col min="13053" max="13053" width="13" style="122" customWidth="1"/>
    <col min="13054" max="13293" width="8.81640625" style="122"/>
    <col min="13294" max="13294" width="6" style="122" customWidth="1"/>
    <col min="13295" max="13295" width="1.453125" style="122" customWidth="1"/>
    <col min="13296" max="13296" width="39.08984375" style="122" customWidth="1"/>
    <col min="13297" max="13297" width="12" style="122" customWidth="1"/>
    <col min="13298" max="13298" width="14.453125" style="122" customWidth="1"/>
    <col min="13299" max="13299" width="11.90625" style="122" customWidth="1"/>
    <col min="13300" max="13300" width="14.08984375" style="122" customWidth="1"/>
    <col min="13301" max="13301" width="13.90625" style="122" customWidth="1"/>
    <col min="13302" max="13303" width="12.81640625" style="122" customWidth="1"/>
    <col min="13304" max="13304" width="13.54296875" style="122" customWidth="1"/>
    <col min="13305" max="13305" width="15.36328125" style="122" customWidth="1"/>
    <col min="13306" max="13306" width="12.81640625" style="122" customWidth="1"/>
    <col min="13307" max="13307" width="13.90625" style="122" customWidth="1"/>
    <col min="13308" max="13308" width="1.90625" style="122" customWidth="1"/>
    <col min="13309" max="13309" width="13" style="122" customWidth="1"/>
    <col min="13310" max="13549" width="8.81640625" style="122"/>
    <col min="13550" max="13550" width="6" style="122" customWidth="1"/>
    <col min="13551" max="13551" width="1.453125" style="122" customWidth="1"/>
    <col min="13552" max="13552" width="39.08984375" style="122" customWidth="1"/>
    <col min="13553" max="13553" width="12" style="122" customWidth="1"/>
    <col min="13554" max="13554" width="14.453125" style="122" customWidth="1"/>
    <col min="13555" max="13555" width="11.90625" style="122" customWidth="1"/>
    <col min="13556" max="13556" width="14.08984375" style="122" customWidth="1"/>
    <col min="13557" max="13557" width="13.90625" style="122" customWidth="1"/>
    <col min="13558" max="13559" width="12.81640625" style="122" customWidth="1"/>
    <col min="13560" max="13560" width="13.54296875" style="122" customWidth="1"/>
    <col min="13561" max="13561" width="15.36328125" style="122" customWidth="1"/>
    <col min="13562" max="13562" width="12.81640625" style="122" customWidth="1"/>
    <col min="13563" max="13563" width="13.90625" style="122" customWidth="1"/>
    <col min="13564" max="13564" width="1.90625" style="122" customWidth="1"/>
    <col min="13565" max="13565" width="13" style="122" customWidth="1"/>
    <col min="13566" max="13805" width="8.81640625" style="122"/>
    <col min="13806" max="13806" width="6" style="122" customWidth="1"/>
    <col min="13807" max="13807" width="1.453125" style="122" customWidth="1"/>
    <col min="13808" max="13808" width="39.08984375" style="122" customWidth="1"/>
    <col min="13809" max="13809" width="12" style="122" customWidth="1"/>
    <col min="13810" max="13810" width="14.453125" style="122" customWidth="1"/>
    <col min="13811" max="13811" width="11.90625" style="122" customWidth="1"/>
    <col min="13812" max="13812" width="14.08984375" style="122" customWidth="1"/>
    <col min="13813" max="13813" width="13.90625" style="122" customWidth="1"/>
    <col min="13814" max="13815" width="12.81640625" style="122" customWidth="1"/>
    <col min="13816" max="13816" width="13.54296875" style="122" customWidth="1"/>
    <col min="13817" max="13817" width="15.36328125" style="122" customWidth="1"/>
    <col min="13818" max="13818" width="12.81640625" style="122" customWidth="1"/>
    <col min="13819" max="13819" width="13.90625" style="122" customWidth="1"/>
    <col min="13820" max="13820" width="1.90625" style="122" customWidth="1"/>
    <col min="13821" max="13821" width="13" style="122" customWidth="1"/>
    <col min="13822" max="14061" width="8.81640625" style="122"/>
    <col min="14062" max="14062" width="6" style="122" customWidth="1"/>
    <col min="14063" max="14063" width="1.453125" style="122" customWidth="1"/>
    <col min="14064" max="14064" width="39.08984375" style="122" customWidth="1"/>
    <col min="14065" max="14065" width="12" style="122" customWidth="1"/>
    <col min="14066" max="14066" width="14.453125" style="122" customWidth="1"/>
    <col min="14067" max="14067" width="11.90625" style="122" customWidth="1"/>
    <col min="14068" max="14068" width="14.08984375" style="122" customWidth="1"/>
    <col min="14069" max="14069" width="13.90625" style="122" customWidth="1"/>
    <col min="14070" max="14071" width="12.81640625" style="122" customWidth="1"/>
    <col min="14072" max="14072" width="13.54296875" style="122" customWidth="1"/>
    <col min="14073" max="14073" width="15.36328125" style="122" customWidth="1"/>
    <col min="14074" max="14074" width="12.81640625" style="122" customWidth="1"/>
    <col min="14075" max="14075" width="13.90625" style="122" customWidth="1"/>
    <col min="14076" max="14076" width="1.90625" style="122" customWidth="1"/>
    <col min="14077" max="14077" width="13" style="122" customWidth="1"/>
    <col min="14078" max="14317" width="8.81640625" style="122"/>
    <col min="14318" max="14318" width="6" style="122" customWidth="1"/>
    <col min="14319" max="14319" width="1.453125" style="122" customWidth="1"/>
    <col min="14320" max="14320" width="39.08984375" style="122" customWidth="1"/>
    <col min="14321" max="14321" width="12" style="122" customWidth="1"/>
    <col min="14322" max="14322" width="14.453125" style="122" customWidth="1"/>
    <col min="14323" max="14323" width="11.90625" style="122" customWidth="1"/>
    <col min="14324" max="14324" width="14.08984375" style="122" customWidth="1"/>
    <col min="14325" max="14325" width="13.90625" style="122" customWidth="1"/>
    <col min="14326" max="14327" width="12.81640625" style="122" customWidth="1"/>
    <col min="14328" max="14328" width="13.54296875" style="122" customWidth="1"/>
    <col min="14329" max="14329" width="15.36328125" style="122" customWidth="1"/>
    <col min="14330" max="14330" width="12.81640625" style="122" customWidth="1"/>
    <col min="14331" max="14331" width="13.90625" style="122" customWidth="1"/>
    <col min="14332" max="14332" width="1.90625" style="122" customWidth="1"/>
    <col min="14333" max="14333" width="13" style="122" customWidth="1"/>
    <col min="14334" max="14573" width="8.81640625" style="122"/>
    <col min="14574" max="14574" width="6" style="122" customWidth="1"/>
    <col min="14575" max="14575" width="1.453125" style="122" customWidth="1"/>
    <col min="14576" max="14576" width="39.08984375" style="122" customWidth="1"/>
    <col min="14577" max="14577" width="12" style="122" customWidth="1"/>
    <col min="14578" max="14578" width="14.453125" style="122" customWidth="1"/>
    <col min="14579" max="14579" width="11.90625" style="122" customWidth="1"/>
    <col min="14580" max="14580" width="14.08984375" style="122" customWidth="1"/>
    <col min="14581" max="14581" width="13.90625" style="122" customWidth="1"/>
    <col min="14582" max="14583" width="12.81640625" style="122" customWidth="1"/>
    <col min="14584" max="14584" width="13.54296875" style="122" customWidth="1"/>
    <col min="14585" max="14585" width="15.36328125" style="122" customWidth="1"/>
    <col min="14586" max="14586" width="12.81640625" style="122" customWidth="1"/>
    <col min="14587" max="14587" width="13.90625" style="122" customWidth="1"/>
    <col min="14588" max="14588" width="1.90625" style="122" customWidth="1"/>
    <col min="14589" max="14589" width="13" style="122" customWidth="1"/>
    <col min="14590" max="14829" width="8.81640625" style="122"/>
    <col min="14830" max="14830" width="6" style="122" customWidth="1"/>
    <col min="14831" max="14831" width="1.453125" style="122" customWidth="1"/>
    <col min="14832" max="14832" width="39.08984375" style="122" customWidth="1"/>
    <col min="14833" max="14833" width="12" style="122" customWidth="1"/>
    <col min="14834" max="14834" width="14.453125" style="122" customWidth="1"/>
    <col min="14835" max="14835" width="11.90625" style="122" customWidth="1"/>
    <col min="14836" max="14836" width="14.08984375" style="122" customWidth="1"/>
    <col min="14837" max="14837" width="13.90625" style="122" customWidth="1"/>
    <col min="14838" max="14839" width="12.81640625" style="122" customWidth="1"/>
    <col min="14840" max="14840" width="13.54296875" style="122" customWidth="1"/>
    <col min="14841" max="14841" width="15.36328125" style="122" customWidth="1"/>
    <col min="14842" max="14842" width="12.81640625" style="122" customWidth="1"/>
    <col min="14843" max="14843" width="13.90625" style="122" customWidth="1"/>
    <col min="14844" max="14844" width="1.90625" style="122" customWidth="1"/>
    <col min="14845" max="14845" width="13" style="122" customWidth="1"/>
    <col min="14846" max="15085" width="8.81640625" style="122"/>
    <col min="15086" max="15086" width="6" style="122" customWidth="1"/>
    <col min="15087" max="15087" width="1.453125" style="122" customWidth="1"/>
    <col min="15088" max="15088" width="39.08984375" style="122" customWidth="1"/>
    <col min="15089" max="15089" width="12" style="122" customWidth="1"/>
    <col min="15090" max="15090" width="14.453125" style="122" customWidth="1"/>
    <col min="15091" max="15091" width="11.90625" style="122" customWidth="1"/>
    <col min="15092" max="15092" width="14.08984375" style="122" customWidth="1"/>
    <col min="15093" max="15093" width="13.90625" style="122" customWidth="1"/>
    <col min="15094" max="15095" width="12.81640625" style="122" customWidth="1"/>
    <col min="15096" max="15096" width="13.54296875" style="122" customWidth="1"/>
    <col min="15097" max="15097" width="15.36328125" style="122" customWidth="1"/>
    <col min="15098" max="15098" width="12.81640625" style="122" customWidth="1"/>
    <col min="15099" max="15099" width="13.90625" style="122" customWidth="1"/>
    <col min="15100" max="15100" width="1.90625" style="122" customWidth="1"/>
    <col min="15101" max="15101" width="13" style="122" customWidth="1"/>
    <col min="15102" max="15341" width="8.81640625" style="122"/>
    <col min="15342" max="15342" width="6" style="122" customWidth="1"/>
    <col min="15343" max="15343" width="1.453125" style="122" customWidth="1"/>
    <col min="15344" max="15344" width="39.08984375" style="122" customWidth="1"/>
    <col min="15345" max="15345" width="12" style="122" customWidth="1"/>
    <col min="15346" max="15346" width="14.453125" style="122" customWidth="1"/>
    <col min="15347" max="15347" width="11.90625" style="122" customWidth="1"/>
    <col min="15348" max="15348" width="14.08984375" style="122" customWidth="1"/>
    <col min="15349" max="15349" width="13.90625" style="122" customWidth="1"/>
    <col min="15350" max="15351" width="12.81640625" style="122" customWidth="1"/>
    <col min="15352" max="15352" width="13.54296875" style="122" customWidth="1"/>
    <col min="15353" max="15353" width="15.36328125" style="122" customWidth="1"/>
    <col min="15354" max="15354" width="12.81640625" style="122" customWidth="1"/>
    <col min="15355" max="15355" width="13.90625" style="122" customWidth="1"/>
    <col min="15356" max="15356" width="1.90625" style="122" customWidth="1"/>
    <col min="15357" max="15357" width="13" style="122" customWidth="1"/>
    <col min="15358" max="15597" width="8.81640625" style="122"/>
    <col min="15598" max="15598" width="6" style="122" customWidth="1"/>
    <col min="15599" max="15599" width="1.453125" style="122" customWidth="1"/>
    <col min="15600" max="15600" width="39.08984375" style="122" customWidth="1"/>
    <col min="15601" max="15601" width="12" style="122" customWidth="1"/>
    <col min="15602" max="15602" width="14.453125" style="122" customWidth="1"/>
    <col min="15603" max="15603" width="11.90625" style="122" customWidth="1"/>
    <col min="15604" max="15604" width="14.08984375" style="122" customWidth="1"/>
    <col min="15605" max="15605" width="13.90625" style="122" customWidth="1"/>
    <col min="15606" max="15607" width="12.81640625" style="122" customWidth="1"/>
    <col min="15608" max="15608" width="13.54296875" style="122" customWidth="1"/>
    <col min="15609" max="15609" width="15.36328125" style="122" customWidth="1"/>
    <col min="15610" max="15610" width="12.81640625" style="122" customWidth="1"/>
    <col min="15611" max="15611" width="13.90625" style="122" customWidth="1"/>
    <col min="15612" max="15612" width="1.90625" style="122" customWidth="1"/>
    <col min="15613" max="15613" width="13" style="122" customWidth="1"/>
    <col min="15614" max="15853" width="8.81640625" style="122"/>
    <col min="15854" max="15854" width="6" style="122" customWidth="1"/>
    <col min="15855" max="15855" width="1.453125" style="122" customWidth="1"/>
    <col min="15856" max="15856" width="39.08984375" style="122" customWidth="1"/>
    <col min="15857" max="15857" width="12" style="122" customWidth="1"/>
    <col min="15858" max="15858" width="14.453125" style="122" customWidth="1"/>
    <col min="15859" max="15859" width="11.90625" style="122" customWidth="1"/>
    <col min="15860" max="15860" width="14.08984375" style="122" customWidth="1"/>
    <col min="15861" max="15861" width="13.90625" style="122" customWidth="1"/>
    <col min="15862" max="15863" width="12.81640625" style="122" customWidth="1"/>
    <col min="15864" max="15864" width="13.54296875" style="122" customWidth="1"/>
    <col min="15865" max="15865" width="15.36328125" style="122" customWidth="1"/>
    <col min="15866" max="15866" width="12.81640625" style="122" customWidth="1"/>
    <col min="15867" max="15867" width="13.90625" style="122" customWidth="1"/>
    <col min="15868" max="15868" width="1.90625" style="122" customWidth="1"/>
    <col min="15869" max="15869" width="13" style="122" customWidth="1"/>
    <col min="15870" max="16109" width="8.81640625" style="122"/>
    <col min="16110" max="16110" width="6" style="122" customWidth="1"/>
    <col min="16111" max="16111" width="1.453125" style="122" customWidth="1"/>
    <col min="16112" max="16112" width="39.08984375" style="122" customWidth="1"/>
    <col min="16113" max="16113" width="12" style="122" customWidth="1"/>
    <col min="16114" max="16114" width="14.453125" style="122" customWidth="1"/>
    <col min="16115" max="16115" width="11.90625" style="122" customWidth="1"/>
    <col min="16116" max="16116" width="14.08984375" style="122" customWidth="1"/>
    <col min="16117" max="16117" width="13.90625" style="122" customWidth="1"/>
    <col min="16118" max="16119" width="12.81640625" style="122" customWidth="1"/>
    <col min="16120" max="16120" width="13.54296875" style="122" customWidth="1"/>
    <col min="16121" max="16121" width="15.36328125" style="122" customWidth="1"/>
    <col min="16122" max="16122" width="12.81640625" style="122" customWidth="1"/>
    <col min="16123" max="16123" width="13.90625" style="122" customWidth="1"/>
    <col min="16124" max="16124" width="1.90625" style="122" customWidth="1"/>
    <col min="16125" max="16125" width="13" style="122" customWidth="1"/>
    <col min="16126" max="16365" width="8.81640625" style="122"/>
    <col min="16366" max="16384" width="8.81640625" style="122" customWidth="1"/>
  </cols>
  <sheetData>
    <row r="1" spans="2:46">
      <c r="O1" s="373" t="s">
        <v>306</v>
      </c>
    </row>
    <row r="2" spans="2:46">
      <c r="O2" s="373" t="s">
        <v>304</v>
      </c>
    </row>
    <row r="3" spans="2:46">
      <c r="O3" s="156" t="s">
        <v>294</v>
      </c>
    </row>
    <row r="4" spans="2:46">
      <c r="B4" s="126"/>
      <c r="D4" s="94"/>
      <c r="E4" s="94"/>
      <c r="F4" s="94"/>
      <c r="G4" s="94"/>
      <c r="H4" s="99"/>
      <c r="I4" s="94"/>
      <c r="J4" s="94"/>
      <c r="K4" s="94"/>
      <c r="L4" s="94"/>
      <c r="N4" s="99"/>
      <c r="O4" s="156" t="str">
        <f>DEOK!G7</f>
        <v>For the 12 months ended: 12/31/2018</v>
      </c>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row>
    <row r="5" spans="2:46">
      <c r="B5" s="126"/>
      <c r="D5" s="94"/>
      <c r="E5" s="94"/>
      <c r="F5" s="94"/>
      <c r="G5" s="94"/>
      <c r="H5" s="99"/>
      <c r="I5" s="94"/>
      <c r="J5" s="94"/>
      <c r="K5" s="94"/>
      <c r="L5" s="94"/>
      <c r="N5" s="99"/>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row>
    <row r="6" spans="2:46">
      <c r="B6" s="201" t="s">
        <v>263</v>
      </c>
      <c r="C6" s="249"/>
      <c r="D6" s="249"/>
      <c r="E6" s="200"/>
      <c r="F6" s="201"/>
      <c r="G6" s="201"/>
      <c r="H6" s="249"/>
      <c r="I6" s="201"/>
      <c r="J6" s="201"/>
      <c r="K6" s="201"/>
      <c r="L6" s="201"/>
      <c r="M6" s="249"/>
      <c r="N6" s="199"/>
      <c r="O6" s="249"/>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row>
    <row r="7" spans="2:46">
      <c r="B7" s="201" t="s">
        <v>307</v>
      </c>
      <c r="C7" s="249"/>
      <c r="D7" s="200"/>
      <c r="E7" s="200"/>
      <c r="F7" s="201"/>
      <c r="G7" s="201"/>
      <c r="H7" s="249"/>
      <c r="I7" s="201"/>
      <c r="J7" s="201"/>
      <c r="K7" s="201"/>
      <c r="L7" s="201"/>
      <c r="M7" s="199"/>
      <c r="N7" s="199"/>
      <c r="O7" s="249"/>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row>
    <row r="8" spans="2:46" ht="14.25" customHeight="1">
      <c r="B8" s="248"/>
      <c r="D8" s="94"/>
      <c r="E8" s="94"/>
      <c r="F8" s="94"/>
      <c r="G8" s="94"/>
      <c r="I8" s="201"/>
      <c r="J8" s="94"/>
      <c r="K8" s="94"/>
      <c r="L8" s="94"/>
      <c r="N8" s="99"/>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row>
    <row r="9" spans="2:46">
      <c r="B9" s="201" t="str">
        <f>DEOK!A11</f>
        <v>DUKE ENERGY OHIO AND DUKE ENERGY KENTUCKY (DEOK)</v>
      </c>
      <c r="C9" s="249"/>
      <c r="D9" s="249"/>
      <c r="E9" s="249"/>
      <c r="F9" s="201"/>
      <c r="G9" s="201"/>
      <c r="H9" s="249"/>
      <c r="I9" s="201"/>
      <c r="J9" s="201"/>
      <c r="K9" s="201"/>
      <c r="L9" s="201"/>
      <c r="M9" s="201"/>
      <c r="N9" s="199"/>
      <c r="O9" s="199"/>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row>
    <row r="10" spans="2:46">
      <c r="B10" s="201" t="s">
        <v>637</v>
      </c>
      <c r="C10" s="249"/>
      <c r="D10" s="249"/>
      <c r="E10" s="249"/>
      <c r="F10" s="200"/>
      <c r="G10" s="200"/>
      <c r="H10" s="200"/>
      <c r="I10" s="200"/>
      <c r="J10" s="200"/>
      <c r="K10" s="200"/>
      <c r="L10" s="200"/>
      <c r="M10" s="200"/>
      <c r="N10" s="200"/>
      <c r="O10" s="200"/>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row>
    <row r="11" spans="2:46">
      <c r="B11" s="126"/>
      <c r="F11" s="95"/>
      <c r="G11" s="95"/>
      <c r="H11" s="95"/>
      <c r="I11" s="95"/>
      <c r="J11" s="95"/>
      <c r="K11" s="95"/>
      <c r="L11" s="95"/>
      <c r="M11" s="95"/>
      <c r="N11" s="95"/>
      <c r="O11" s="9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row>
    <row r="12" spans="2:46" ht="15.6">
      <c r="B12" s="250" t="s">
        <v>279</v>
      </c>
      <c r="C12" s="249"/>
      <c r="D12" s="201"/>
      <c r="E12" s="201"/>
      <c r="F12" s="249"/>
      <c r="G12" s="250"/>
      <c r="H12" s="249"/>
      <c r="I12" s="200"/>
      <c r="J12" s="200"/>
      <c r="K12" s="200"/>
      <c r="L12" s="200"/>
      <c r="M12" s="200"/>
      <c r="N12" s="199"/>
      <c r="O12" s="199"/>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row>
    <row r="13" spans="2:46" ht="15.6">
      <c r="B13" s="126"/>
      <c r="D13" s="94"/>
      <c r="E13" s="94"/>
      <c r="F13" s="134"/>
      <c r="G13" s="134"/>
      <c r="I13" s="98"/>
      <c r="J13" s="98"/>
      <c r="K13" s="98"/>
      <c r="L13" s="98"/>
      <c r="M13" s="98"/>
      <c r="N13" s="99"/>
      <c r="O13" s="99"/>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row>
    <row r="14" spans="2:46" ht="15.6">
      <c r="B14" s="126"/>
      <c r="D14" s="157">
        <v>-1</v>
      </c>
      <c r="E14" s="157">
        <v>-2</v>
      </c>
      <c r="F14" s="157">
        <v>-3</v>
      </c>
      <c r="G14" s="157">
        <v>-4</v>
      </c>
      <c r="H14" s="157">
        <v>-5</v>
      </c>
      <c r="I14" s="157">
        <v>-6</v>
      </c>
      <c r="J14" s="157">
        <v>-7</v>
      </c>
      <c r="K14" s="157">
        <v>-8</v>
      </c>
      <c r="L14" s="157">
        <v>-9</v>
      </c>
      <c r="M14" s="157">
        <v>-10</v>
      </c>
      <c r="N14" s="157">
        <v>-11</v>
      </c>
      <c r="O14" s="157">
        <v>-12</v>
      </c>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row>
    <row r="15" spans="2:46" ht="61.95" customHeight="1">
      <c r="B15" s="158" t="s">
        <v>233</v>
      </c>
      <c r="C15" s="159"/>
      <c r="D15" s="159" t="s">
        <v>212</v>
      </c>
      <c r="E15" s="160" t="s">
        <v>234</v>
      </c>
      <c r="F15" s="161" t="s">
        <v>235</v>
      </c>
      <c r="G15" s="161" t="s">
        <v>228</v>
      </c>
      <c r="H15" s="162" t="s">
        <v>236</v>
      </c>
      <c r="I15" s="161" t="s">
        <v>237</v>
      </c>
      <c r="J15" s="161" t="s">
        <v>232</v>
      </c>
      <c r="K15" s="162" t="s">
        <v>238</v>
      </c>
      <c r="L15" s="161" t="s">
        <v>239</v>
      </c>
      <c r="M15" s="163" t="s">
        <v>240</v>
      </c>
      <c r="N15" s="164" t="s">
        <v>241</v>
      </c>
      <c r="O15" s="163" t="s">
        <v>242</v>
      </c>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row>
    <row r="16" spans="2:46" ht="46.5" customHeight="1">
      <c r="B16" s="165"/>
      <c r="C16" s="166"/>
      <c r="D16" s="166"/>
      <c r="E16" s="166"/>
      <c r="F16" s="167" t="s">
        <v>16</v>
      </c>
      <c r="G16" s="556" t="s">
        <v>767</v>
      </c>
      <c r="H16" s="168"/>
      <c r="I16" s="167" t="s">
        <v>17</v>
      </c>
      <c r="J16" s="556" t="s">
        <v>768</v>
      </c>
      <c r="K16" s="168"/>
      <c r="L16" s="167" t="s">
        <v>245</v>
      </c>
      <c r="M16" s="168" t="s">
        <v>246</v>
      </c>
      <c r="N16" s="169" t="s">
        <v>208</v>
      </c>
      <c r="O16" s="170" t="s">
        <v>247</v>
      </c>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row>
    <row r="17" spans="2:46">
      <c r="B17" s="171"/>
      <c r="C17" s="98"/>
      <c r="D17" s="98"/>
      <c r="E17" s="98"/>
      <c r="F17" s="98"/>
      <c r="G17" s="98"/>
      <c r="H17" s="172"/>
      <c r="I17" s="98"/>
      <c r="J17" s="98"/>
      <c r="K17" s="172"/>
      <c r="L17" s="98"/>
      <c r="M17" s="172"/>
      <c r="N17" s="99"/>
      <c r="O17" s="173"/>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row>
    <row r="18" spans="2:46">
      <c r="B18" s="392" t="s">
        <v>1</v>
      </c>
      <c r="C18" s="370"/>
      <c r="D18" s="370" t="str">
        <f>'Appx C - DEO(MTEP)'!M66</f>
        <v>Hillcrest 345 kV</v>
      </c>
      <c r="E18" s="756">
        <f>'Appx C - DEO(MTEP)'!N66</f>
        <v>91</v>
      </c>
      <c r="F18" s="391">
        <f>'Appx C - DEO(MTEP)'!O66+'Appx C - DEK(MTEP)'!O66</f>
        <v>17551249</v>
      </c>
      <c r="G18" s="140"/>
      <c r="H18" s="1108">
        <f>'Appx C - DEO(MTEP)'!Q66+'Appx C - DEK(MTEP)'!Q66</f>
        <v>1037279</v>
      </c>
      <c r="I18" s="175">
        <f>'Appx C - DEO(MTEP)'!R66+'Appx C - DEK(MTEP)'!R66</f>
        <v>15437247</v>
      </c>
      <c r="J18" s="140"/>
      <c r="K18" s="1108">
        <f>'Appx C - DEO(MTEP)'!T66+'Appx C - DEK(MTEP)'!T66</f>
        <v>1301360</v>
      </c>
      <c r="L18" s="1109">
        <f>'Appx C - DEO(MTEP)'!U66+'Appx C - DEK(MTEP)'!U66</f>
        <v>315925</v>
      </c>
      <c r="M18" s="1108">
        <f>H18+K18+L18</f>
        <v>2654564</v>
      </c>
      <c r="N18" s="177">
        <f>'Appx C - DEO(MTEP)'!W66+'Appx C - DEK(MTEP)'!W66</f>
        <v>0</v>
      </c>
      <c r="O18" s="1108">
        <f>M18+N18</f>
        <v>2654564</v>
      </c>
    </row>
    <row r="19" spans="2:46">
      <c r="B19" s="392" t="s">
        <v>250</v>
      </c>
      <c r="C19" s="370"/>
      <c r="D19" s="393" t="s">
        <v>251</v>
      </c>
      <c r="E19" s="370" t="s">
        <v>255</v>
      </c>
      <c r="F19" s="391">
        <f>'Appx C - DEO(MTEP)'!O67+'Appx C - DEK(MTEP)'!O67</f>
        <v>0</v>
      </c>
      <c r="G19" s="140"/>
      <c r="H19" s="1108">
        <f>'Appx C - DEO(MTEP)'!Q67+'Appx C - DEK(MTEP)'!Q67</f>
        <v>0</v>
      </c>
      <c r="I19" s="175">
        <f>'Appx C - DEO(MTEP)'!R67+'Appx C - DEK(MTEP)'!R67</f>
        <v>0</v>
      </c>
      <c r="J19" s="140"/>
      <c r="K19" s="1108">
        <f>'Appx C - DEO(MTEP)'!T67+'Appx C - DEK(MTEP)'!T67</f>
        <v>0</v>
      </c>
      <c r="L19" s="1109">
        <f>'Appx C - DEO(MTEP)'!U67+'Appx C - DEK(MTEP)'!U67</f>
        <v>0</v>
      </c>
      <c r="M19" s="1108">
        <f>H19+K19+L19</f>
        <v>0</v>
      </c>
      <c r="N19" s="177">
        <f>'Appx C - DEO(MTEP)'!W67+'Appx C - DEK(MTEP)'!W67</f>
        <v>0</v>
      </c>
      <c r="O19" s="1108">
        <f>M19+N19</f>
        <v>0</v>
      </c>
    </row>
    <row r="20" spans="2:46">
      <c r="B20" s="390" t="s">
        <v>253</v>
      </c>
      <c r="C20" s="370"/>
      <c r="D20" s="370" t="s">
        <v>254</v>
      </c>
      <c r="E20" s="370" t="s">
        <v>255</v>
      </c>
      <c r="F20" s="391">
        <f>'Appx C - DEO(MTEP)'!O68+'Appx C - DEK(MTEP)'!O68</f>
        <v>0</v>
      </c>
      <c r="G20" s="140"/>
      <c r="H20" s="1108">
        <f>'Appx C - DEO(MTEP)'!Q68+'Appx C - DEK(MTEP)'!Q68</f>
        <v>0</v>
      </c>
      <c r="I20" s="175">
        <f>'Appx C - DEO(MTEP)'!R68+'Appx C - DEK(MTEP)'!R68</f>
        <v>0</v>
      </c>
      <c r="J20" s="140"/>
      <c r="K20" s="1108">
        <f>'Appx C - DEO(MTEP)'!T68+'Appx C - DEK(MTEP)'!T68</f>
        <v>0</v>
      </c>
      <c r="L20" s="1109">
        <f>'Appx C - DEO(MTEP)'!U68+'Appx C - DEK(MTEP)'!U68</f>
        <v>0</v>
      </c>
      <c r="M20" s="1108">
        <f>H20+K20+L20</f>
        <v>0</v>
      </c>
      <c r="N20" s="175">
        <f>'Appx C - DEO(MTEP)'!W68+'Appx C - DEK(MTEP)'!W68</f>
        <v>0</v>
      </c>
      <c r="O20" s="1108">
        <f>M20+N20</f>
        <v>0</v>
      </c>
    </row>
    <row r="21" spans="2:46">
      <c r="B21" s="174"/>
      <c r="H21" s="176"/>
      <c r="K21" s="176"/>
      <c r="M21" s="176"/>
      <c r="O21" s="176"/>
    </row>
    <row r="22" spans="2:46">
      <c r="B22" s="174"/>
      <c r="H22" s="176"/>
      <c r="K22" s="176"/>
      <c r="M22" s="176"/>
      <c r="O22" s="176"/>
    </row>
    <row r="23" spans="2:46">
      <c r="B23" s="174"/>
      <c r="H23" s="176"/>
      <c r="K23" s="176"/>
      <c r="M23" s="176"/>
      <c r="O23" s="176"/>
    </row>
    <row r="24" spans="2:46">
      <c r="B24" s="174"/>
      <c r="H24" s="176"/>
      <c r="K24" s="176"/>
      <c r="M24" s="176"/>
      <c r="O24" s="176"/>
    </row>
    <row r="25" spans="2:46">
      <c r="B25" s="174"/>
      <c r="H25" s="176"/>
      <c r="K25" s="176"/>
      <c r="M25" s="176"/>
      <c r="O25" s="176"/>
    </row>
    <row r="26" spans="2:46">
      <c r="B26" s="174"/>
      <c r="D26" s="178"/>
      <c r="E26" s="178"/>
      <c r="F26" s="178"/>
      <c r="G26" s="178"/>
      <c r="H26" s="179"/>
      <c r="I26" s="178"/>
      <c r="J26" s="178"/>
      <c r="K26" s="179"/>
      <c r="L26" s="178"/>
      <c r="M26" s="179"/>
      <c r="N26" s="178"/>
      <c r="O26" s="179"/>
    </row>
    <row r="27" spans="2:46">
      <c r="B27" s="174"/>
      <c r="D27" s="178"/>
      <c r="E27" s="178"/>
      <c r="F27" s="178"/>
      <c r="G27" s="178"/>
      <c r="H27" s="179"/>
      <c r="I27" s="178"/>
      <c r="J27" s="178"/>
      <c r="K27" s="179"/>
      <c r="L27" s="178"/>
      <c r="M27" s="179"/>
      <c r="N27" s="178"/>
      <c r="O27" s="179"/>
    </row>
    <row r="28" spans="2:46">
      <c r="B28" s="174"/>
      <c r="D28" s="178"/>
      <c r="E28" s="178"/>
      <c r="F28" s="178"/>
      <c r="G28" s="178"/>
      <c r="H28" s="179"/>
      <c r="I28" s="178"/>
      <c r="J28" s="178"/>
      <c r="K28" s="179"/>
      <c r="L28" s="178"/>
      <c r="M28" s="179"/>
      <c r="N28" s="178"/>
      <c r="O28" s="179"/>
    </row>
    <row r="29" spans="2:46">
      <c r="B29" s="174"/>
      <c r="D29" s="178"/>
      <c r="E29" s="178"/>
      <c r="F29" s="178"/>
      <c r="G29" s="178"/>
      <c r="H29" s="179"/>
      <c r="I29" s="178"/>
      <c r="J29" s="178"/>
      <c r="K29" s="179"/>
      <c r="L29" s="178"/>
      <c r="M29" s="179"/>
      <c r="N29" s="178"/>
      <c r="O29" s="179"/>
    </row>
    <row r="30" spans="2:46">
      <c r="B30" s="174"/>
      <c r="D30" s="178"/>
      <c r="E30" s="178"/>
      <c r="F30" s="178"/>
      <c r="G30" s="178"/>
      <c r="H30" s="179"/>
      <c r="I30" s="178"/>
      <c r="J30" s="178"/>
      <c r="K30" s="179"/>
      <c r="L30" s="178"/>
      <c r="M30" s="179"/>
      <c r="N30" s="178"/>
      <c r="O30" s="179"/>
    </row>
    <row r="31" spans="2:46">
      <c r="B31" s="174"/>
      <c r="D31" s="178"/>
      <c r="E31" s="178"/>
      <c r="F31" s="178"/>
      <c r="G31" s="178"/>
      <c r="H31" s="179"/>
      <c r="I31" s="178"/>
      <c r="J31" s="178"/>
      <c r="K31" s="179"/>
      <c r="L31" s="178"/>
      <c r="M31" s="179"/>
      <c r="N31" s="178"/>
      <c r="O31" s="179"/>
    </row>
    <row r="32" spans="2:46">
      <c r="B32" s="174"/>
      <c r="D32" s="178"/>
      <c r="E32" s="178"/>
      <c r="F32" s="178"/>
      <c r="G32" s="178"/>
      <c r="H32" s="179"/>
      <c r="I32" s="178"/>
      <c r="J32" s="178"/>
      <c r="K32" s="179"/>
      <c r="L32" s="178"/>
      <c r="M32" s="179"/>
      <c r="N32" s="178"/>
      <c r="O32" s="179"/>
    </row>
    <row r="33" spans="2:15">
      <c r="B33" s="174"/>
      <c r="D33" s="178"/>
      <c r="E33" s="178"/>
      <c r="F33" s="178"/>
      <c r="G33" s="178"/>
      <c r="H33" s="179"/>
      <c r="I33" s="178"/>
      <c r="J33" s="178"/>
      <c r="K33" s="179"/>
      <c r="L33" s="178"/>
      <c r="M33" s="179"/>
      <c r="N33" s="178"/>
      <c r="O33" s="179"/>
    </row>
    <row r="34" spans="2:15">
      <c r="B34" s="174"/>
      <c r="D34" s="178"/>
      <c r="E34" s="178"/>
      <c r="F34" s="178"/>
      <c r="G34" s="178"/>
      <c r="H34" s="179"/>
      <c r="I34" s="178"/>
      <c r="J34" s="178"/>
      <c r="K34" s="179"/>
      <c r="L34" s="178"/>
      <c r="M34" s="179"/>
      <c r="N34" s="178"/>
      <c r="O34" s="179"/>
    </row>
    <row r="35" spans="2:15">
      <c r="B35" s="174"/>
      <c r="D35" s="178"/>
      <c r="E35" s="178"/>
      <c r="F35" s="178"/>
      <c r="G35" s="178"/>
      <c r="H35" s="179"/>
      <c r="I35" s="178"/>
      <c r="J35" s="178"/>
      <c r="K35" s="179"/>
      <c r="L35" s="178"/>
      <c r="M35" s="179"/>
      <c r="N35" s="178"/>
      <c r="O35" s="179"/>
    </row>
    <row r="36" spans="2:15">
      <c r="B36" s="174"/>
      <c r="D36" s="178"/>
      <c r="E36" s="178"/>
      <c r="F36" s="178"/>
      <c r="G36" s="178"/>
      <c r="H36" s="179"/>
      <c r="I36" s="178"/>
      <c r="J36" s="178"/>
      <c r="K36" s="179"/>
      <c r="L36" s="178"/>
      <c r="M36" s="179"/>
      <c r="N36" s="178"/>
      <c r="O36" s="179"/>
    </row>
    <row r="37" spans="2:15">
      <c r="B37" s="180"/>
      <c r="C37" s="181"/>
      <c r="D37" s="182"/>
      <c r="E37" s="182"/>
      <c r="F37" s="182"/>
      <c r="G37" s="182"/>
      <c r="H37" s="183"/>
      <c r="I37" s="182"/>
      <c r="J37" s="182"/>
      <c r="K37" s="183"/>
      <c r="L37" s="182"/>
      <c r="M37" s="183"/>
      <c r="N37" s="182"/>
      <c r="O37" s="183"/>
    </row>
    <row r="38" spans="2:15">
      <c r="B38" s="128" t="s">
        <v>256</v>
      </c>
      <c r="C38" s="150"/>
      <c r="D38" s="95" t="s">
        <v>257</v>
      </c>
      <c r="E38" s="95"/>
      <c r="F38" s="101"/>
      <c r="G38" s="101"/>
      <c r="H38" s="99"/>
      <c r="I38" s="99"/>
      <c r="J38" s="99"/>
      <c r="K38" s="99"/>
      <c r="L38" s="99"/>
      <c r="M38" s="989">
        <f>SUM(M18:M37)</f>
        <v>2654564</v>
      </c>
      <c r="N38" s="989">
        <f>SUM(N18:N37)</f>
        <v>0</v>
      </c>
      <c r="O38" s="989">
        <f>SUM(O18:O37)</f>
        <v>2654564</v>
      </c>
    </row>
    <row r="39" spans="2:15">
      <c r="B39" s="89"/>
      <c r="C39" s="178"/>
      <c r="D39" s="178"/>
      <c r="E39" s="178"/>
      <c r="F39" s="178"/>
      <c r="G39" s="178"/>
      <c r="H39" s="178"/>
      <c r="I39" s="178"/>
      <c r="J39" s="178"/>
      <c r="K39" s="178"/>
      <c r="L39" s="178"/>
      <c r="M39" s="1107"/>
      <c r="N39" s="1107"/>
      <c r="O39" s="1107"/>
    </row>
    <row r="40" spans="2:15">
      <c r="B40" s="184">
        <v>3</v>
      </c>
      <c r="C40" s="178"/>
      <c r="D40" s="558" t="s">
        <v>638</v>
      </c>
      <c r="E40" s="178"/>
      <c r="F40" s="178"/>
      <c r="G40" s="178"/>
      <c r="H40" s="178"/>
      <c r="I40" s="178"/>
      <c r="J40" s="178"/>
      <c r="K40" s="178"/>
      <c r="L40" s="178"/>
      <c r="M40" s="989"/>
      <c r="N40" s="1107"/>
      <c r="O40" s="989">
        <f>O38</f>
        <v>2654564</v>
      </c>
    </row>
    <row r="41" spans="2:15">
      <c r="B41" s="178"/>
      <c r="C41" s="178"/>
      <c r="D41" s="178"/>
      <c r="E41" s="178"/>
      <c r="F41" s="178"/>
      <c r="G41" s="178"/>
      <c r="H41" s="178"/>
      <c r="I41" s="178"/>
      <c r="J41" s="178"/>
      <c r="K41" s="178"/>
      <c r="L41" s="178"/>
      <c r="M41" s="178"/>
      <c r="N41" s="178"/>
      <c r="O41" s="178"/>
    </row>
    <row r="42" spans="2:15">
      <c r="B42" s="178"/>
      <c r="C42" s="178"/>
      <c r="D42" s="178"/>
      <c r="E42" s="178"/>
      <c r="F42" s="178"/>
      <c r="G42" s="178"/>
      <c r="H42" s="178"/>
      <c r="I42" s="178"/>
      <c r="J42" s="178"/>
      <c r="K42" s="178"/>
      <c r="L42" s="178"/>
      <c r="M42" s="178"/>
      <c r="N42" s="178"/>
      <c r="O42" s="178"/>
    </row>
    <row r="43" spans="2:15">
      <c r="B43" s="552" t="s">
        <v>94</v>
      </c>
      <c r="C43" s="178"/>
      <c r="D43" s="178"/>
      <c r="E43" s="178"/>
      <c r="F43" s="178"/>
      <c r="G43" s="178"/>
      <c r="H43" s="178"/>
      <c r="I43" s="178"/>
      <c r="J43" s="178"/>
      <c r="K43" s="178"/>
      <c r="L43" s="178"/>
      <c r="M43" s="178"/>
      <c r="N43" s="178"/>
      <c r="O43" s="178"/>
    </row>
    <row r="44" spans="2:15" ht="15.6" thickBot="1">
      <c r="B44" s="970" t="s">
        <v>95</v>
      </c>
      <c r="C44" s="178"/>
      <c r="D44" s="178"/>
      <c r="E44" s="178"/>
      <c r="F44" s="178"/>
      <c r="G44" s="178"/>
      <c r="H44" s="178"/>
      <c r="I44" s="178"/>
      <c r="J44" s="178"/>
      <c r="K44" s="178"/>
      <c r="L44" s="178"/>
      <c r="M44" s="178"/>
      <c r="N44" s="178"/>
      <c r="O44" s="178"/>
    </row>
    <row r="45" spans="2:15">
      <c r="B45" s="185" t="s">
        <v>96</v>
      </c>
      <c r="C45" s="97"/>
      <c r="D45" s="1189" t="s">
        <v>608</v>
      </c>
      <c r="E45" s="1190"/>
      <c r="F45" s="1190"/>
      <c r="G45" s="1190"/>
      <c r="H45" s="1190"/>
      <c r="I45" s="1190"/>
      <c r="J45" s="1190"/>
      <c r="K45" s="1190"/>
      <c r="L45" s="1190"/>
      <c r="M45" s="1190"/>
      <c r="N45" s="1190"/>
      <c r="O45" s="1190"/>
    </row>
    <row r="46" spans="2:15">
      <c r="B46" s="185" t="s">
        <v>97</v>
      </c>
      <c r="C46" s="97"/>
      <c r="D46" s="1189" t="s">
        <v>609</v>
      </c>
      <c r="E46" s="1190"/>
      <c r="F46" s="1190"/>
      <c r="G46" s="1190"/>
      <c r="H46" s="1190"/>
      <c r="I46" s="1190"/>
      <c r="J46" s="1190"/>
      <c r="K46" s="1190"/>
      <c r="L46" s="1190"/>
      <c r="M46" s="1190"/>
      <c r="N46" s="1190"/>
      <c r="O46" s="1190"/>
    </row>
    <row r="47" spans="2:15" ht="27.75" customHeight="1">
      <c r="B47" s="186" t="s">
        <v>98</v>
      </c>
      <c r="C47" s="97"/>
      <c r="D47" s="1191" t="s">
        <v>258</v>
      </c>
      <c r="E47" s="1191"/>
      <c r="F47" s="1191"/>
      <c r="G47" s="1191"/>
      <c r="H47" s="1191"/>
      <c r="I47" s="1191"/>
      <c r="J47" s="1191"/>
      <c r="K47" s="1191"/>
      <c r="L47" s="1191"/>
      <c r="M47" s="1191"/>
      <c r="N47" s="1191"/>
      <c r="O47" s="1191"/>
    </row>
    <row r="48" spans="2:15" ht="15" customHeight="1">
      <c r="B48" s="186" t="s">
        <v>99</v>
      </c>
      <c r="C48" s="97"/>
      <c r="D48" s="1191" t="s">
        <v>259</v>
      </c>
      <c r="E48" s="1191"/>
      <c r="F48" s="1191"/>
      <c r="G48" s="1191"/>
      <c r="H48" s="1191"/>
      <c r="I48" s="1191"/>
      <c r="J48" s="1191"/>
      <c r="K48" s="1191"/>
      <c r="L48" s="1191"/>
      <c r="M48" s="1191"/>
      <c r="N48" s="1191"/>
      <c r="O48" s="1191"/>
    </row>
    <row r="49" spans="2:15">
      <c r="B49" s="185" t="s">
        <v>100</v>
      </c>
      <c r="C49" s="97"/>
      <c r="D49" s="1190" t="s">
        <v>322</v>
      </c>
      <c r="E49" s="1190"/>
      <c r="F49" s="1190"/>
      <c r="G49" s="1190"/>
      <c r="H49" s="1190"/>
      <c r="I49" s="1190"/>
      <c r="J49" s="1190"/>
      <c r="K49" s="1190"/>
      <c r="L49" s="1190"/>
      <c r="M49" s="1190"/>
      <c r="N49" s="1190"/>
      <c r="O49" s="1190"/>
    </row>
    <row r="50" spans="2:15">
      <c r="B50" s="185" t="s">
        <v>101</v>
      </c>
      <c r="C50" s="97"/>
      <c r="D50" s="1190" t="s">
        <v>260</v>
      </c>
      <c r="E50" s="1190"/>
      <c r="F50" s="1190"/>
      <c r="G50" s="1190"/>
      <c r="H50" s="1190"/>
      <c r="I50" s="1190"/>
      <c r="J50" s="1190"/>
      <c r="K50" s="1190"/>
      <c r="L50" s="1190"/>
      <c r="M50" s="1190"/>
      <c r="N50" s="1190"/>
      <c r="O50" s="1190"/>
    </row>
    <row r="51" spans="2:15">
      <c r="B51" s="185" t="s">
        <v>102</v>
      </c>
      <c r="C51" s="97"/>
      <c r="D51" s="1190" t="s">
        <v>261</v>
      </c>
      <c r="E51" s="1190"/>
      <c r="F51" s="1190"/>
      <c r="G51" s="1190"/>
      <c r="H51" s="1190"/>
      <c r="I51" s="1190"/>
      <c r="J51" s="1190"/>
      <c r="K51" s="1190"/>
      <c r="L51" s="1190"/>
      <c r="M51" s="1190"/>
      <c r="N51" s="1190"/>
      <c r="O51" s="1190"/>
    </row>
    <row r="52" spans="2:15">
      <c r="B52" s="358" t="s">
        <v>104</v>
      </c>
      <c r="C52" s="125"/>
      <c r="D52" s="1189" t="s">
        <v>346</v>
      </c>
      <c r="E52" s="1189"/>
      <c r="F52" s="1189"/>
      <c r="G52" s="1189"/>
      <c r="H52" s="1189"/>
      <c r="I52" s="1189"/>
      <c r="J52" s="1189"/>
      <c r="K52" s="1189"/>
      <c r="L52" s="1189"/>
      <c r="M52" s="1189"/>
      <c r="N52" s="1189"/>
      <c r="O52" s="1189"/>
    </row>
    <row r="53" spans="2:15" ht="15.6">
      <c r="B53" s="153"/>
      <c r="C53" s="187"/>
      <c r="D53" s="188"/>
      <c r="E53" s="149"/>
      <c r="F53" s="101"/>
      <c r="G53" s="101"/>
      <c r="H53" s="99"/>
      <c r="I53" s="94"/>
      <c r="J53" s="94"/>
      <c r="K53" s="139"/>
      <c r="L53" s="94"/>
      <c r="N53" s="99"/>
      <c r="O53" s="154"/>
    </row>
    <row r="54" spans="2:15" ht="15.6">
      <c r="B54" s="153"/>
      <c r="C54" s="187"/>
      <c r="D54" s="188"/>
      <c r="E54" s="149"/>
      <c r="F54" s="101"/>
      <c r="G54" s="101"/>
      <c r="H54" s="99"/>
      <c r="I54" s="94"/>
      <c r="J54" s="94"/>
      <c r="K54" s="139"/>
      <c r="L54" s="94"/>
      <c r="N54" s="99"/>
      <c r="O54" s="141"/>
    </row>
    <row r="55" spans="2:15">
      <c r="D55" s="178"/>
      <c r="E55" s="178"/>
      <c r="F55" s="178"/>
      <c r="G55" s="178"/>
      <c r="H55" s="178"/>
      <c r="I55" s="178"/>
      <c r="J55" s="178"/>
      <c r="K55" s="178"/>
      <c r="L55" s="178"/>
      <c r="M55" s="178"/>
      <c r="N55" s="178"/>
      <c r="O55" s="178"/>
    </row>
    <row r="56" spans="2:15">
      <c r="D56" s="178"/>
      <c r="E56" s="178"/>
      <c r="F56" s="178"/>
      <c r="G56" s="178"/>
      <c r="H56" s="178"/>
      <c r="I56" s="178"/>
      <c r="J56" s="178"/>
      <c r="K56" s="178"/>
      <c r="L56" s="178"/>
      <c r="M56" s="178"/>
      <c r="N56" s="178"/>
      <c r="O56" s="178"/>
    </row>
    <row r="57" spans="2:15">
      <c r="D57" s="178"/>
      <c r="E57" s="178"/>
      <c r="F57" s="178"/>
      <c r="G57" s="178"/>
      <c r="H57" s="178"/>
      <c r="I57" s="178"/>
      <c r="J57" s="178"/>
      <c r="K57" s="178"/>
      <c r="L57" s="178"/>
      <c r="M57" s="178"/>
      <c r="N57" s="178"/>
      <c r="O57" s="178"/>
    </row>
    <row r="58" spans="2:15">
      <c r="D58" s="178"/>
      <c r="E58" s="178"/>
      <c r="F58" s="178"/>
      <c r="G58" s="178"/>
      <c r="H58" s="178"/>
      <c r="I58" s="178"/>
      <c r="J58" s="178"/>
      <c r="K58" s="178"/>
      <c r="L58" s="178"/>
      <c r="M58" s="178"/>
      <c r="N58" s="178"/>
      <c r="O58" s="178"/>
    </row>
    <row r="59" spans="2:15">
      <c r="D59" s="178"/>
      <c r="E59" s="178"/>
      <c r="F59" s="178"/>
      <c r="G59" s="178"/>
      <c r="H59" s="178"/>
      <c r="I59" s="178"/>
      <c r="J59" s="178"/>
      <c r="K59" s="178"/>
      <c r="L59" s="178"/>
      <c r="M59" s="178"/>
      <c r="N59" s="178"/>
      <c r="O59" s="178"/>
    </row>
    <row r="60" spans="2:15">
      <c r="D60" s="178"/>
      <c r="E60" s="178"/>
      <c r="F60" s="178"/>
      <c r="G60" s="178"/>
      <c r="H60" s="178"/>
      <c r="I60" s="178"/>
      <c r="J60" s="178"/>
      <c r="K60" s="178"/>
      <c r="L60" s="178"/>
      <c r="M60" s="178"/>
      <c r="N60" s="178"/>
      <c r="O60" s="178"/>
    </row>
    <row r="61" spans="2:15">
      <c r="D61" s="178"/>
      <c r="E61" s="178"/>
      <c r="F61" s="178"/>
      <c r="G61" s="178"/>
      <c r="H61" s="178"/>
      <c r="I61" s="178"/>
      <c r="J61" s="178"/>
      <c r="K61" s="178"/>
      <c r="L61" s="178"/>
      <c r="M61" s="178"/>
      <c r="N61" s="178"/>
      <c r="O61" s="178"/>
    </row>
    <row r="62" spans="2:15">
      <c r="D62" s="178"/>
      <c r="E62" s="178"/>
      <c r="F62" s="178"/>
      <c r="G62" s="178"/>
      <c r="H62" s="178"/>
      <c r="I62" s="178"/>
      <c r="J62" s="178"/>
      <c r="K62" s="178"/>
      <c r="L62" s="178"/>
      <c r="M62" s="178"/>
      <c r="N62" s="178"/>
      <c r="O62" s="178"/>
    </row>
    <row r="63" spans="2:15">
      <c r="D63" s="178"/>
      <c r="E63" s="178"/>
      <c r="F63" s="178"/>
      <c r="G63" s="178"/>
      <c r="H63" s="178"/>
      <c r="I63" s="178"/>
      <c r="J63" s="178"/>
      <c r="K63" s="178"/>
      <c r="L63" s="178"/>
      <c r="M63" s="178"/>
      <c r="N63" s="178"/>
      <c r="O63" s="178"/>
    </row>
    <row r="64" spans="2:15">
      <c r="D64" s="178"/>
      <c r="E64" s="178"/>
      <c r="F64" s="178"/>
      <c r="G64" s="178"/>
      <c r="H64" s="178"/>
      <c r="I64" s="178"/>
      <c r="J64" s="178"/>
      <c r="K64" s="178"/>
      <c r="L64" s="178"/>
      <c r="M64" s="178"/>
      <c r="N64" s="178"/>
      <c r="O64" s="178"/>
    </row>
    <row r="65" spans="4:15">
      <c r="D65" s="178"/>
      <c r="E65" s="178"/>
      <c r="F65" s="178"/>
      <c r="G65" s="178"/>
      <c r="H65" s="178"/>
      <c r="I65" s="178"/>
      <c r="J65" s="178"/>
      <c r="K65" s="178"/>
      <c r="L65" s="178"/>
      <c r="M65" s="178"/>
      <c r="N65" s="178"/>
      <c r="O65" s="178"/>
    </row>
    <row r="66" spans="4:15">
      <c r="D66" s="178"/>
      <c r="E66" s="178"/>
      <c r="F66" s="178"/>
      <c r="G66" s="178"/>
      <c r="H66" s="178"/>
      <c r="I66" s="178"/>
      <c r="J66" s="178"/>
      <c r="K66" s="178"/>
      <c r="L66" s="178"/>
      <c r="M66" s="178"/>
      <c r="N66" s="178"/>
      <c r="O66" s="178"/>
    </row>
    <row r="67" spans="4:15">
      <c r="D67" s="178"/>
      <c r="E67" s="178"/>
      <c r="F67" s="178"/>
      <c r="G67" s="178"/>
      <c r="H67" s="178"/>
      <c r="I67" s="178"/>
      <c r="J67" s="178"/>
      <c r="K67" s="178"/>
      <c r="L67" s="178"/>
      <c r="M67" s="178"/>
      <c r="N67" s="178"/>
      <c r="O67" s="178"/>
    </row>
    <row r="68" spans="4:15">
      <c r="D68" s="178"/>
      <c r="E68" s="178"/>
      <c r="F68" s="178"/>
      <c r="G68" s="178"/>
      <c r="H68" s="178"/>
      <c r="I68" s="178"/>
      <c r="J68" s="178"/>
      <c r="K68" s="178"/>
      <c r="L68" s="178"/>
      <c r="M68" s="178"/>
      <c r="N68" s="178"/>
      <c r="O68" s="178"/>
    </row>
    <row r="69" spans="4:15">
      <c r="D69" s="178"/>
      <c r="E69" s="178"/>
      <c r="F69" s="178"/>
      <c r="G69" s="178"/>
      <c r="H69" s="178"/>
      <c r="I69" s="178"/>
      <c r="J69" s="178"/>
      <c r="K69" s="178"/>
      <c r="L69" s="178"/>
      <c r="M69" s="178"/>
      <c r="N69" s="178"/>
      <c r="O69" s="178"/>
    </row>
    <row r="70" spans="4:15">
      <c r="D70" s="178"/>
      <c r="E70" s="178"/>
      <c r="F70" s="178"/>
      <c r="G70" s="178"/>
      <c r="H70" s="178"/>
      <c r="I70" s="178"/>
      <c r="J70" s="178"/>
      <c r="K70" s="178"/>
      <c r="L70" s="178"/>
      <c r="M70" s="178"/>
      <c r="N70" s="178"/>
      <c r="O70" s="178"/>
    </row>
    <row r="71" spans="4:15">
      <c r="D71" s="178"/>
      <c r="E71" s="178"/>
      <c r="F71" s="178"/>
      <c r="G71" s="178"/>
      <c r="H71" s="178"/>
      <c r="I71" s="178"/>
      <c r="J71" s="178"/>
      <c r="K71" s="178"/>
      <c r="L71" s="178"/>
      <c r="M71" s="178"/>
      <c r="N71" s="178"/>
      <c r="O71" s="178"/>
    </row>
    <row r="72" spans="4:15">
      <c r="D72" s="178"/>
      <c r="E72" s="178"/>
      <c r="F72" s="178"/>
      <c r="G72" s="178"/>
      <c r="H72" s="178"/>
      <c r="I72" s="178"/>
      <c r="J72" s="178"/>
      <c r="K72" s="178"/>
      <c r="L72" s="178"/>
      <c r="M72" s="178"/>
      <c r="N72" s="178"/>
      <c r="O72" s="178"/>
    </row>
    <row r="73" spans="4:15">
      <c r="D73" s="178"/>
      <c r="E73" s="178"/>
      <c r="F73" s="178"/>
      <c r="G73" s="178"/>
      <c r="H73" s="178"/>
      <c r="I73" s="178"/>
      <c r="J73" s="178"/>
      <c r="K73" s="178"/>
      <c r="L73" s="178"/>
      <c r="M73" s="178"/>
      <c r="N73" s="178"/>
      <c r="O73" s="178"/>
    </row>
    <row r="74" spans="4:15">
      <c r="D74" s="178"/>
      <c r="E74" s="178"/>
      <c r="F74" s="178"/>
      <c r="G74" s="178"/>
      <c r="H74" s="178"/>
      <c r="I74" s="178"/>
      <c r="J74" s="178"/>
      <c r="K74" s="178"/>
      <c r="L74" s="178"/>
      <c r="M74" s="178"/>
      <c r="N74" s="178"/>
      <c r="O74" s="178"/>
    </row>
    <row r="75" spans="4:15">
      <c r="D75" s="178"/>
      <c r="E75" s="178"/>
      <c r="F75" s="178"/>
      <c r="G75" s="178"/>
      <c r="H75" s="178"/>
      <c r="I75" s="178"/>
      <c r="J75" s="178"/>
      <c r="K75" s="178"/>
      <c r="L75" s="178"/>
      <c r="M75" s="178"/>
      <c r="N75" s="178"/>
      <c r="O75" s="178"/>
    </row>
    <row r="76" spans="4:15">
      <c r="D76" s="178"/>
      <c r="E76" s="178"/>
      <c r="F76" s="178"/>
      <c r="G76" s="178"/>
      <c r="H76" s="178"/>
      <c r="I76" s="178"/>
      <c r="J76" s="178"/>
      <c r="K76" s="178"/>
      <c r="L76" s="178"/>
      <c r="M76" s="178"/>
      <c r="N76" s="178"/>
      <c r="O76" s="178"/>
    </row>
    <row r="77" spans="4:15">
      <c r="D77" s="178"/>
      <c r="E77" s="178"/>
      <c r="F77" s="178"/>
      <c r="G77" s="178"/>
      <c r="H77" s="178"/>
      <c r="I77" s="178"/>
      <c r="J77" s="178"/>
      <c r="K77" s="178"/>
      <c r="L77" s="178"/>
      <c r="M77" s="178"/>
      <c r="N77" s="178"/>
      <c r="O77" s="178"/>
    </row>
    <row r="78" spans="4:15">
      <c r="D78" s="178"/>
      <c r="E78" s="178"/>
      <c r="F78" s="178"/>
      <c r="G78" s="178"/>
      <c r="H78" s="178"/>
      <c r="I78" s="178"/>
      <c r="J78" s="178"/>
      <c r="K78" s="178"/>
      <c r="L78" s="178"/>
      <c r="M78" s="178"/>
      <c r="N78" s="178"/>
      <c r="O78" s="178"/>
    </row>
    <row r="79" spans="4:15">
      <c r="D79" s="178"/>
      <c r="E79" s="178"/>
      <c r="F79" s="178"/>
      <c r="G79" s="178"/>
      <c r="H79" s="178"/>
      <c r="I79" s="178"/>
      <c r="J79" s="178"/>
      <c r="K79" s="178"/>
      <c r="L79" s="178"/>
      <c r="M79" s="178"/>
      <c r="N79" s="178"/>
      <c r="O79" s="178"/>
    </row>
    <row r="80" spans="4:15">
      <c r="D80" s="178"/>
      <c r="E80" s="178"/>
      <c r="F80" s="178"/>
      <c r="G80" s="178"/>
      <c r="H80" s="178"/>
      <c r="I80" s="178"/>
      <c r="J80" s="178"/>
      <c r="K80" s="178"/>
      <c r="L80" s="178"/>
      <c r="M80" s="178"/>
      <c r="N80" s="178"/>
      <c r="O80" s="178"/>
    </row>
    <row r="81" spans="1:15">
      <c r="D81" s="178"/>
      <c r="E81" s="178"/>
      <c r="F81" s="178"/>
      <c r="G81" s="178"/>
      <c r="H81" s="178"/>
      <c r="I81" s="178"/>
      <c r="J81" s="178"/>
      <c r="K81" s="178"/>
      <c r="L81" s="178"/>
      <c r="M81" s="178"/>
      <c r="N81" s="178"/>
      <c r="O81" s="178"/>
    </row>
    <row r="82" spans="1:15">
      <c r="D82" s="178"/>
      <c r="E82" s="178"/>
      <c r="F82" s="178"/>
      <c r="G82" s="178"/>
      <c r="H82" s="178"/>
      <c r="I82" s="178"/>
      <c r="J82" s="178"/>
      <c r="K82" s="178"/>
      <c r="L82" s="178"/>
      <c r="M82" s="178"/>
      <c r="N82" s="178"/>
      <c r="O82" s="178"/>
    </row>
    <row r="83" spans="1:15">
      <c r="D83" s="178"/>
      <c r="E83" s="178"/>
      <c r="F83" s="178"/>
      <c r="G83" s="178"/>
      <c r="H83" s="178"/>
      <c r="I83" s="178"/>
      <c r="J83" s="178"/>
      <c r="K83" s="178"/>
      <c r="L83" s="178"/>
      <c r="M83" s="178"/>
      <c r="N83" s="178"/>
      <c r="O83" s="178"/>
    </row>
    <row r="84" spans="1:15">
      <c r="D84" s="178"/>
      <c r="E84" s="178"/>
      <c r="F84" s="178"/>
      <c r="G84" s="178"/>
      <c r="H84" s="178"/>
      <c r="I84" s="178"/>
      <c r="J84" s="178"/>
      <c r="K84" s="178"/>
      <c r="L84" s="178"/>
      <c r="M84" s="178"/>
      <c r="N84" s="178"/>
      <c r="O84" s="178"/>
    </row>
    <row r="85" spans="1:15">
      <c r="D85" s="178"/>
      <c r="E85" s="178"/>
      <c r="F85" s="178"/>
      <c r="G85" s="178"/>
      <c r="H85" s="178"/>
      <c r="I85" s="178"/>
      <c r="J85" s="178"/>
      <c r="K85" s="178"/>
      <c r="L85" s="178"/>
      <c r="M85" s="178"/>
      <c r="N85" s="178"/>
      <c r="O85" s="178"/>
    </row>
    <row r="86" spans="1:15">
      <c r="D86" s="178"/>
      <c r="E86" s="178"/>
      <c r="F86" s="178"/>
      <c r="G86" s="178"/>
      <c r="H86" s="178"/>
      <c r="I86" s="178"/>
      <c r="J86" s="178"/>
      <c r="K86" s="178"/>
      <c r="L86" s="178"/>
      <c r="M86" s="178"/>
      <c r="N86" s="178"/>
      <c r="O86" s="178"/>
    </row>
    <row r="87" spans="1:15">
      <c r="D87" s="178"/>
      <c r="E87" s="178"/>
      <c r="F87" s="178"/>
      <c r="G87" s="178"/>
      <c r="H87" s="178"/>
      <c r="I87" s="178"/>
      <c r="J87" s="178"/>
      <c r="K87" s="178"/>
      <c r="L87" s="178"/>
      <c r="M87" s="178"/>
      <c r="N87" s="178"/>
      <c r="O87" s="178"/>
    </row>
    <row r="88" spans="1:15">
      <c r="D88" s="178"/>
      <c r="E88" s="178"/>
      <c r="F88" s="178"/>
      <c r="G88" s="178"/>
      <c r="H88" s="178"/>
      <c r="I88" s="178"/>
      <c r="J88" s="178"/>
      <c r="K88" s="178"/>
      <c r="L88" s="178"/>
      <c r="M88" s="178"/>
      <c r="N88" s="178"/>
      <c r="O88" s="178"/>
    </row>
    <row r="89" spans="1:15">
      <c r="D89" s="178"/>
      <c r="E89" s="178"/>
      <c r="F89" s="178"/>
      <c r="G89" s="178"/>
      <c r="H89" s="178"/>
      <c r="I89" s="178"/>
      <c r="J89" s="178"/>
      <c r="K89" s="178"/>
      <c r="L89" s="178"/>
      <c r="M89" s="178"/>
      <c r="N89" s="178"/>
      <c r="O89" s="178"/>
    </row>
    <row r="90" spans="1:15">
      <c r="D90" s="178"/>
      <c r="E90" s="178"/>
      <c r="F90" s="178"/>
      <c r="G90" s="178"/>
      <c r="H90" s="178"/>
      <c r="I90" s="178"/>
      <c r="J90" s="178"/>
      <c r="K90" s="178"/>
      <c r="L90" s="178"/>
      <c r="M90" s="178"/>
      <c r="N90" s="178"/>
      <c r="O90" s="178"/>
    </row>
    <row r="91" spans="1:15">
      <c r="D91" s="178"/>
      <c r="E91" s="178"/>
      <c r="F91" s="178"/>
      <c r="G91" s="178"/>
      <c r="H91" s="178"/>
      <c r="I91" s="178"/>
      <c r="J91" s="178"/>
      <c r="K91" s="178"/>
      <c r="L91" s="178"/>
      <c r="M91" s="178"/>
      <c r="N91" s="178"/>
      <c r="O91" s="178"/>
    </row>
    <row r="92" spans="1:15">
      <c r="A92" s="178"/>
      <c r="B92" s="178"/>
    </row>
    <row r="93" spans="1:15">
      <c r="A93" s="178"/>
      <c r="B93" s="178"/>
    </row>
    <row r="94" spans="1:15">
      <c r="A94" s="178"/>
      <c r="B94" s="178"/>
    </row>
    <row r="95" spans="1:15">
      <c r="A95" s="178"/>
      <c r="B95" s="178"/>
    </row>
    <row r="96" spans="1:15">
      <c r="A96" s="178"/>
      <c r="B96" s="178"/>
    </row>
    <row r="97" spans="1:2">
      <c r="A97" s="178"/>
      <c r="B97" s="178"/>
    </row>
    <row r="98" spans="1:2">
      <c r="A98" s="178"/>
      <c r="B98" s="178"/>
    </row>
    <row r="99" spans="1:2">
      <c r="A99" s="178"/>
      <c r="B99" s="178"/>
    </row>
    <row r="100" spans="1:2">
      <c r="A100" s="178"/>
      <c r="B100" s="178"/>
    </row>
    <row r="101" spans="1:2">
      <c r="A101" s="178"/>
      <c r="B101" s="178"/>
    </row>
    <row r="102" spans="1:2">
      <c r="A102" s="178"/>
      <c r="B102" s="178"/>
    </row>
    <row r="103" spans="1:2">
      <c r="A103" s="178"/>
      <c r="B103" s="178"/>
    </row>
    <row r="104" spans="1:2">
      <c r="A104" s="178"/>
      <c r="B104" s="178"/>
    </row>
    <row r="105" spans="1:2">
      <c r="A105" s="178"/>
      <c r="B105" s="178"/>
    </row>
    <row r="106" spans="1:2">
      <c r="A106" s="178"/>
      <c r="B106" s="178"/>
    </row>
    <row r="107" spans="1:2">
      <c r="A107" s="178"/>
      <c r="B107" s="178"/>
    </row>
    <row r="108" spans="1:2">
      <c r="A108" s="178"/>
      <c r="B108" s="178"/>
    </row>
    <row r="109" spans="1:2">
      <c r="A109" s="178"/>
      <c r="B109" s="178"/>
    </row>
    <row r="110" spans="1:2">
      <c r="A110" s="178"/>
      <c r="B110" s="178"/>
    </row>
    <row r="111" spans="1:2">
      <c r="A111" s="178"/>
      <c r="B111" s="178"/>
    </row>
    <row r="112" spans="1:2">
      <c r="A112" s="178"/>
      <c r="B112" s="178"/>
    </row>
    <row r="113" spans="1:2">
      <c r="A113" s="178"/>
      <c r="B113" s="178"/>
    </row>
    <row r="114" spans="1:2">
      <c r="A114" s="178"/>
      <c r="B114" s="178"/>
    </row>
    <row r="115" spans="1:2">
      <c r="A115" s="178"/>
      <c r="B115" s="178"/>
    </row>
    <row r="116" spans="1:2">
      <c r="A116" s="178"/>
      <c r="B116" s="178"/>
    </row>
    <row r="117" spans="1:2">
      <c r="A117" s="178"/>
      <c r="B117" s="178"/>
    </row>
    <row r="118" spans="1:2">
      <c r="A118" s="178"/>
      <c r="B118" s="178"/>
    </row>
    <row r="119" spans="1:2">
      <c r="A119" s="178"/>
      <c r="B119" s="178"/>
    </row>
    <row r="120" spans="1:2">
      <c r="A120" s="178"/>
      <c r="B120" s="178"/>
    </row>
    <row r="121" spans="1:2">
      <c r="A121" s="178"/>
      <c r="B121" s="178"/>
    </row>
    <row r="122" spans="1:2">
      <c r="A122" s="178"/>
      <c r="B122" s="178"/>
    </row>
    <row r="123" spans="1:2">
      <c r="A123" s="178"/>
      <c r="B123" s="178"/>
    </row>
    <row r="124" spans="1:2">
      <c r="A124" s="178"/>
      <c r="B124" s="178"/>
    </row>
    <row r="125" spans="1:2">
      <c r="A125" s="178"/>
      <c r="B125" s="178"/>
    </row>
    <row r="126" spans="1:2">
      <c r="A126" s="178"/>
      <c r="B126" s="178"/>
    </row>
    <row r="127" spans="1:2">
      <c r="A127" s="178"/>
      <c r="B127" s="178"/>
    </row>
    <row r="128" spans="1:2">
      <c r="A128" s="178"/>
      <c r="B128" s="178"/>
    </row>
    <row r="129" spans="1:2">
      <c r="A129" s="178"/>
      <c r="B129" s="178"/>
    </row>
    <row r="130" spans="1:2">
      <c r="A130" s="178"/>
      <c r="B130" s="178"/>
    </row>
    <row r="131" spans="1:2">
      <c r="A131" s="178"/>
      <c r="B131" s="178"/>
    </row>
    <row r="132" spans="1:2">
      <c r="A132" s="178"/>
      <c r="B132" s="178"/>
    </row>
    <row r="133" spans="1:2">
      <c r="A133" s="178"/>
      <c r="B133" s="178"/>
    </row>
    <row r="134" spans="1:2">
      <c r="A134" s="178"/>
      <c r="B134" s="178"/>
    </row>
    <row r="135" spans="1:2">
      <c r="A135" s="178"/>
      <c r="B135" s="178"/>
    </row>
    <row r="136" spans="1:2">
      <c r="A136" s="178"/>
      <c r="B136" s="178"/>
    </row>
    <row r="137" spans="1:2">
      <c r="A137" s="178"/>
      <c r="B137" s="178"/>
    </row>
    <row r="138" spans="1:2">
      <c r="A138" s="178"/>
      <c r="B138" s="178"/>
    </row>
    <row r="139" spans="1:2">
      <c r="A139" s="178"/>
      <c r="B139" s="178"/>
    </row>
    <row r="140" spans="1:2">
      <c r="A140" s="178"/>
      <c r="B140" s="178"/>
    </row>
    <row r="141" spans="1:2">
      <c r="A141" s="178"/>
      <c r="B141" s="178"/>
    </row>
    <row r="142" spans="1:2">
      <c r="A142" s="178"/>
      <c r="B142" s="178"/>
    </row>
    <row r="143" spans="1:2">
      <c r="A143" s="178"/>
      <c r="B143" s="178"/>
    </row>
    <row r="144" spans="1:2">
      <c r="A144" s="178"/>
      <c r="B144" s="178"/>
    </row>
    <row r="145" spans="1:2">
      <c r="A145" s="178"/>
      <c r="B145" s="178"/>
    </row>
    <row r="146" spans="1:2">
      <c r="A146" s="178"/>
      <c r="B146" s="178"/>
    </row>
    <row r="147" spans="1:2">
      <c r="A147" s="178"/>
      <c r="B147" s="178"/>
    </row>
    <row r="148" spans="1:2">
      <c r="A148" s="178"/>
      <c r="B148" s="178"/>
    </row>
    <row r="149" spans="1:2">
      <c r="A149" s="178"/>
      <c r="B149" s="178"/>
    </row>
    <row r="150" spans="1:2">
      <c r="A150" s="178"/>
      <c r="B150" s="178"/>
    </row>
    <row r="151" spans="1:2">
      <c r="A151" s="178"/>
      <c r="B151" s="178"/>
    </row>
    <row r="152" spans="1:2">
      <c r="A152" s="178"/>
      <c r="B152" s="178"/>
    </row>
    <row r="153" spans="1:2">
      <c r="A153" s="178"/>
      <c r="B153" s="178"/>
    </row>
    <row r="154" spans="1:2">
      <c r="A154" s="178"/>
      <c r="B154" s="178"/>
    </row>
    <row r="155" spans="1:2">
      <c r="A155" s="178"/>
      <c r="B155" s="178"/>
    </row>
    <row r="156" spans="1:2">
      <c r="A156" s="178"/>
      <c r="B156" s="178"/>
    </row>
    <row r="157" spans="1:2">
      <c r="A157" s="178"/>
      <c r="B157" s="178"/>
    </row>
    <row r="158" spans="1:2">
      <c r="A158" s="178"/>
      <c r="B158" s="178"/>
    </row>
    <row r="159" spans="1:2">
      <c r="A159" s="178"/>
      <c r="B159" s="178"/>
    </row>
    <row r="160" spans="1:2">
      <c r="A160" s="178"/>
      <c r="B160" s="178"/>
    </row>
    <row r="161" spans="1:2">
      <c r="A161" s="178"/>
      <c r="B161" s="178"/>
    </row>
    <row r="162" spans="1:2">
      <c r="A162" s="178"/>
      <c r="B162" s="178"/>
    </row>
    <row r="163" spans="1:2">
      <c r="A163" s="178"/>
      <c r="B163" s="178"/>
    </row>
    <row r="164" spans="1:2">
      <c r="A164" s="178"/>
      <c r="B164" s="178"/>
    </row>
    <row r="165" spans="1:2">
      <c r="A165" s="178"/>
      <c r="B165" s="178"/>
    </row>
    <row r="166" spans="1:2">
      <c r="A166" s="178"/>
      <c r="B166" s="178"/>
    </row>
    <row r="167" spans="1:2">
      <c r="A167" s="178"/>
      <c r="B167" s="178"/>
    </row>
    <row r="168" spans="1:2">
      <c r="A168" s="178"/>
      <c r="B168" s="178"/>
    </row>
    <row r="169" spans="1:2">
      <c r="A169" s="178"/>
      <c r="B169" s="178"/>
    </row>
    <row r="170" spans="1:2">
      <c r="A170" s="178"/>
      <c r="B170" s="178"/>
    </row>
    <row r="171" spans="1:2">
      <c r="A171" s="178"/>
      <c r="B171" s="178"/>
    </row>
    <row r="172" spans="1:2">
      <c r="A172" s="178"/>
      <c r="B172" s="178"/>
    </row>
    <row r="173" spans="1:2">
      <c r="A173" s="178"/>
      <c r="B173" s="178"/>
    </row>
    <row r="174" spans="1:2">
      <c r="A174" s="178"/>
      <c r="B174" s="178"/>
    </row>
    <row r="175" spans="1:2">
      <c r="A175" s="178"/>
      <c r="B175" s="178"/>
    </row>
    <row r="176" spans="1:2">
      <c r="A176" s="178"/>
      <c r="B176" s="178"/>
    </row>
    <row r="177" spans="1:2">
      <c r="A177" s="178"/>
      <c r="B177" s="178"/>
    </row>
    <row r="178" spans="1:2">
      <c r="A178" s="178"/>
      <c r="B178" s="178"/>
    </row>
    <row r="179" spans="1:2">
      <c r="A179" s="178"/>
      <c r="B179" s="178"/>
    </row>
    <row r="180" spans="1:2">
      <c r="A180" s="178"/>
      <c r="B180" s="178"/>
    </row>
    <row r="181" spans="1:2">
      <c r="A181" s="178"/>
      <c r="B181" s="178"/>
    </row>
    <row r="182" spans="1:2">
      <c r="A182" s="178"/>
      <c r="B182" s="178"/>
    </row>
    <row r="183" spans="1:2">
      <c r="A183" s="178"/>
      <c r="B183" s="178"/>
    </row>
    <row r="184" spans="1:2">
      <c r="A184" s="178"/>
      <c r="B184" s="178"/>
    </row>
    <row r="185" spans="1:2">
      <c r="A185" s="178"/>
      <c r="B185" s="178"/>
    </row>
    <row r="186" spans="1:2">
      <c r="A186" s="178"/>
      <c r="B186" s="178"/>
    </row>
    <row r="187" spans="1:2">
      <c r="A187" s="178"/>
      <c r="B187" s="178"/>
    </row>
    <row r="188" spans="1:2">
      <c r="A188" s="178"/>
      <c r="B188" s="178"/>
    </row>
    <row r="189" spans="1:2">
      <c r="A189" s="178"/>
      <c r="B189" s="178"/>
    </row>
    <row r="190" spans="1:2">
      <c r="A190" s="178"/>
      <c r="B190" s="178"/>
    </row>
    <row r="191" spans="1:2">
      <c r="A191" s="178"/>
      <c r="B191" s="178"/>
    </row>
    <row r="192" spans="1:2">
      <c r="A192" s="178"/>
      <c r="B192" s="178"/>
    </row>
    <row r="193" spans="1:2">
      <c r="A193" s="178"/>
      <c r="B193" s="178"/>
    </row>
    <row r="194" spans="1:2">
      <c r="A194" s="178"/>
      <c r="B194" s="178"/>
    </row>
    <row r="195" spans="1:2">
      <c r="A195" s="178"/>
      <c r="B195" s="178"/>
    </row>
    <row r="196" spans="1:2">
      <c r="A196" s="178"/>
      <c r="B196" s="178"/>
    </row>
    <row r="197" spans="1:2">
      <c r="A197" s="178"/>
      <c r="B197" s="178"/>
    </row>
    <row r="198" spans="1:2">
      <c r="A198" s="178"/>
      <c r="B198" s="178"/>
    </row>
    <row r="199" spans="1:2">
      <c r="A199" s="178"/>
      <c r="B199" s="178"/>
    </row>
    <row r="200" spans="1:2">
      <c r="A200" s="178"/>
      <c r="B200" s="178"/>
    </row>
    <row r="201" spans="1:2">
      <c r="A201" s="178"/>
      <c r="B201" s="178"/>
    </row>
    <row r="202" spans="1:2">
      <c r="A202" s="178"/>
      <c r="B202" s="178"/>
    </row>
    <row r="203" spans="1:2">
      <c r="A203" s="178"/>
      <c r="B203" s="178"/>
    </row>
    <row r="204" spans="1:2">
      <c r="A204" s="178"/>
      <c r="B204" s="178"/>
    </row>
    <row r="205" spans="1:2">
      <c r="A205" s="178"/>
      <c r="B205" s="178"/>
    </row>
    <row r="206" spans="1:2">
      <c r="A206" s="178"/>
      <c r="B206" s="178"/>
    </row>
    <row r="207" spans="1:2">
      <c r="A207" s="178"/>
      <c r="B207" s="178"/>
    </row>
    <row r="208" spans="1:2">
      <c r="A208" s="178"/>
      <c r="B208" s="178"/>
    </row>
    <row r="209" spans="1:2">
      <c r="A209" s="178"/>
      <c r="B209" s="178"/>
    </row>
    <row r="210" spans="1:2">
      <c r="A210" s="178"/>
      <c r="B210" s="178"/>
    </row>
    <row r="211" spans="1:2">
      <c r="A211" s="178"/>
      <c r="B211" s="178"/>
    </row>
    <row r="212" spans="1:2">
      <c r="A212" s="178"/>
      <c r="B212" s="178"/>
    </row>
    <row r="213" spans="1:2">
      <c r="A213" s="178"/>
      <c r="B213" s="178"/>
    </row>
    <row r="214" spans="1:2">
      <c r="A214" s="178"/>
      <c r="B214" s="178"/>
    </row>
    <row r="215" spans="1:2">
      <c r="A215" s="178"/>
      <c r="B215" s="178"/>
    </row>
    <row r="216" spans="1:2">
      <c r="A216" s="178"/>
      <c r="B216" s="178"/>
    </row>
    <row r="217" spans="1:2">
      <c r="A217" s="178"/>
      <c r="B217" s="178"/>
    </row>
    <row r="218" spans="1:2">
      <c r="A218" s="178"/>
      <c r="B218" s="178"/>
    </row>
    <row r="219" spans="1:2">
      <c r="A219" s="178"/>
      <c r="B219" s="178"/>
    </row>
    <row r="220" spans="1:2">
      <c r="A220" s="178"/>
      <c r="B220" s="178"/>
    </row>
    <row r="221" spans="1:2">
      <c r="A221" s="178"/>
      <c r="B221" s="178"/>
    </row>
    <row r="222" spans="1:2">
      <c r="A222" s="178"/>
      <c r="B222" s="178"/>
    </row>
    <row r="223" spans="1:2">
      <c r="A223" s="178"/>
      <c r="B223" s="178"/>
    </row>
    <row r="224" spans="1:2">
      <c r="A224" s="178"/>
      <c r="B224" s="178"/>
    </row>
    <row r="225" spans="1:2">
      <c r="A225" s="178"/>
      <c r="B225" s="178"/>
    </row>
    <row r="226" spans="1:2">
      <c r="A226" s="178"/>
      <c r="B226" s="178"/>
    </row>
    <row r="227" spans="1:2">
      <c r="A227" s="178"/>
      <c r="B227" s="178"/>
    </row>
    <row r="228" spans="1:2">
      <c r="A228" s="178"/>
      <c r="B228" s="178"/>
    </row>
    <row r="229" spans="1:2">
      <c r="A229" s="178"/>
      <c r="B229" s="178"/>
    </row>
    <row r="230" spans="1:2">
      <c r="A230" s="178"/>
      <c r="B230" s="178"/>
    </row>
    <row r="231" spans="1:2">
      <c r="A231" s="178"/>
      <c r="B231" s="178"/>
    </row>
    <row r="232" spans="1:2">
      <c r="A232" s="178"/>
      <c r="B232" s="178"/>
    </row>
    <row r="233" spans="1:2">
      <c r="A233" s="178"/>
      <c r="B233" s="178"/>
    </row>
    <row r="234" spans="1:2">
      <c r="A234" s="178"/>
      <c r="B234" s="178"/>
    </row>
    <row r="235" spans="1:2">
      <c r="A235" s="178"/>
      <c r="B235" s="178"/>
    </row>
    <row r="236" spans="1:2">
      <c r="A236" s="178"/>
      <c r="B236" s="178"/>
    </row>
    <row r="237" spans="1:2">
      <c r="A237" s="178"/>
      <c r="B237" s="178"/>
    </row>
    <row r="238" spans="1:2">
      <c r="A238" s="178"/>
      <c r="B238" s="178"/>
    </row>
    <row r="239" spans="1:2">
      <c r="A239" s="178"/>
      <c r="B239" s="178"/>
    </row>
    <row r="240" spans="1:2">
      <c r="A240" s="178"/>
      <c r="B240" s="178"/>
    </row>
    <row r="241" spans="1:2">
      <c r="A241" s="178"/>
      <c r="B241" s="178"/>
    </row>
    <row r="242" spans="1:2">
      <c r="A242" s="178"/>
      <c r="B242" s="178"/>
    </row>
    <row r="243" spans="1:2">
      <c r="A243" s="178"/>
    </row>
    <row r="244" spans="1:2">
      <c r="A244" s="178"/>
    </row>
    <row r="245" spans="1:2">
      <c r="A245" s="178"/>
    </row>
    <row r="246" spans="1:2">
      <c r="A246" s="178"/>
    </row>
    <row r="247" spans="1:2">
      <c r="A247" s="178"/>
    </row>
    <row r="248" spans="1:2">
      <c r="A248" s="178"/>
    </row>
    <row r="249" spans="1:2">
      <c r="A249" s="178"/>
    </row>
    <row r="250" spans="1:2">
      <c r="A250" s="178"/>
    </row>
  </sheetData>
  <mergeCells count="8">
    <mergeCell ref="D52:O52"/>
    <mergeCell ref="D51:O51"/>
    <mergeCell ref="D45:O45"/>
    <mergeCell ref="D46:O46"/>
    <mergeCell ref="D47:O47"/>
    <mergeCell ref="D48:O48"/>
    <mergeCell ref="D49:O49"/>
    <mergeCell ref="D50:O50"/>
  </mergeCells>
  <printOptions horizontalCentered="1"/>
  <pageMargins left="0.75" right="0.75" top="0.75" bottom="0.5" header="0.5" footer="0.5"/>
  <pageSetup scale="5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tabColor rgb="FFFF3300"/>
    <pageSetUpPr fitToPage="1"/>
  </sheetPr>
  <dimension ref="A1:BG284"/>
  <sheetViews>
    <sheetView zoomScale="80" zoomScaleNormal="80" workbookViewId="0"/>
  </sheetViews>
  <sheetFormatPr defaultRowHeight="15"/>
  <cols>
    <col min="1" max="1" width="6" style="122" customWidth="1"/>
    <col min="2" max="2" width="1.453125" style="122" customWidth="1"/>
    <col min="3" max="3" width="52.36328125" style="122" customWidth="1"/>
    <col min="4" max="4" width="1.08984375" style="122" customWidth="1"/>
    <col min="5" max="5" width="37.08984375" style="122" customWidth="1"/>
    <col min="6" max="6" width="1.1796875" style="122" customWidth="1"/>
    <col min="7" max="7" width="14.08984375" style="122" customWidth="1"/>
    <col min="8" max="8" width="0.90625" style="122" customWidth="1"/>
    <col min="9" max="9" width="12.81640625" style="122" customWidth="1"/>
    <col min="10" max="10" width="3.81640625" style="122" customWidth="1"/>
    <col min="11" max="11" width="5.1796875" style="122" customWidth="1"/>
    <col min="12" max="12" width="1.90625" style="122" customWidth="1"/>
    <col min="13" max="13" width="22.54296875" style="122" customWidth="1"/>
    <col min="14" max="14" width="8.81640625" style="122"/>
    <col min="15" max="15" width="13.81640625" style="122" customWidth="1"/>
    <col min="16" max="16" width="12.90625" style="122" customWidth="1"/>
    <col min="17" max="17" width="13.81640625" style="122" customWidth="1"/>
    <col min="18" max="18" width="12.453125" style="122" customWidth="1"/>
    <col min="19" max="19" width="13" style="122" customWidth="1"/>
    <col min="20" max="20" width="13.1796875" style="122" customWidth="1"/>
    <col min="21" max="21" width="12.6328125" style="122" customWidth="1"/>
    <col min="22" max="22" width="15.1796875" style="122" customWidth="1"/>
    <col min="23" max="23" width="12.54296875" style="122" customWidth="1"/>
    <col min="24" max="24" width="16.1796875" style="122" customWidth="1"/>
    <col min="25" max="245" width="8.81640625" style="122"/>
    <col min="246" max="246" width="6" style="122" customWidth="1"/>
    <col min="247" max="247" width="1.453125" style="122" customWidth="1"/>
    <col min="248" max="248" width="39.08984375" style="122" customWidth="1"/>
    <col min="249" max="249" width="12" style="122" customWidth="1"/>
    <col min="250" max="250" width="14.453125" style="122" customWidth="1"/>
    <col min="251" max="251" width="11.90625" style="122" customWidth="1"/>
    <col min="252" max="252" width="14.08984375" style="122" customWidth="1"/>
    <col min="253" max="253" width="13.90625" style="122" customWidth="1"/>
    <col min="254" max="255" width="12.81640625" style="122" customWidth="1"/>
    <col min="256" max="256" width="13.54296875" style="122" customWidth="1"/>
    <col min="257" max="257" width="15.36328125" style="122" customWidth="1"/>
    <col min="258" max="258" width="12.81640625" style="122" customWidth="1"/>
    <col min="259" max="259" width="13.90625" style="122" customWidth="1"/>
    <col min="260" max="260" width="1.90625" style="122" customWidth="1"/>
    <col min="261" max="261" width="13" style="122" customWidth="1"/>
    <col min="262" max="501" width="8.81640625" style="122"/>
    <col min="502" max="502" width="6" style="122" customWidth="1"/>
    <col min="503" max="503" width="1.453125" style="122" customWidth="1"/>
    <col min="504" max="504" width="39.08984375" style="122" customWidth="1"/>
    <col min="505" max="505" width="12" style="122" customWidth="1"/>
    <col min="506" max="506" width="14.453125" style="122" customWidth="1"/>
    <col min="507" max="507" width="11.90625" style="122" customWidth="1"/>
    <col min="508" max="508" width="14.08984375" style="122" customWidth="1"/>
    <col min="509" max="509" width="13.90625" style="122" customWidth="1"/>
    <col min="510" max="511" width="12.81640625" style="122" customWidth="1"/>
    <col min="512" max="512" width="13.54296875" style="122" customWidth="1"/>
    <col min="513" max="513" width="15.36328125" style="122" customWidth="1"/>
    <col min="514" max="514" width="12.81640625" style="122" customWidth="1"/>
    <col min="515" max="515" width="13.90625" style="122" customWidth="1"/>
    <col min="516" max="516" width="1.90625" style="122" customWidth="1"/>
    <col min="517" max="517" width="13" style="122" customWidth="1"/>
    <col min="518" max="757" width="8.81640625" style="122"/>
    <col min="758" max="758" width="6" style="122" customWidth="1"/>
    <col min="759" max="759" width="1.453125" style="122" customWidth="1"/>
    <col min="760" max="760" width="39.08984375" style="122" customWidth="1"/>
    <col min="761" max="761" width="12" style="122" customWidth="1"/>
    <col min="762" max="762" width="14.453125" style="122" customWidth="1"/>
    <col min="763" max="763" width="11.90625" style="122" customWidth="1"/>
    <col min="764" max="764" width="14.08984375" style="122" customWidth="1"/>
    <col min="765" max="765" width="13.90625" style="122" customWidth="1"/>
    <col min="766" max="767" width="12.81640625" style="122" customWidth="1"/>
    <col min="768" max="768" width="13.54296875" style="122" customWidth="1"/>
    <col min="769" max="769" width="15.36328125" style="122" customWidth="1"/>
    <col min="770" max="770" width="12.81640625" style="122" customWidth="1"/>
    <col min="771" max="771" width="13.90625" style="122" customWidth="1"/>
    <col min="772" max="772" width="1.90625" style="122" customWidth="1"/>
    <col min="773" max="773" width="13" style="122" customWidth="1"/>
    <col min="774" max="1013" width="8.81640625" style="122"/>
    <col min="1014" max="1014" width="6" style="122" customWidth="1"/>
    <col min="1015" max="1015" width="1.453125" style="122" customWidth="1"/>
    <col min="1016" max="1016" width="39.08984375" style="122" customWidth="1"/>
    <col min="1017" max="1017" width="12" style="122" customWidth="1"/>
    <col min="1018" max="1018" width="14.453125" style="122" customWidth="1"/>
    <col min="1019" max="1019" width="11.90625" style="122" customWidth="1"/>
    <col min="1020" max="1020" width="14.08984375" style="122" customWidth="1"/>
    <col min="1021" max="1021" width="13.90625" style="122" customWidth="1"/>
    <col min="1022" max="1023" width="12.81640625" style="122" customWidth="1"/>
    <col min="1024" max="1024" width="13.54296875" style="122" customWidth="1"/>
    <col min="1025" max="1025" width="15.36328125" style="122" customWidth="1"/>
    <col min="1026" max="1026" width="12.81640625" style="122" customWidth="1"/>
    <col min="1027" max="1027" width="13.90625" style="122" customWidth="1"/>
    <col min="1028" max="1028" width="1.90625" style="122" customWidth="1"/>
    <col min="1029" max="1029" width="13" style="122" customWidth="1"/>
    <col min="1030" max="1269" width="8.81640625" style="122"/>
    <col min="1270" max="1270" width="6" style="122" customWidth="1"/>
    <col min="1271" max="1271" width="1.453125" style="122" customWidth="1"/>
    <col min="1272" max="1272" width="39.08984375" style="122" customWidth="1"/>
    <col min="1273" max="1273" width="12" style="122" customWidth="1"/>
    <col min="1274" max="1274" width="14.453125" style="122" customWidth="1"/>
    <col min="1275" max="1275" width="11.90625" style="122" customWidth="1"/>
    <col min="1276" max="1276" width="14.08984375" style="122" customWidth="1"/>
    <col min="1277" max="1277" width="13.90625" style="122" customWidth="1"/>
    <col min="1278" max="1279" width="12.81640625" style="122" customWidth="1"/>
    <col min="1280" max="1280" width="13.54296875" style="122" customWidth="1"/>
    <col min="1281" max="1281" width="15.36328125" style="122" customWidth="1"/>
    <col min="1282" max="1282" width="12.81640625" style="122" customWidth="1"/>
    <col min="1283" max="1283" width="13.90625" style="122" customWidth="1"/>
    <col min="1284" max="1284" width="1.90625" style="122" customWidth="1"/>
    <col min="1285" max="1285" width="13" style="122" customWidth="1"/>
    <col min="1286" max="1525" width="8.81640625" style="122"/>
    <col min="1526" max="1526" width="6" style="122" customWidth="1"/>
    <col min="1527" max="1527" width="1.453125" style="122" customWidth="1"/>
    <col min="1528" max="1528" width="39.08984375" style="122" customWidth="1"/>
    <col min="1529" max="1529" width="12" style="122" customWidth="1"/>
    <col min="1530" max="1530" width="14.453125" style="122" customWidth="1"/>
    <col min="1531" max="1531" width="11.90625" style="122" customWidth="1"/>
    <col min="1532" max="1532" width="14.08984375" style="122" customWidth="1"/>
    <col min="1533" max="1533" width="13.90625" style="122" customWidth="1"/>
    <col min="1534" max="1535" width="12.81640625" style="122" customWidth="1"/>
    <col min="1536" max="1536" width="13.54296875" style="122" customWidth="1"/>
    <col min="1537" max="1537" width="15.36328125" style="122" customWidth="1"/>
    <col min="1538" max="1538" width="12.81640625" style="122" customWidth="1"/>
    <col min="1539" max="1539" width="13.90625" style="122" customWidth="1"/>
    <col min="1540" max="1540" width="1.90625" style="122" customWidth="1"/>
    <col min="1541" max="1541" width="13" style="122" customWidth="1"/>
    <col min="1542" max="1781" width="8.81640625" style="122"/>
    <col min="1782" max="1782" width="6" style="122" customWidth="1"/>
    <col min="1783" max="1783" width="1.453125" style="122" customWidth="1"/>
    <col min="1784" max="1784" width="39.08984375" style="122" customWidth="1"/>
    <col min="1785" max="1785" width="12" style="122" customWidth="1"/>
    <col min="1786" max="1786" width="14.453125" style="122" customWidth="1"/>
    <col min="1787" max="1787" width="11.90625" style="122" customWidth="1"/>
    <col min="1788" max="1788" width="14.08984375" style="122" customWidth="1"/>
    <col min="1789" max="1789" width="13.90625" style="122" customWidth="1"/>
    <col min="1790" max="1791" width="12.81640625" style="122" customWidth="1"/>
    <col min="1792" max="1792" width="13.54296875" style="122" customWidth="1"/>
    <col min="1793" max="1793" width="15.36328125" style="122" customWidth="1"/>
    <col min="1794" max="1794" width="12.81640625" style="122" customWidth="1"/>
    <col min="1795" max="1795" width="13.90625" style="122" customWidth="1"/>
    <col min="1796" max="1796" width="1.90625" style="122" customWidth="1"/>
    <col min="1797" max="1797" width="13" style="122" customWidth="1"/>
    <col min="1798" max="2037" width="8.81640625" style="122"/>
    <col min="2038" max="2038" width="6" style="122" customWidth="1"/>
    <col min="2039" max="2039" width="1.453125" style="122" customWidth="1"/>
    <col min="2040" max="2040" width="39.08984375" style="122" customWidth="1"/>
    <col min="2041" max="2041" width="12" style="122" customWidth="1"/>
    <col min="2042" max="2042" width="14.453125" style="122" customWidth="1"/>
    <col min="2043" max="2043" width="11.90625" style="122" customWidth="1"/>
    <col min="2044" max="2044" width="14.08984375" style="122" customWidth="1"/>
    <col min="2045" max="2045" width="13.90625" style="122" customWidth="1"/>
    <col min="2046" max="2047" width="12.81640625" style="122" customWidth="1"/>
    <col min="2048" max="2048" width="13.54296875" style="122" customWidth="1"/>
    <col min="2049" max="2049" width="15.36328125" style="122" customWidth="1"/>
    <col min="2050" max="2050" width="12.81640625" style="122" customWidth="1"/>
    <col min="2051" max="2051" width="13.90625" style="122" customWidth="1"/>
    <col min="2052" max="2052" width="1.90625" style="122" customWidth="1"/>
    <col min="2053" max="2053" width="13" style="122" customWidth="1"/>
    <col min="2054" max="2293" width="8.81640625" style="122"/>
    <col min="2294" max="2294" width="6" style="122" customWidth="1"/>
    <col min="2295" max="2295" width="1.453125" style="122" customWidth="1"/>
    <col min="2296" max="2296" width="39.08984375" style="122" customWidth="1"/>
    <col min="2297" max="2297" width="12" style="122" customWidth="1"/>
    <col min="2298" max="2298" width="14.453125" style="122" customWidth="1"/>
    <col min="2299" max="2299" width="11.90625" style="122" customWidth="1"/>
    <col min="2300" max="2300" width="14.08984375" style="122" customWidth="1"/>
    <col min="2301" max="2301" width="13.90625" style="122" customWidth="1"/>
    <col min="2302" max="2303" width="12.81640625" style="122" customWidth="1"/>
    <col min="2304" max="2304" width="13.54296875" style="122" customWidth="1"/>
    <col min="2305" max="2305" width="15.36328125" style="122" customWidth="1"/>
    <col min="2306" max="2306" width="12.81640625" style="122" customWidth="1"/>
    <col min="2307" max="2307" width="13.90625" style="122" customWidth="1"/>
    <col min="2308" max="2308" width="1.90625" style="122" customWidth="1"/>
    <col min="2309" max="2309" width="13" style="122" customWidth="1"/>
    <col min="2310" max="2549" width="8.81640625" style="122"/>
    <col min="2550" max="2550" width="6" style="122" customWidth="1"/>
    <col min="2551" max="2551" width="1.453125" style="122" customWidth="1"/>
    <col min="2552" max="2552" width="39.08984375" style="122" customWidth="1"/>
    <col min="2553" max="2553" width="12" style="122" customWidth="1"/>
    <col min="2554" max="2554" width="14.453125" style="122" customWidth="1"/>
    <col min="2555" max="2555" width="11.90625" style="122" customWidth="1"/>
    <col min="2556" max="2556" width="14.08984375" style="122" customWidth="1"/>
    <col min="2557" max="2557" width="13.90625" style="122" customWidth="1"/>
    <col min="2558" max="2559" width="12.81640625" style="122" customWidth="1"/>
    <col min="2560" max="2560" width="13.54296875" style="122" customWidth="1"/>
    <col min="2561" max="2561" width="15.36328125" style="122" customWidth="1"/>
    <col min="2562" max="2562" width="12.81640625" style="122" customWidth="1"/>
    <col min="2563" max="2563" width="13.90625" style="122" customWidth="1"/>
    <col min="2564" max="2564" width="1.90625" style="122" customWidth="1"/>
    <col min="2565" max="2565" width="13" style="122" customWidth="1"/>
    <col min="2566" max="2805" width="8.81640625" style="122"/>
    <col min="2806" max="2806" width="6" style="122" customWidth="1"/>
    <col min="2807" max="2807" width="1.453125" style="122" customWidth="1"/>
    <col min="2808" max="2808" width="39.08984375" style="122" customWidth="1"/>
    <col min="2809" max="2809" width="12" style="122" customWidth="1"/>
    <col min="2810" max="2810" width="14.453125" style="122" customWidth="1"/>
    <col min="2811" max="2811" width="11.90625" style="122" customWidth="1"/>
    <col min="2812" max="2812" width="14.08984375" style="122" customWidth="1"/>
    <col min="2813" max="2813" width="13.90625" style="122" customWidth="1"/>
    <col min="2814" max="2815" width="12.81640625" style="122" customWidth="1"/>
    <col min="2816" max="2816" width="13.54296875" style="122" customWidth="1"/>
    <col min="2817" max="2817" width="15.36328125" style="122" customWidth="1"/>
    <col min="2818" max="2818" width="12.81640625" style="122" customWidth="1"/>
    <col min="2819" max="2819" width="13.90625" style="122" customWidth="1"/>
    <col min="2820" max="2820" width="1.90625" style="122" customWidth="1"/>
    <col min="2821" max="2821" width="13" style="122" customWidth="1"/>
    <col min="2822" max="3061" width="8.81640625" style="122"/>
    <col min="3062" max="3062" width="6" style="122" customWidth="1"/>
    <col min="3063" max="3063" width="1.453125" style="122" customWidth="1"/>
    <col min="3064" max="3064" width="39.08984375" style="122" customWidth="1"/>
    <col min="3065" max="3065" width="12" style="122" customWidth="1"/>
    <col min="3066" max="3066" width="14.453125" style="122" customWidth="1"/>
    <col min="3067" max="3067" width="11.90625" style="122" customWidth="1"/>
    <col min="3068" max="3068" width="14.08984375" style="122" customWidth="1"/>
    <col min="3069" max="3069" width="13.90625" style="122" customWidth="1"/>
    <col min="3070" max="3071" width="12.81640625" style="122" customWidth="1"/>
    <col min="3072" max="3072" width="13.54296875" style="122" customWidth="1"/>
    <col min="3073" max="3073" width="15.36328125" style="122" customWidth="1"/>
    <col min="3074" max="3074" width="12.81640625" style="122" customWidth="1"/>
    <col min="3075" max="3075" width="13.90625" style="122" customWidth="1"/>
    <col min="3076" max="3076" width="1.90625" style="122" customWidth="1"/>
    <col min="3077" max="3077" width="13" style="122" customWidth="1"/>
    <col min="3078" max="3317" width="8.81640625" style="122"/>
    <col min="3318" max="3318" width="6" style="122" customWidth="1"/>
    <col min="3319" max="3319" width="1.453125" style="122" customWidth="1"/>
    <col min="3320" max="3320" width="39.08984375" style="122" customWidth="1"/>
    <col min="3321" max="3321" width="12" style="122" customWidth="1"/>
    <col min="3322" max="3322" width="14.453125" style="122" customWidth="1"/>
    <col min="3323" max="3323" width="11.90625" style="122" customWidth="1"/>
    <col min="3324" max="3324" width="14.08984375" style="122" customWidth="1"/>
    <col min="3325" max="3325" width="13.90625" style="122" customWidth="1"/>
    <col min="3326" max="3327" width="12.81640625" style="122" customWidth="1"/>
    <col min="3328" max="3328" width="13.54296875" style="122" customWidth="1"/>
    <col min="3329" max="3329" width="15.36328125" style="122" customWidth="1"/>
    <col min="3330" max="3330" width="12.81640625" style="122" customWidth="1"/>
    <col min="3331" max="3331" width="13.90625" style="122" customWidth="1"/>
    <col min="3332" max="3332" width="1.90625" style="122" customWidth="1"/>
    <col min="3333" max="3333" width="13" style="122" customWidth="1"/>
    <col min="3334" max="3573" width="8.81640625" style="122"/>
    <col min="3574" max="3574" width="6" style="122" customWidth="1"/>
    <col min="3575" max="3575" width="1.453125" style="122" customWidth="1"/>
    <col min="3576" max="3576" width="39.08984375" style="122" customWidth="1"/>
    <col min="3577" max="3577" width="12" style="122" customWidth="1"/>
    <col min="3578" max="3578" width="14.453125" style="122" customWidth="1"/>
    <col min="3579" max="3579" width="11.90625" style="122" customWidth="1"/>
    <col min="3580" max="3580" width="14.08984375" style="122" customWidth="1"/>
    <col min="3581" max="3581" width="13.90625" style="122" customWidth="1"/>
    <col min="3582" max="3583" width="12.81640625" style="122" customWidth="1"/>
    <col min="3584" max="3584" width="13.54296875" style="122" customWidth="1"/>
    <col min="3585" max="3585" width="15.36328125" style="122" customWidth="1"/>
    <col min="3586" max="3586" width="12.81640625" style="122" customWidth="1"/>
    <col min="3587" max="3587" width="13.90625" style="122" customWidth="1"/>
    <col min="3588" max="3588" width="1.90625" style="122" customWidth="1"/>
    <col min="3589" max="3589" width="13" style="122" customWidth="1"/>
    <col min="3590" max="3829" width="8.81640625" style="122"/>
    <col min="3830" max="3830" width="6" style="122" customWidth="1"/>
    <col min="3831" max="3831" width="1.453125" style="122" customWidth="1"/>
    <col min="3832" max="3832" width="39.08984375" style="122" customWidth="1"/>
    <col min="3833" max="3833" width="12" style="122" customWidth="1"/>
    <col min="3834" max="3834" width="14.453125" style="122" customWidth="1"/>
    <col min="3835" max="3835" width="11.90625" style="122" customWidth="1"/>
    <col min="3836" max="3836" width="14.08984375" style="122" customWidth="1"/>
    <col min="3837" max="3837" width="13.90625" style="122" customWidth="1"/>
    <col min="3838" max="3839" width="12.81640625" style="122" customWidth="1"/>
    <col min="3840" max="3840" width="13.54296875" style="122" customWidth="1"/>
    <col min="3841" max="3841" width="15.36328125" style="122" customWidth="1"/>
    <col min="3842" max="3842" width="12.81640625" style="122" customWidth="1"/>
    <col min="3843" max="3843" width="13.90625" style="122" customWidth="1"/>
    <col min="3844" max="3844" width="1.90625" style="122" customWidth="1"/>
    <col min="3845" max="3845" width="13" style="122" customWidth="1"/>
    <col min="3846" max="4085" width="8.81640625" style="122"/>
    <col min="4086" max="4086" width="6" style="122" customWidth="1"/>
    <col min="4087" max="4087" width="1.453125" style="122" customWidth="1"/>
    <col min="4088" max="4088" width="39.08984375" style="122" customWidth="1"/>
    <col min="4089" max="4089" width="12" style="122" customWidth="1"/>
    <col min="4090" max="4090" width="14.453125" style="122" customWidth="1"/>
    <col min="4091" max="4091" width="11.90625" style="122" customWidth="1"/>
    <col min="4092" max="4092" width="14.08984375" style="122" customWidth="1"/>
    <col min="4093" max="4093" width="13.90625" style="122" customWidth="1"/>
    <col min="4094" max="4095" width="12.81640625" style="122" customWidth="1"/>
    <col min="4096" max="4096" width="13.54296875" style="122" customWidth="1"/>
    <col min="4097" max="4097" width="15.36328125" style="122" customWidth="1"/>
    <col min="4098" max="4098" width="12.81640625" style="122" customWidth="1"/>
    <col min="4099" max="4099" width="13.90625" style="122" customWidth="1"/>
    <col min="4100" max="4100" width="1.90625" style="122" customWidth="1"/>
    <col min="4101" max="4101" width="13" style="122" customWidth="1"/>
    <col min="4102" max="4341" width="8.81640625" style="122"/>
    <col min="4342" max="4342" width="6" style="122" customWidth="1"/>
    <col min="4343" max="4343" width="1.453125" style="122" customWidth="1"/>
    <col min="4344" max="4344" width="39.08984375" style="122" customWidth="1"/>
    <col min="4345" max="4345" width="12" style="122" customWidth="1"/>
    <col min="4346" max="4346" width="14.453125" style="122" customWidth="1"/>
    <col min="4347" max="4347" width="11.90625" style="122" customWidth="1"/>
    <col min="4348" max="4348" width="14.08984375" style="122" customWidth="1"/>
    <col min="4349" max="4349" width="13.90625" style="122" customWidth="1"/>
    <col min="4350" max="4351" width="12.81640625" style="122" customWidth="1"/>
    <col min="4352" max="4352" width="13.54296875" style="122" customWidth="1"/>
    <col min="4353" max="4353" width="15.36328125" style="122" customWidth="1"/>
    <col min="4354" max="4354" width="12.81640625" style="122" customWidth="1"/>
    <col min="4355" max="4355" width="13.90625" style="122" customWidth="1"/>
    <col min="4356" max="4356" width="1.90625" style="122" customWidth="1"/>
    <col min="4357" max="4357" width="13" style="122" customWidth="1"/>
    <col min="4358" max="4597" width="8.81640625" style="122"/>
    <col min="4598" max="4598" width="6" style="122" customWidth="1"/>
    <col min="4599" max="4599" width="1.453125" style="122" customWidth="1"/>
    <col min="4600" max="4600" width="39.08984375" style="122" customWidth="1"/>
    <col min="4601" max="4601" width="12" style="122" customWidth="1"/>
    <col min="4602" max="4602" width="14.453125" style="122" customWidth="1"/>
    <col min="4603" max="4603" width="11.90625" style="122" customWidth="1"/>
    <col min="4604" max="4604" width="14.08984375" style="122" customWidth="1"/>
    <col min="4605" max="4605" width="13.90625" style="122" customWidth="1"/>
    <col min="4606" max="4607" width="12.81640625" style="122" customWidth="1"/>
    <col min="4608" max="4608" width="13.54296875" style="122" customWidth="1"/>
    <col min="4609" max="4609" width="15.36328125" style="122" customWidth="1"/>
    <col min="4610" max="4610" width="12.81640625" style="122" customWidth="1"/>
    <col min="4611" max="4611" width="13.90625" style="122" customWidth="1"/>
    <col min="4612" max="4612" width="1.90625" style="122" customWidth="1"/>
    <col min="4613" max="4613" width="13" style="122" customWidth="1"/>
    <col min="4614" max="4853" width="8.81640625" style="122"/>
    <col min="4854" max="4854" width="6" style="122" customWidth="1"/>
    <col min="4855" max="4855" width="1.453125" style="122" customWidth="1"/>
    <col min="4856" max="4856" width="39.08984375" style="122" customWidth="1"/>
    <col min="4857" max="4857" width="12" style="122" customWidth="1"/>
    <col min="4858" max="4858" width="14.453125" style="122" customWidth="1"/>
    <col min="4859" max="4859" width="11.90625" style="122" customWidth="1"/>
    <col min="4860" max="4860" width="14.08984375" style="122" customWidth="1"/>
    <col min="4861" max="4861" width="13.90625" style="122" customWidth="1"/>
    <col min="4862" max="4863" width="12.81640625" style="122" customWidth="1"/>
    <col min="4864" max="4864" width="13.54296875" style="122" customWidth="1"/>
    <col min="4865" max="4865" width="15.36328125" style="122" customWidth="1"/>
    <col min="4866" max="4866" width="12.81640625" style="122" customWidth="1"/>
    <col min="4867" max="4867" width="13.90625" style="122" customWidth="1"/>
    <col min="4868" max="4868" width="1.90625" style="122" customWidth="1"/>
    <col min="4869" max="4869" width="13" style="122" customWidth="1"/>
    <col min="4870" max="5109" width="8.81640625" style="122"/>
    <col min="5110" max="5110" width="6" style="122" customWidth="1"/>
    <col min="5111" max="5111" width="1.453125" style="122" customWidth="1"/>
    <col min="5112" max="5112" width="39.08984375" style="122" customWidth="1"/>
    <col min="5113" max="5113" width="12" style="122" customWidth="1"/>
    <col min="5114" max="5114" width="14.453125" style="122" customWidth="1"/>
    <col min="5115" max="5115" width="11.90625" style="122" customWidth="1"/>
    <col min="5116" max="5116" width="14.08984375" style="122" customWidth="1"/>
    <col min="5117" max="5117" width="13.90625" style="122" customWidth="1"/>
    <col min="5118" max="5119" width="12.81640625" style="122" customWidth="1"/>
    <col min="5120" max="5120" width="13.54296875" style="122" customWidth="1"/>
    <col min="5121" max="5121" width="15.36328125" style="122" customWidth="1"/>
    <col min="5122" max="5122" width="12.81640625" style="122" customWidth="1"/>
    <col min="5123" max="5123" width="13.90625" style="122" customWidth="1"/>
    <col min="5124" max="5124" width="1.90625" style="122" customWidth="1"/>
    <col min="5125" max="5125" width="13" style="122" customWidth="1"/>
    <col min="5126" max="5365" width="8.81640625" style="122"/>
    <col min="5366" max="5366" width="6" style="122" customWidth="1"/>
    <col min="5367" max="5367" width="1.453125" style="122" customWidth="1"/>
    <col min="5368" max="5368" width="39.08984375" style="122" customWidth="1"/>
    <col min="5369" max="5369" width="12" style="122" customWidth="1"/>
    <col min="5370" max="5370" width="14.453125" style="122" customWidth="1"/>
    <col min="5371" max="5371" width="11.90625" style="122" customWidth="1"/>
    <col min="5372" max="5372" width="14.08984375" style="122" customWidth="1"/>
    <col min="5373" max="5373" width="13.90625" style="122" customWidth="1"/>
    <col min="5374" max="5375" width="12.81640625" style="122" customWidth="1"/>
    <col min="5376" max="5376" width="13.54296875" style="122" customWidth="1"/>
    <col min="5377" max="5377" width="15.36328125" style="122" customWidth="1"/>
    <col min="5378" max="5378" width="12.81640625" style="122" customWidth="1"/>
    <col min="5379" max="5379" width="13.90625" style="122" customWidth="1"/>
    <col min="5380" max="5380" width="1.90625" style="122" customWidth="1"/>
    <col min="5381" max="5381" width="13" style="122" customWidth="1"/>
    <col min="5382" max="5621" width="8.81640625" style="122"/>
    <col min="5622" max="5622" width="6" style="122" customWidth="1"/>
    <col min="5623" max="5623" width="1.453125" style="122" customWidth="1"/>
    <col min="5624" max="5624" width="39.08984375" style="122" customWidth="1"/>
    <col min="5625" max="5625" width="12" style="122" customWidth="1"/>
    <col min="5626" max="5626" width="14.453125" style="122" customWidth="1"/>
    <col min="5627" max="5627" width="11.90625" style="122" customWidth="1"/>
    <col min="5628" max="5628" width="14.08984375" style="122" customWidth="1"/>
    <col min="5629" max="5629" width="13.90625" style="122" customWidth="1"/>
    <col min="5630" max="5631" width="12.81640625" style="122" customWidth="1"/>
    <col min="5632" max="5632" width="13.54296875" style="122" customWidth="1"/>
    <col min="5633" max="5633" width="15.36328125" style="122" customWidth="1"/>
    <col min="5634" max="5634" width="12.81640625" style="122" customWidth="1"/>
    <col min="5635" max="5635" width="13.90625" style="122" customWidth="1"/>
    <col min="5636" max="5636" width="1.90625" style="122" customWidth="1"/>
    <col min="5637" max="5637" width="13" style="122" customWidth="1"/>
    <col min="5638" max="5877" width="8.81640625" style="122"/>
    <col min="5878" max="5878" width="6" style="122" customWidth="1"/>
    <col min="5879" max="5879" width="1.453125" style="122" customWidth="1"/>
    <col min="5880" max="5880" width="39.08984375" style="122" customWidth="1"/>
    <col min="5881" max="5881" width="12" style="122" customWidth="1"/>
    <col min="5882" max="5882" width="14.453125" style="122" customWidth="1"/>
    <col min="5883" max="5883" width="11.90625" style="122" customWidth="1"/>
    <col min="5884" max="5884" width="14.08984375" style="122" customWidth="1"/>
    <col min="5885" max="5885" width="13.90625" style="122" customWidth="1"/>
    <col min="5886" max="5887" width="12.81640625" style="122" customWidth="1"/>
    <col min="5888" max="5888" width="13.54296875" style="122" customWidth="1"/>
    <col min="5889" max="5889" width="15.36328125" style="122" customWidth="1"/>
    <col min="5890" max="5890" width="12.81640625" style="122" customWidth="1"/>
    <col min="5891" max="5891" width="13.90625" style="122" customWidth="1"/>
    <col min="5892" max="5892" width="1.90625" style="122" customWidth="1"/>
    <col min="5893" max="5893" width="13" style="122" customWidth="1"/>
    <col min="5894" max="6133" width="8.81640625" style="122"/>
    <col min="6134" max="6134" width="6" style="122" customWidth="1"/>
    <col min="6135" max="6135" width="1.453125" style="122" customWidth="1"/>
    <col min="6136" max="6136" width="39.08984375" style="122" customWidth="1"/>
    <col min="6137" max="6137" width="12" style="122" customWidth="1"/>
    <col min="6138" max="6138" width="14.453125" style="122" customWidth="1"/>
    <col min="6139" max="6139" width="11.90625" style="122" customWidth="1"/>
    <col min="6140" max="6140" width="14.08984375" style="122" customWidth="1"/>
    <col min="6141" max="6141" width="13.90625" style="122" customWidth="1"/>
    <col min="6142" max="6143" width="12.81640625" style="122" customWidth="1"/>
    <col min="6144" max="6144" width="13.54296875" style="122" customWidth="1"/>
    <col min="6145" max="6145" width="15.36328125" style="122" customWidth="1"/>
    <col min="6146" max="6146" width="12.81640625" style="122" customWidth="1"/>
    <col min="6147" max="6147" width="13.90625" style="122" customWidth="1"/>
    <col min="6148" max="6148" width="1.90625" style="122" customWidth="1"/>
    <col min="6149" max="6149" width="13" style="122" customWidth="1"/>
    <col min="6150" max="6389" width="8.81640625" style="122"/>
    <col min="6390" max="6390" width="6" style="122" customWidth="1"/>
    <col min="6391" max="6391" width="1.453125" style="122" customWidth="1"/>
    <col min="6392" max="6392" width="39.08984375" style="122" customWidth="1"/>
    <col min="6393" max="6393" width="12" style="122" customWidth="1"/>
    <col min="6394" max="6394" width="14.453125" style="122" customWidth="1"/>
    <col min="6395" max="6395" width="11.90625" style="122" customWidth="1"/>
    <col min="6396" max="6396" width="14.08984375" style="122" customWidth="1"/>
    <col min="6397" max="6397" width="13.90625" style="122" customWidth="1"/>
    <col min="6398" max="6399" width="12.81640625" style="122" customWidth="1"/>
    <col min="6400" max="6400" width="13.54296875" style="122" customWidth="1"/>
    <col min="6401" max="6401" width="15.36328125" style="122" customWidth="1"/>
    <col min="6402" max="6402" width="12.81640625" style="122" customWidth="1"/>
    <col min="6403" max="6403" width="13.90625" style="122" customWidth="1"/>
    <col min="6404" max="6404" width="1.90625" style="122" customWidth="1"/>
    <col min="6405" max="6405" width="13" style="122" customWidth="1"/>
    <col min="6406" max="6645" width="8.81640625" style="122"/>
    <col min="6646" max="6646" width="6" style="122" customWidth="1"/>
    <col min="6647" max="6647" width="1.453125" style="122" customWidth="1"/>
    <col min="6648" max="6648" width="39.08984375" style="122" customWidth="1"/>
    <col min="6649" max="6649" width="12" style="122" customWidth="1"/>
    <col min="6650" max="6650" width="14.453125" style="122" customWidth="1"/>
    <col min="6651" max="6651" width="11.90625" style="122" customWidth="1"/>
    <col min="6652" max="6652" width="14.08984375" style="122" customWidth="1"/>
    <col min="6653" max="6653" width="13.90625" style="122" customWidth="1"/>
    <col min="6654" max="6655" width="12.81640625" style="122" customWidth="1"/>
    <col min="6656" max="6656" width="13.54296875" style="122" customWidth="1"/>
    <col min="6657" max="6657" width="15.36328125" style="122" customWidth="1"/>
    <col min="6658" max="6658" width="12.81640625" style="122" customWidth="1"/>
    <col min="6659" max="6659" width="13.90625" style="122" customWidth="1"/>
    <col min="6660" max="6660" width="1.90625" style="122" customWidth="1"/>
    <col min="6661" max="6661" width="13" style="122" customWidth="1"/>
    <col min="6662" max="6901" width="8.81640625" style="122"/>
    <col min="6902" max="6902" width="6" style="122" customWidth="1"/>
    <col min="6903" max="6903" width="1.453125" style="122" customWidth="1"/>
    <col min="6904" max="6904" width="39.08984375" style="122" customWidth="1"/>
    <col min="6905" max="6905" width="12" style="122" customWidth="1"/>
    <col min="6906" max="6906" width="14.453125" style="122" customWidth="1"/>
    <col min="6907" max="6907" width="11.90625" style="122" customWidth="1"/>
    <col min="6908" max="6908" width="14.08984375" style="122" customWidth="1"/>
    <col min="6909" max="6909" width="13.90625" style="122" customWidth="1"/>
    <col min="6910" max="6911" width="12.81640625" style="122" customWidth="1"/>
    <col min="6912" max="6912" width="13.54296875" style="122" customWidth="1"/>
    <col min="6913" max="6913" width="15.36328125" style="122" customWidth="1"/>
    <col min="6914" max="6914" width="12.81640625" style="122" customWidth="1"/>
    <col min="6915" max="6915" width="13.90625" style="122" customWidth="1"/>
    <col min="6916" max="6916" width="1.90625" style="122" customWidth="1"/>
    <col min="6917" max="6917" width="13" style="122" customWidth="1"/>
    <col min="6918" max="7157" width="8.81640625" style="122"/>
    <col min="7158" max="7158" width="6" style="122" customWidth="1"/>
    <col min="7159" max="7159" width="1.453125" style="122" customWidth="1"/>
    <col min="7160" max="7160" width="39.08984375" style="122" customWidth="1"/>
    <col min="7161" max="7161" width="12" style="122" customWidth="1"/>
    <col min="7162" max="7162" width="14.453125" style="122" customWidth="1"/>
    <col min="7163" max="7163" width="11.90625" style="122" customWidth="1"/>
    <col min="7164" max="7164" width="14.08984375" style="122" customWidth="1"/>
    <col min="7165" max="7165" width="13.90625" style="122" customWidth="1"/>
    <col min="7166" max="7167" width="12.81640625" style="122" customWidth="1"/>
    <col min="7168" max="7168" width="13.54296875" style="122" customWidth="1"/>
    <col min="7169" max="7169" width="15.36328125" style="122" customWidth="1"/>
    <col min="7170" max="7170" width="12.81640625" style="122" customWidth="1"/>
    <col min="7171" max="7171" width="13.90625" style="122" customWidth="1"/>
    <col min="7172" max="7172" width="1.90625" style="122" customWidth="1"/>
    <col min="7173" max="7173" width="13" style="122" customWidth="1"/>
    <col min="7174" max="7413" width="8.81640625" style="122"/>
    <col min="7414" max="7414" width="6" style="122" customWidth="1"/>
    <col min="7415" max="7415" width="1.453125" style="122" customWidth="1"/>
    <col min="7416" max="7416" width="39.08984375" style="122" customWidth="1"/>
    <col min="7417" max="7417" width="12" style="122" customWidth="1"/>
    <col min="7418" max="7418" width="14.453125" style="122" customWidth="1"/>
    <col min="7419" max="7419" width="11.90625" style="122" customWidth="1"/>
    <col min="7420" max="7420" width="14.08984375" style="122" customWidth="1"/>
    <col min="7421" max="7421" width="13.90625" style="122" customWidth="1"/>
    <col min="7422" max="7423" width="12.81640625" style="122" customWidth="1"/>
    <col min="7424" max="7424" width="13.54296875" style="122" customWidth="1"/>
    <col min="7425" max="7425" width="15.36328125" style="122" customWidth="1"/>
    <col min="7426" max="7426" width="12.81640625" style="122" customWidth="1"/>
    <col min="7427" max="7427" width="13.90625" style="122" customWidth="1"/>
    <col min="7428" max="7428" width="1.90625" style="122" customWidth="1"/>
    <col min="7429" max="7429" width="13" style="122" customWidth="1"/>
    <col min="7430" max="7669" width="8.81640625" style="122"/>
    <col min="7670" max="7670" width="6" style="122" customWidth="1"/>
    <col min="7671" max="7671" width="1.453125" style="122" customWidth="1"/>
    <col min="7672" max="7672" width="39.08984375" style="122" customWidth="1"/>
    <col min="7673" max="7673" width="12" style="122" customWidth="1"/>
    <col min="7674" max="7674" width="14.453125" style="122" customWidth="1"/>
    <col min="7675" max="7675" width="11.90625" style="122" customWidth="1"/>
    <col min="7676" max="7676" width="14.08984375" style="122" customWidth="1"/>
    <col min="7677" max="7677" width="13.90625" style="122" customWidth="1"/>
    <col min="7678" max="7679" width="12.81640625" style="122" customWidth="1"/>
    <col min="7680" max="7680" width="13.54296875" style="122" customWidth="1"/>
    <col min="7681" max="7681" width="15.36328125" style="122" customWidth="1"/>
    <col min="7682" max="7682" width="12.81640625" style="122" customWidth="1"/>
    <col min="7683" max="7683" width="13.90625" style="122" customWidth="1"/>
    <col min="7684" max="7684" width="1.90625" style="122" customWidth="1"/>
    <col min="7685" max="7685" width="13" style="122" customWidth="1"/>
    <col min="7686" max="7925" width="8.81640625" style="122"/>
    <col min="7926" max="7926" width="6" style="122" customWidth="1"/>
    <col min="7927" max="7927" width="1.453125" style="122" customWidth="1"/>
    <col min="7928" max="7928" width="39.08984375" style="122" customWidth="1"/>
    <col min="7929" max="7929" width="12" style="122" customWidth="1"/>
    <col min="7930" max="7930" width="14.453125" style="122" customWidth="1"/>
    <col min="7931" max="7931" width="11.90625" style="122" customWidth="1"/>
    <col min="7932" max="7932" width="14.08984375" style="122" customWidth="1"/>
    <col min="7933" max="7933" width="13.90625" style="122" customWidth="1"/>
    <col min="7934" max="7935" width="12.81640625" style="122" customWidth="1"/>
    <col min="7936" max="7936" width="13.54296875" style="122" customWidth="1"/>
    <col min="7937" max="7937" width="15.36328125" style="122" customWidth="1"/>
    <col min="7938" max="7938" width="12.81640625" style="122" customWidth="1"/>
    <col min="7939" max="7939" width="13.90625" style="122" customWidth="1"/>
    <col min="7940" max="7940" width="1.90625" style="122" customWidth="1"/>
    <col min="7941" max="7941" width="13" style="122" customWidth="1"/>
    <col min="7942" max="8181" width="8.81640625" style="122"/>
    <col min="8182" max="8182" width="6" style="122" customWidth="1"/>
    <col min="8183" max="8183" width="1.453125" style="122" customWidth="1"/>
    <col min="8184" max="8184" width="39.08984375" style="122" customWidth="1"/>
    <col min="8185" max="8185" width="12" style="122" customWidth="1"/>
    <col min="8186" max="8186" width="14.453125" style="122" customWidth="1"/>
    <col min="8187" max="8187" width="11.90625" style="122" customWidth="1"/>
    <col min="8188" max="8188" width="14.08984375" style="122" customWidth="1"/>
    <col min="8189" max="8189" width="13.90625" style="122" customWidth="1"/>
    <col min="8190" max="8191" width="12.81640625" style="122" customWidth="1"/>
    <col min="8192" max="8192" width="13.54296875" style="122" customWidth="1"/>
    <col min="8193" max="8193" width="15.36328125" style="122" customWidth="1"/>
    <col min="8194" max="8194" width="12.81640625" style="122" customWidth="1"/>
    <col min="8195" max="8195" width="13.90625" style="122" customWidth="1"/>
    <col min="8196" max="8196" width="1.90625" style="122" customWidth="1"/>
    <col min="8197" max="8197" width="13" style="122" customWidth="1"/>
    <col min="8198" max="8437" width="8.81640625" style="122"/>
    <col min="8438" max="8438" width="6" style="122" customWidth="1"/>
    <col min="8439" max="8439" width="1.453125" style="122" customWidth="1"/>
    <col min="8440" max="8440" width="39.08984375" style="122" customWidth="1"/>
    <col min="8441" max="8441" width="12" style="122" customWidth="1"/>
    <col min="8442" max="8442" width="14.453125" style="122" customWidth="1"/>
    <col min="8443" max="8443" width="11.90625" style="122" customWidth="1"/>
    <col min="8444" max="8444" width="14.08984375" style="122" customWidth="1"/>
    <col min="8445" max="8445" width="13.90625" style="122" customWidth="1"/>
    <col min="8446" max="8447" width="12.81640625" style="122" customWidth="1"/>
    <col min="8448" max="8448" width="13.54296875" style="122" customWidth="1"/>
    <col min="8449" max="8449" width="15.36328125" style="122" customWidth="1"/>
    <col min="8450" max="8450" width="12.81640625" style="122" customWidth="1"/>
    <col min="8451" max="8451" width="13.90625" style="122" customWidth="1"/>
    <col min="8452" max="8452" width="1.90625" style="122" customWidth="1"/>
    <col min="8453" max="8453" width="13" style="122" customWidth="1"/>
    <col min="8454" max="8693" width="8.81640625" style="122"/>
    <col min="8694" max="8694" width="6" style="122" customWidth="1"/>
    <col min="8695" max="8695" width="1.453125" style="122" customWidth="1"/>
    <col min="8696" max="8696" width="39.08984375" style="122" customWidth="1"/>
    <col min="8697" max="8697" width="12" style="122" customWidth="1"/>
    <col min="8698" max="8698" width="14.453125" style="122" customWidth="1"/>
    <col min="8699" max="8699" width="11.90625" style="122" customWidth="1"/>
    <col min="8700" max="8700" width="14.08984375" style="122" customWidth="1"/>
    <col min="8701" max="8701" width="13.90625" style="122" customWidth="1"/>
    <col min="8702" max="8703" width="12.81640625" style="122" customWidth="1"/>
    <col min="8704" max="8704" width="13.54296875" style="122" customWidth="1"/>
    <col min="8705" max="8705" width="15.36328125" style="122" customWidth="1"/>
    <col min="8706" max="8706" width="12.81640625" style="122" customWidth="1"/>
    <col min="8707" max="8707" width="13.90625" style="122" customWidth="1"/>
    <col min="8708" max="8708" width="1.90625" style="122" customWidth="1"/>
    <col min="8709" max="8709" width="13" style="122" customWidth="1"/>
    <col min="8710" max="8949" width="8.81640625" style="122"/>
    <col min="8950" max="8950" width="6" style="122" customWidth="1"/>
    <col min="8951" max="8951" width="1.453125" style="122" customWidth="1"/>
    <col min="8952" max="8952" width="39.08984375" style="122" customWidth="1"/>
    <col min="8953" max="8953" width="12" style="122" customWidth="1"/>
    <col min="8954" max="8954" width="14.453125" style="122" customWidth="1"/>
    <col min="8955" max="8955" width="11.90625" style="122" customWidth="1"/>
    <col min="8956" max="8956" width="14.08984375" style="122" customWidth="1"/>
    <col min="8957" max="8957" width="13.90625" style="122" customWidth="1"/>
    <col min="8958" max="8959" width="12.81640625" style="122" customWidth="1"/>
    <col min="8960" max="8960" width="13.54296875" style="122" customWidth="1"/>
    <col min="8961" max="8961" width="15.36328125" style="122" customWidth="1"/>
    <col min="8962" max="8962" width="12.81640625" style="122" customWidth="1"/>
    <col min="8963" max="8963" width="13.90625" style="122" customWidth="1"/>
    <col min="8964" max="8964" width="1.90625" style="122" customWidth="1"/>
    <col min="8965" max="8965" width="13" style="122" customWidth="1"/>
    <col min="8966" max="9205" width="8.81640625" style="122"/>
    <col min="9206" max="9206" width="6" style="122" customWidth="1"/>
    <col min="9207" max="9207" width="1.453125" style="122" customWidth="1"/>
    <col min="9208" max="9208" width="39.08984375" style="122" customWidth="1"/>
    <col min="9209" max="9209" width="12" style="122" customWidth="1"/>
    <col min="9210" max="9210" width="14.453125" style="122" customWidth="1"/>
    <col min="9211" max="9211" width="11.90625" style="122" customWidth="1"/>
    <col min="9212" max="9212" width="14.08984375" style="122" customWidth="1"/>
    <col min="9213" max="9213" width="13.90625" style="122" customWidth="1"/>
    <col min="9214" max="9215" width="12.81640625" style="122" customWidth="1"/>
    <col min="9216" max="9216" width="13.54296875" style="122" customWidth="1"/>
    <col min="9217" max="9217" width="15.36328125" style="122" customWidth="1"/>
    <col min="9218" max="9218" width="12.81640625" style="122" customWidth="1"/>
    <col min="9219" max="9219" width="13.90625" style="122" customWidth="1"/>
    <col min="9220" max="9220" width="1.90625" style="122" customWidth="1"/>
    <col min="9221" max="9221" width="13" style="122" customWidth="1"/>
    <col min="9222" max="9461" width="8.81640625" style="122"/>
    <col min="9462" max="9462" width="6" style="122" customWidth="1"/>
    <col min="9463" max="9463" width="1.453125" style="122" customWidth="1"/>
    <col min="9464" max="9464" width="39.08984375" style="122" customWidth="1"/>
    <col min="9465" max="9465" width="12" style="122" customWidth="1"/>
    <col min="9466" max="9466" width="14.453125" style="122" customWidth="1"/>
    <col min="9467" max="9467" width="11.90625" style="122" customWidth="1"/>
    <col min="9468" max="9468" width="14.08984375" style="122" customWidth="1"/>
    <col min="9469" max="9469" width="13.90625" style="122" customWidth="1"/>
    <col min="9470" max="9471" width="12.81640625" style="122" customWidth="1"/>
    <col min="9472" max="9472" width="13.54296875" style="122" customWidth="1"/>
    <col min="9473" max="9473" width="15.36328125" style="122" customWidth="1"/>
    <col min="9474" max="9474" width="12.81640625" style="122" customWidth="1"/>
    <col min="9475" max="9475" width="13.90625" style="122" customWidth="1"/>
    <col min="9476" max="9476" width="1.90625" style="122" customWidth="1"/>
    <col min="9477" max="9477" width="13" style="122" customWidth="1"/>
    <col min="9478" max="9717" width="8.81640625" style="122"/>
    <col min="9718" max="9718" width="6" style="122" customWidth="1"/>
    <col min="9719" max="9719" width="1.453125" style="122" customWidth="1"/>
    <col min="9720" max="9720" width="39.08984375" style="122" customWidth="1"/>
    <col min="9721" max="9721" width="12" style="122" customWidth="1"/>
    <col min="9722" max="9722" width="14.453125" style="122" customWidth="1"/>
    <col min="9723" max="9723" width="11.90625" style="122" customWidth="1"/>
    <col min="9724" max="9724" width="14.08984375" style="122" customWidth="1"/>
    <col min="9725" max="9725" width="13.90625" style="122" customWidth="1"/>
    <col min="9726" max="9727" width="12.81640625" style="122" customWidth="1"/>
    <col min="9728" max="9728" width="13.54296875" style="122" customWidth="1"/>
    <col min="9729" max="9729" width="15.36328125" style="122" customWidth="1"/>
    <col min="9730" max="9730" width="12.81640625" style="122" customWidth="1"/>
    <col min="9731" max="9731" width="13.90625" style="122" customWidth="1"/>
    <col min="9732" max="9732" width="1.90625" style="122" customWidth="1"/>
    <col min="9733" max="9733" width="13" style="122" customWidth="1"/>
    <col min="9734" max="9973" width="8.81640625" style="122"/>
    <col min="9974" max="9974" width="6" style="122" customWidth="1"/>
    <col min="9975" max="9975" width="1.453125" style="122" customWidth="1"/>
    <col min="9976" max="9976" width="39.08984375" style="122" customWidth="1"/>
    <col min="9977" max="9977" width="12" style="122" customWidth="1"/>
    <col min="9978" max="9978" width="14.453125" style="122" customWidth="1"/>
    <col min="9979" max="9979" width="11.90625" style="122" customWidth="1"/>
    <col min="9980" max="9980" width="14.08984375" style="122" customWidth="1"/>
    <col min="9981" max="9981" width="13.90625" style="122" customWidth="1"/>
    <col min="9982" max="9983" width="12.81640625" style="122" customWidth="1"/>
    <col min="9984" max="9984" width="13.54296875" style="122" customWidth="1"/>
    <col min="9985" max="9985" width="15.36328125" style="122" customWidth="1"/>
    <col min="9986" max="9986" width="12.81640625" style="122" customWidth="1"/>
    <col min="9987" max="9987" width="13.90625" style="122" customWidth="1"/>
    <col min="9988" max="9988" width="1.90625" style="122" customWidth="1"/>
    <col min="9989" max="9989" width="13" style="122" customWidth="1"/>
    <col min="9990" max="10229" width="8.81640625" style="122"/>
    <col min="10230" max="10230" width="6" style="122" customWidth="1"/>
    <col min="10231" max="10231" width="1.453125" style="122" customWidth="1"/>
    <col min="10232" max="10232" width="39.08984375" style="122" customWidth="1"/>
    <col min="10233" max="10233" width="12" style="122" customWidth="1"/>
    <col min="10234" max="10234" width="14.453125" style="122" customWidth="1"/>
    <col min="10235" max="10235" width="11.90625" style="122" customWidth="1"/>
    <col min="10236" max="10236" width="14.08984375" style="122" customWidth="1"/>
    <col min="10237" max="10237" width="13.90625" style="122" customWidth="1"/>
    <col min="10238" max="10239" width="12.81640625" style="122" customWidth="1"/>
    <col min="10240" max="10240" width="13.54296875" style="122" customWidth="1"/>
    <col min="10241" max="10241" width="15.36328125" style="122" customWidth="1"/>
    <col min="10242" max="10242" width="12.81640625" style="122" customWidth="1"/>
    <col min="10243" max="10243" width="13.90625" style="122" customWidth="1"/>
    <col min="10244" max="10244" width="1.90625" style="122" customWidth="1"/>
    <col min="10245" max="10245" width="13" style="122" customWidth="1"/>
    <col min="10246" max="10485" width="8.81640625" style="122"/>
    <col min="10486" max="10486" width="6" style="122" customWidth="1"/>
    <col min="10487" max="10487" width="1.453125" style="122" customWidth="1"/>
    <col min="10488" max="10488" width="39.08984375" style="122" customWidth="1"/>
    <col min="10489" max="10489" width="12" style="122" customWidth="1"/>
    <col min="10490" max="10490" width="14.453125" style="122" customWidth="1"/>
    <col min="10491" max="10491" width="11.90625" style="122" customWidth="1"/>
    <col min="10492" max="10492" width="14.08984375" style="122" customWidth="1"/>
    <col min="10493" max="10493" width="13.90625" style="122" customWidth="1"/>
    <col min="10494" max="10495" width="12.81640625" style="122" customWidth="1"/>
    <col min="10496" max="10496" width="13.54296875" style="122" customWidth="1"/>
    <col min="10497" max="10497" width="15.36328125" style="122" customWidth="1"/>
    <col min="10498" max="10498" width="12.81640625" style="122" customWidth="1"/>
    <col min="10499" max="10499" width="13.90625" style="122" customWidth="1"/>
    <col min="10500" max="10500" width="1.90625" style="122" customWidth="1"/>
    <col min="10501" max="10501" width="13" style="122" customWidth="1"/>
    <col min="10502" max="10741" width="8.81640625" style="122"/>
    <col min="10742" max="10742" width="6" style="122" customWidth="1"/>
    <col min="10743" max="10743" width="1.453125" style="122" customWidth="1"/>
    <col min="10744" max="10744" width="39.08984375" style="122" customWidth="1"/>
    <col min="10745" max="10745" width="12" style="122" customWidth="1"/>
    <col min="10746" max="10746" width="14.453125" style="122" customWidth="1"/>
    <col min="10747" max="10747" width="11.90625" style="122" customWidth="1"/>
    <col min="10748" max="10748" width="14.08984375" style="122" customWidth="1"/>
    <col min="10749" max="10749" width="13.90625" style="122" customWidth="1"/>
    <col min="10750" max="10751" width="12.81640625" style="122" customWidth="1"/>
    <col min="10752" max="10752" width="13.54296875" style="122" customWidth="1"/>
    <col min="10753" max="10753" width="15.36328125" style="122" customWidth="1"/>
    <col min="10754" max="10754" width="12.81640625" style="122" customWidth="1"/>
    <col min="10755" max="10755" width="13.90625" style="122" customWidth="1"/>
    <col min="10756" max="10756" width="1.90625" style="122" customWidth="1"/>
    <col min="10757" max="10757" width="13" style="122" customWidth="1"/>
    <col min="10758" max="10997" width="8.81640625" style="122"/>
    <col min="10998" max="10998" width="6" style="122" customWidth="1"/>
    <col min="10999" max="10999" width="1.453125" style="122" customWidth="1"/>
    <col min="11000" max="11000" width="39.08984375" style="122" customWidth="1"/>
    <col min="11001" max="11001" width="12" style="122" customWidth="1"/>
    <col min="11002" max="11002" width="14.453125" style="122" customWidth="1"/>
    <col min="11003" max="11003" width="11.90625" style="122" customWidth="1"/>
    <col min="11004" max="11004" width="14.08984375" style="122" customWidth="1"/>
    <col min="11005" max="11005" width="13.90625" style="122" customWidth="1"/>
    <col min="11006" max="11007" width="12.81640625" style="122" customWidth="1"/>
    <col min="11008" max="11008" width="13.54296875" style="122" customWidth="1"/>
    <col min="11009" max="11009" width="15.36328125" style="122" customWidth="1"/>
    <col min="11010" max="11010" width="12.81640625" style="122" customWidth="1"/>
    <col min="11011" max="11011" width="13.90625" style="122" customWidth="1"/>
    <col min="11012" max="11012" width="1.90625" style="122" customWidth="1"/>
    <col min="11013" max="11013" width="13" style="122" customWidth="1"/>
    <col min="11014" max="11253" width="8.81640625" style="122"/>
    <col min="11254" max="11254" width="6" style="122" customWidth="1"/>
    <col min="11255" max="11255" width="1.453125" style="122" customWidth="1"/>
    <col min="11256" max="11256" width="39.08984375" style="122" customWidth="1"/>
    <col min="11257" max="11257" width="12" style="122" customWidth="1"/>
    <col min="11258" max="11258" width="14.453125" style="122" customWidth="1"/>
    <col min="11259" max="11259" width="11.90625" style="122" customWidth="1"/>
    <col min="11260" max="11260" width="14.08984375" style="122" customWidth="1"/>
    <col min="11261" max="11261" width="13.90625" style="122" customWidth="1"/>
    <col min="11262" max="11263" width="12.81640625" style="122" customWidth="1"/>
    <col min="11264" max="11264" width="13.54296875" style="122" customWidth="1"/>
    <col min="11265" max="11265" width="15.36328125" style="122" customWidth="1"/>
    <col min="11266" max="11266" width="12.81640625" style="122" customWidth="1"/>
    <col min="11267" max="11267" width="13.90625" style="122" customWidth="1"/>
    <col min="11268" max="11268" width="1.90625" style="122" customWidth="1"/>
    <col min="11269" max="11269" width="13" style="122" customWidth="1"/>
    <col min="11270" max="11509" width="8.81640625" style="122"/>
    <col min="11510" max="11510" width="6" style="122" customWidth="1"/>
    <col min="11511" max="11511" width="1.453125" style="122" customWidth="1"/>
    <col min="11512" max="11512" width="39.08984375" style="122" customWidth="1"/>
    <col min="11513" max="11513" width="12" style="122" customWidth="1"/>
    <col min="11514" max="11514" width="14.453125" style="122" customWidth="1"/>
    <col min="11515" max="11515" width="11.90625" style="122" customWidth="1"/>
    <col min="11516" max="11516" width="14.08984375" style="122" customWidth="1"/>
    <col min="11517" max="11517" width="13.90625" style="122" customWidth="1"/>
    <col min="11518" max="11519" width="12.81640625" style="122" customWidth="1"/>
    <col min="11520" max="11520" width="13.54296875" style="122" customWidth="1"/>
    <col min="11521" max="11521" width="15.36328125" style="122" customWidth="1"/>
    <col min="11522" max="11522" width="12.81640625" style="122" customWidth="1"/>
    <col min="11523" max="11523" width="13.90625" style="122" customWidth="1"/>
    <col min="11524" max="11524" width="1.90625" style="122" customWidth="1"/>
    <col min="11525" max="11525" width="13" style="122" customWidth="1"/>
    <col min="11526" max="11765" width="8.81640625" style="122"/>
    <col min="11766" max="11766" width="6" style="122" customWidth="1"/>
    <col min="11767" max="11767" width="1.453125" style="122" customWidth="1"/>
    <col min="11768" max="11768" width="39.08984375" style="122" customWidth="1"/>
    <col min="11769" max="11769" width="12" style="122" customWidth="1"/>
    <col min="11770" max="11770" width="14.453125" style="122" customWidth="1"/>
    <col min="11771" max="11771" width="11.90625" style="122" customWidth="1"/>
    <col min="11772" max="11772" width="14.08984375" style="122" customWidth="1"/>
    <col min="11773" max="11773" width="13.90625" style="122" customWidth="1"/>
    <col min="11774" max="11775" width="12.81640625" style="122" customWidth="1"/>
    <col min="11776" max="11776" width="13.54296875" style="122" customWidth="1"/>
    <col min="11777" max="11777" width="15.36328125" style="122" customWidth="1"/>
    <col min="11778" max="11778" width="12.81640625" style="122" customWidth="1"/>
    <col min="11779" max="11779" width="13.90625" style="122" customWidth="1"/>
    <col min="11780" max="11780" width="1.90625" style="122" customWidth="1"/>
    <col min="11781" max="11781" width="13" style="122" customWidth="1"/>
    <col min="11782" max="12021" width="8.81640625" style="122"/>
    <col min="12022" max="12022" width="6" style="122" customWidth="1"/>
    <col min="12023" max="12023" width="1.453125" style="122" customWidth="1"/>
    <col min="12024" max="12024" width="39.08984375" style="122" customWidth="1"/>
    <col min="12025" max="12025" width="12" style="122" customWidth="1"/>
    <col min="12026" max="12026" width="14.453125" style="122" customWidth="1"/>
    <col min="12027" max="12027" width="11.90625" style="122" customWidth="1"/>
    <col min="12028" max="12028" width="14.08984375" style="122" customWidth="1"/>
    <col min="12029" max="12029" width="13.90625" style="122" customWidth="1"/>
    <col min="12030" max="12031" width="12.81640625" style="122" customWidth="1"/>
    <col min="12032" max="12032" width="13.54296875" style="122" customWidth="1"/>
    <col min="12033" max="12033" width="15.36328125" style="122" customWidth="1"/>
    <col min="12034" max="12034" width="12.81640625" style="122" customWidth="1"/>
    <col min="12035" max="12035" width="13.90625" style="122" customWidth="1"/>
    <col min="12036" max="12036" width="1.90625" style="122" customWidth="1"/>
    <col min="12037" max="12037" width="13" style="122" customWidth="1"/>
    <col min="12038" max="12277" width="8.81640625" style="122"/>
    <col min="12278" max="12278" width="6" style="122" customWidth="1"/>
    <col min="12279" max="12279" width="1.453125" style="122" customWidth="1"/>
    <col min="12280" max="12280" width="39.08984375" style="122" customWidth="1"/>
    <col min="12281" max="12281" width="12" style="122" customWidth="1"/>
    <col min="12282" max="12282" width="14.453125" style="122" customWidth="1"/>
    <col min="12283" max="12283" width="11.90625" style="122" customWidth="1"/>
    <col min="12284" max="12284" width="14.08984375" style="122" customWidth="1"/>
    <col min="12285" max="12285" width="13.90625" style="122" customWidth="1"/>
    <col min="12286" max="12287" width="12.81640625" style="122" customWidth="1"/>
    <col min="12288" max="12288" width="13.54296875" style="122" customWidth="1"/>
    <col min="12289" max="12289" width="15.36328125" style="122" customWidth="1"/>
    <col min="12290" max="12290" width="12.81640625" style="122" customWidth="1"/>
    <col min="12291" max="12291" width="13.90625" style="122" customWidth="1"/>
    <col min="12292" max="12292" width="1.90625" style="122" customWidth="1"/>
    <col min="12293" max="12293" width="13" style="122" customWidth="1"/>
    <col min="12294" max="12533" width="8.81640625" style="122"/>
    <col min="12534" max="12534" width="6" style="122" customWidth="1"/>
    <col min="12535" max="12535" width="1.453125" style="122" customWidth="1"/>
    <col min="12536" max="12536" width="39.08984375" style="122" customWidth="1"/>
    <col min="12537" max="12537" width="12" style="122" customWidth="1"/>
    <col min="12538" max="12538" width="14.453125" style="122" customWidth="1"/>
    <col min="12539" max="12539" width="11.90625" style="122" customWidth="1"/>
    <col min="12540" max="12540" width="14.08984375" style="122" customWidth="1"/>
    <col min="12541" max="12541" width="13.90625" style="122" customWidth="1"/>
    <col min="12542" max="12543" width="12.81640625" style="122" customWidth="1"/>
    <col min="12544" max="12544" width="13.54296875" style="122" customWidth="1"/>
    <col min="12545" max="12545" width="15.36328125" style="122" customWidth="1"/>
    <col min="12546" max="12546" width="12.81640625" style="122" customWidth="1"/>
    <col min="12547" max="12547" width="13.90625" style="122" customWidth="1"/>
    <col min="12548" max="12548" width="1.90625" style="122" customWidth="1"/>
    <col min="12549" max="12549" width="13" style="122" customWidth="1"/>
    <col min="12550" max="12789" width="8.81640625" style="122"/>
    <col min="12790" max="12790" width="6" style="122" customWidth="1"/>
    <col min="12791" max="12791" width="1.453125" style="122" customWidth="1"/>
    <col min="12792" max="12792" width="39.08984375" style="122" customWidth="1"/>
    <col min="12793" max="12793" width="12" style="122" customWidth="1"/>
    <col min="12794" max="12794" width="14.453125" style="122" customWidth="1"/>
    <col min="12795" max="12795" width="11.90625" style="122" customWidth="1"/>
    <col min="12796" max="12796" width="14.08984375" style="122" customWidth="1"/>
    <col min="12797" max="12797" width="13.90625" style="122" customWidth="1"/>
    <col min="12798" max="12799" width="12.81640625" style="122" customWidth="1"/>
    <col min="12800" max="12800" width="13.54296875" style="122" customWidth="1"/>
    <col min="12801" max="12801" width="15.36328125" style="122" customWidth="1"/>
    <col min="12802" max="12802" width="12.81640625" style="122" customWidth="1"/>
    <col min="12803" max="12803" width="13.90625" style="122" customWidth="1"/>
    <col min="12804" max="12804" width="1.90625" style="122" customWidth="1"/>
    <col min="12805" max="12805" width="13" style="122" customWidth="1"/>
    <col min="12806" max="13045" width="8.81640625" style="122"/>
    <col min="13046" max="13046" width="6" style="122" customWidth="1"/>
    <col min="13047" max="13047" width="1.453125" style="122" customWidth="1"/>
    <col min="13048" max="13048" width="39.08984375" style="122" customWidth="1"/>
    <col min="13049" max="13049" width="12" style="122" customWidth="1"/>
    <col min="13050" max="13050" width="14.453125" style="122" customWidth="1"/>
    <col min="13051" max="13051" width="11.90625" style="122" customWidth="1"/>
    <col min="13052" max="13052" width="14.08984375" style="122" customWidth="1"/>
    <col min="13053" max="13053" width="13.90625" style="122" customWidth="1"/>
    <col min="13054" max="13055" width="12.81640625" style="122" customWidth="1"/>
    <col min="13056" max="13056" width="13.54296875" style="122" customWidth="1"/>
    <col min="13057" max="13057" width="15.36328125" style="122" customWidth="1"/>
    <col min="13058" max="13058" width="12.81640625" style="122" customWidth="1"/>
    <col min="13059" max="13059" width="13.90625" style="122" customWidth="1"/>
    <col min="13060" max="13060" width="1.90625" style="122" customWidth="1"/>
    <col min="13061" max="13061" width="13" style="122" customWidth="1"/>
    <col min="13062" max="13301" width="8.81640625" style="122"/>
    <col min="13302" max="13302" width="6" style="122" customWidth="1"/>
    <col min="13303" max="13303" width="1.453125" style="122" customWidth="1"/>
    <col min="13304" max="13304" width="39.08984375" style="122" customWidth="1"/>
    <col min="13305" max="13305" width="12" style="122" customWidth="1"/>
    <col min="13306" max="13306" width="14.453125" style="122" customWidth="1"/>
    <col min="13307" max="13307" width="11.90625" style="122" customWidth="1"/>
    <col min="13308" max="13308" width="14.08984375" style="122" customWidth="1"/>
    <col min="13309" max="13309" width="13.90625" style="122" customWidth="1"/>
    <col min="13310" max="13311" width="12.81640625" style="122" customWidth="1"/>
    <col min="13312" max="13312" width="13.54296875" style="122" customWidth="1"/>
    <col min="13313" max="13313" width="15.36328125" style="122" customWidth="1"/>
    <col min="13314" max="13314" width="12.81640625" style="122" customWidth="1"/>
    <col min="13315" max="13315" width="13.90625" style="122" customWidth="1"/>
    <col min="13316" max="13316" width="1.90625" style="122" customWidth="1"/>
    <col min="13317" max="13317" width="13" style="122" customWidth="1"/>
    <col min="13318" max="13557" width="8.81640625" style="122"/>
    <col min="13558" max="13558" width="6" style="122" customWidth="1"/>
    <col min="13559" max="13559" width="1.453125" style="122" customWidth="1"/>
    <col min="13560" max="13560" width="39.08984375" style="122" customWidth="1"/>
    <col min="13561" max="13561" width="12" style="122" customWidth="1"/>
    <col min="13562" max="13562" width="14.453125" style="122" customWidth="1"/>
    <col min="13563" max="13563" width="11.90625" style="122" customWidth="1"/>
    <col min="13564" max="13564" width="14.08984375" style="122" customWidth="1"/>
    <col min="13565" max="13565" width="13.90625" style="122" customWidth="1"/>
    <col min="13566" max="13567" width="12.81640625" style="122" customWidth="1"/>
    <col min="13568" max="13568" width="13.54296875" style="122" customWidth="1"/>
    <col min="13569" max="13569" width="15.36328125" style="122" customWidth="1"/>
    <col min="13570" max="13570" width="12.81640625" style="122" customWidth="1"/>
    <col min="13571" max="13571" width="13.90625" style="122" customWidth="1"/>
    <col min="13572" max="13572" width="1.90625" style="122" customWidth="1"/>
    <col min="13573" max="13573" width="13" style="122" customWidth="1"/>
    <col min="13574" max="13813" width="8.81640625" style="122"/>
    <col min="13814" max="13814" width="6" style="122" customWidth="1"/>
    <col min="13815" max="13815" width="1.453125" style="122" customWidth="1"/>
    <col min="13816" max="13816" width="39.08984375" style="122" customWidth="1"/>
    <col min="13817" max="13817" width="12" style="122" customWidth="1"/>
    <col min="13818" max="13818" width="14.453125" style="122" customWidth="1"/>
    <col min="13819" max="13819" width="11.90625" style="122" customWidth="1"/>
    <col min="13820" max="13820" width="14.08984375" style="122" customWidth="1"/>
    <col min="13821" max="13821" width="13.90625" style="122" customWidth="1"/>
    <col min="13822" max="13823" width="12.81640625" style="122" customWidth="1"/>
    <col min="13824" max="13824" width="13.54296875" style="122" customWidth="1"/>
    <col min="13825" max="13825" width="15.36328125" style="122" customWidth="1"/>
    <col min="13826" max="13826" width="12.81640625" style="122" customWidth="1"/>
    <col min="13827" max="13827" width="13.90625" style="122" customWidth="1"/>
    <col min="13828" max="13828" width="1.90625" style="122" customWidth="1"/>
    <col min="13829" max="13829" width="13" style="122" customWidth="1"/>
    <col min="13830" max="14069" width="8.81640625" style="122"/>
    <col min="14070" max="14070" width="6" style="122" customWidth="1"/>
    <col min="14071" max="14071" width="1.453125" style="122" customWidth="1"/>
    <col min="14072" max="14072" width="39.08984375" style="122" customWidth="1"/>
    <col min="14073" max="14073" width="12" style="122" customWidth="1"/>
    <col min="14074" max="14074" width="14.453125" style="122" customWidth="1"/>
    <col min="14075" max="14075" width="11.90625" style="122" customWidth="1"/>
    <col min="14076" max="14076" width="14.08984375" style="122" customWidth="1"/>
    <col min="14077" max="14077" width="13.90625" style="122" customWidth="1"/>
    <col min="14078" max="14079" width="12.81640625" style="122" customWidth="1"/>
    <col min="14080" max="14080" width="13.54296875" style="122" customWidth="1"/>
    <col min="14081" max="14081" width="15.36328125" style="122" customWidth="1"/>
    <col min="14082" max="14082" width="12.81640625" style="122" customWidth="1"/>
    <col min="14083" max="14083" width="13.90625" style="122" customWidth="1"/>
    <col min="14084" max="14084" width="1.90625" style="122" customWidth="1"/>
    <col min="14085" max="14085" width="13" style="122" customWidth="1"/>
    <col min="14086" max="14325" width="8.81640625" style="122"/>
    <col min="14326" max="14326" width="6" style="122" customWidth="1"/>
    <col min="14327" max="14327" width="1.453125" style="122" customWidth="1"/>
    <col min="14328" max="14328" width="39.08984375" style="122" customWidth="1"/>
    <col min="14329" max="14329" width="12" style="122" customWidth="1"/>
    <col min="14330" max="14330" width="14.453125" style="122" customWidth="1"/>
    <col min="14331" max="14331" width="11.90625" style="122" customWidth="1"/>
    <col min="14332" max="14332" width="14.08984375" style="122" customWidth="1"/>
    <col min="14333" max="14333" width="13.90625" style="122" customWidth="1"/>
    <col min="14334" max="14335" width="12.81640625" style="122" customWidth="1"/>
    <col min="14336" max="14336" width="13.54296875" style="122" customWidth="1"/>
    <col min="14337" max="14337" width="15.36328125" style="122" customWidth="1"/>
    <col min="14338" max="14338" width="12.81640625" style="122" customWidth="1"/>
    <col min="14339" max="14339" width="13.90625" style="122" customWidth="1"/>
    <col min="14340" max="14340" width="1.90625" style="122" customWidth="1"/>
    <col min="14341" max="14341" width="13" style="122" customWidth="1"/>
    <col min="14342" max="14581" width="8.81640625" style="122"/>
    <col min="14582" max="14582" width="6" style="122" customWidth="1"/>
    <col min="14583" max="14583" width="1.453125" style="122" customWidth="1"/>
    <col min="14584" max="14584" width="39.08984375" style="122" customWidth="1"/>
    <col min="14585" max="14585" width="12" style="122" customWidth="1"/>
    <col min="14586" max="14586" width="14.453125" style="122" customWidth="1"/>
    <col min="14587" max="14587" width="11.90625" style="122" customWidth="1"/>
    <col min="14588" max="14588" width="14.08984375" style="122" customWidth="1"/>
    <col min="14589" max="14589" width="13.90625" style="122" customWidth="1"/>
    <col min="14590" max="14591" width="12.81640625" style="122" customWidth="1"/>
    <col min="14592" max="14592" width="13.54296875" style="122" customWidth="1"/>
    <col min="14593" max="14593" width="15.36328125" style="122" customWidth="1"/>
    <col min="14594" max="14594" width="12.81640625" style="122" customWidth="1"/>
    <col min="14595" max="14595" width="13.90625" style="122" customWidth="1"/>
    <col min="14596" max="14596" width="1.90625" style="122" customWidth="1"/>
    <col min="14597" max="14597" width="13" style="122" customWidth="1"/>
    <col min="14598" max="14837" width="8.81640625" style="122"/>
    <col min="14838" max="14838" width="6" style="122" customWidth="1"/>
    <col min="14839" max="14839" width="1.453125" style="122" customWidth="1"/>
    <col min="14840" max="14840" width="39.08984375" style="122" customWidth="1"/>
    <col min="14841" max="14841" width="12" style="122" customWidth="1"/>
    <col min="14842" max="14842" width="14.453125" style="122" customWidth="1"/>
    <col min="14843" max="14843" width="11.90625" style="122" customWidth="1"/>
    <col min="14844" max="14844" width="14.08984375" style="122" customWidth="1"/>
    <col min="14845" max="14845" width="13.90625" style="122" customWidth="1"/>
    <col min="14846" max="14847" width="12.81640625" style="122" customWidth="1"/>
    <col min="14848" max="14848" width="13.54296875" style="122" customWidth="1"/>
    <col min="14849" max="14849" width="15.36328125" style="122" customWidth="1"/>
    <col min="14850" max="14850" width="12.81640625" style="122" customWidth="1"/>
    <col min="14851" max="14851" width="13.90625" style="122" customWidth="1"/>
    <col min="14852" max="14852" width="1.90625" style="122" customWidth="1"/>
    <col min="14853" max="14853" width="13" style="122" customWidth="1"/>
    <col min="14854" max="15093" width="8.81640625" style="122"/>
    <col min="15094" max="15094" width="6" style="122" customWidth="1"/>
    <col min="15095" max="15095" width="1.453125" style="122" customWidth="1"/>
    <col min="15096" max="15096" width="39.08984375" style="122" customWidth="1"/>
    <col min="15097" max="15097" width="12" style="122" customWidth="1"/>
    <col min="15098" max="15098" width="14.453125" style="122" customWidth="1"/>
    <col min="15099" max="15099" width="11.90625" style="122" customWidth="1"/>
    <col min="15100" max="15100" width="14.08984375" style="122" customWidth="1"/>
    <col min="15101" max="15101" width="13.90625" style="122" customWidth="1"/>
    <col min="15102" max="15103" width="12.81640625" style="122" customWidth="1"/>
    <col min="15104" max="15104" width="13.54296875" style="122" customWidth="1"/>
    <col min="15105" max="15105" width="15.36328125" style="122" customWidth="1"/>
    <col min="15106" max="15106" width="12.81640625" style="122" customWidth="1"/>
    <col min="15107" max="15107" width="13.90625" style="122" customWidth="1"/>
    <col min="15108" max="15108" width="1.90625" style="122" customWidth="1"/>
    <col min="15109" max="15109" width="13" style="122" customWidth="1"/>
    <col min="15110" max="15349" width="8.81640625" style="122"/>
    <col min="15350" max="15350" width="6" style="122" customWidth="1"/>
    <col min="15351" max="15351" width="1.453125" style="122" customWidth="1"/>
    <col min="15352" max="15352" width="39.08984375" style="122" customWidth="1"/>
    <col min="15353" max="15353" width="12" style="122" customWidth="1"/>
    <col min="15354" max="15354" width="14.453125" style="122" customWidth="1"/>
    <col min="15355" max="15355" width="11.90625" style="122" customWidth="1"/>
    <col min="15356" max="15356" width="14.08984375" style="122" customWidth="1"/>
    <col min="15357" max="15357" width="13.90625" style="122" customWidth="1"/>
    <col min="15358" max="15359" width="12.81640625" style="122" customWidth="1"/>
    <col min="15360" max="15360" width="13.54296875" style="122" customWidth="1"/>
    <col min="15361" max="15361" width="15.36328125" style="122" customWidth="1"/>
    <col min="15362" max="15362" width="12.81640625" style="122" customWidth="1"/>
    <col min="15363" max="15363" width="13.90625" style="122" customWidth="1"/>
    <col min="15364" max="15364" width="1.90625" style="122" customWidth="1"/>
    <col min="15365" max="15365" width="13" style="122" customWidth="1"/>
    <col min="15366" max="15605" width="8.81640625" style="122"/>
    <col min="15606" max="15606" width="6" style="122" customWidth="1"/>
    <col min="15607" max="15607" width="1.453125" style="122" customWidth="1"/>
    <col min="15608" max="15608" width="39.08984375" style="122" customWidth="1"/>
    <col min="15609" max="15609" width="12" style="122" customWidth="1"/>
    <col min="15610" max="15610" width="14.453125" style="122" customWidth="1"/>
    <col min="15611" max="15611" width="11.90625" style="122" customWidth="1"/>
    <col min="15612" max="15612" width="14.08984375" style="122" customWidth="1"/>
    <col min="15613" max="15613" width="13.90625" style="122" customWidth="1"/>
    <col min="15614" max="15615" width="12.81640625" style="122" customWidth="1"/>
    <col min="15616" max="15616" width="13.54296875" style="122" customWidth="1"/>
    <col min="15617" max="15617" width="15.36328125" style="122" customWidth="1"/>
    <col min="15618" max="15618" width="12.81640625" style="122" customWidth="1"/>
    <col min="15619" max="15619" width="13.90625" style="122" customWidth="1"/>
    <col min="15620" max="15620" width="1.90625" style="122" customWidth="1"/>
    <col min="15621" max="15621" width="13" style="122" customWidth="1"/>
    <col min="15622" max="15861" width="8.81640625" style="122"/>
    <col min="15862" max="15862" width="6" style="122" customWidth="1"/>
    <col min="15863" max="15863" width="1.453125" style="122" customWidth="1"/>
    <col min="15864" max="15864" width="39.08984375" style="122" customWidth="1"/>
    <col min="15865" max="15865" width="12" style="122" customWidth="1"/>
    <col min="15866" max="15866" width="14.453125" style="122" customWidth="1"/>
    <col min="15867" max="15867" width="11.90625" style="122" customWidth="1"/>
    <col min="15868" max="15868" width="14.08984375" style="122" customWidth="1"/>
    <col min="15869" max="15869" width="13.90625" style="122" customWidth="1"/>
    <col min="15870" max="15871" width="12.81640625" style="122" customWidth="1"/>
    <col min="15872" max="15872" width="13.54296875" style="122" customWidth="1"/>
    <col min="15873" max="15873" width="15.36328125" style="122" customWidth="1"/>
    <col min="15874" max="15874" width="12.81640625" style="122" customWidth="1"/>
    <col min="15875" max="15875" width="13.90625" style="122" customWidth="1"/>
    <col min="15876" max="15876" width="1.90625" style="122" customWidth="1"/>
    <col min="15877" max="15877" width="13" style="122" customWidth="1"/>
    <col min="15878" max="16117" width="8.81640625" style="122"/>
    <col min="16118" max="16118" width="6" style="122" customWidth="1"/>
    <col min="16119" max="16119" width="1.453125" style="122" customWidth="1"/>
    <col min="16120" max="16120" width="39.08984375" style="122" customWidth="1"/>
    <col min="16121" max="16121" width="12" style="122" customWidth="1"/>
    <col min="16122" max="16122" width="14.453125" style="122" customWidth="1"/>
    <col min="16123" max="16123" width="11.90625" style="122" customWidth="1"/>
    <col min="16124" max="16124" width="14.08984375" style="122" customWidth="1"/>
    <col min="16125" max="16125" width="13.90625" style="122" customWidth="1"/>
    <col min="16126" max="16127" width="12.81640625" style="122" customWidth="1"/>
    <col min="16128" max="16128" width="13.54296875" style="122" customWidth="1"/>
    <col min="16129" max="16129" width="15.36328125" style="122" customWidth="1"/>
    <col min="16130" max="16130" width="12.81640625" style="122" customWidth="1"/>
    <col min="16131" max="16131" width="13.90625" style="122" customWidth="1"/>
    <col min="16132" max="16132" width="1.90625" style="122" customWidth="1"/>
    <col min="16133" max="16133" width="13" style="122" customWidth="1"/>
    <col min="16134" max="16373" width="8.81640625" style="122"/>
    <col min="16374" max="16384" width="8.81640625" style="122" customWidth="1"/>
  </cols>
  <sheetData>
    <row r="1" spans="1:54">
      <c r="I1" s="73" t="s">
        <v>306</v>
      </c>
    </row>
    <row r="2" spans="1:54">
      <c r="I2" s="73" t="s">
        <v>304</v>
      </c>
    </row>
    <row r="3" spans="1:54">
      <c r="I3" s="364" t="s">
        <v>197</v>
      </c>
    </row>
    <row r="4" spans="1:54">
      <c r="I4" s="261" t="str">
        <f>"For the 12 months ended: "&amp;TEXT(INPUT!B1,"mm/dd/yyyy")</f>
        <v>For the 12 months ended: 12/31/2018</v>
      </c>
    </row>
    <row r="5" spans="1:54">
      <c r="C5" s="100"/>
    </row>
    <row r="6" spans="1:54">
      <c r="A6" s="198" t="s">
        <v>263</v>
      </c>
      <c r="B6" s="249"/>
      <c r="C6" s="249"/>
      <c r="D6" s="198"/>
      <c r="E6" s="198"/>
      <c r="F6" s="198"/>
      <c r="G6" s="249"/>
      <c r="H6" s="198"/>
      <c r="I6" s="198"/>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row>
    <row r="7" spans="1:54">
      <c r="A7" s="199" t="s">
        <v>307</v>
      </c>
      <c r="B7" s="249"/>
      <c r="C7" s="249"/>
      <c r="D7" s="200"/>
      <c r="E7" s="200"/>
      <c r="F7" s="200"/>
      <c r="G7" s="249"/>
      <c r="H7" s="200"/>
      <c r="I7" s="200"/>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row>
    <row r="8" spans="1:54">
      <c r="A8" s="200"/>
      <c r="B8" s="249"/>
      <c r="C8" s="249"/>
      <c r="D8" s="200"/>
      <c r="E8" s="200"/>
      <c r="F8" s="200"/>
      <c r="G8" s="249"/>
      <c r="H8" s="200"/>
      <c r="I8" s="200"/>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row>
    <row r="9" spans="1:54">
      <c r="A9" s="374" t="str">
        <f>DEO!A11</f>
        <v>DUKE ENERGY OHIO (DEO)</v>
      </c>
      <c r="B9" s="249"/>
      <c r="C9" s="249"/>
      <c r="D9" s="200"/>
      <c r="E9" s="200"/>
      <c r="F9" s="200"/>
      <c r="G9" s="249"/>
      <c r="H9" s="252"/>
      <c r="I9" s="200"/>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row>
    <row r="10" spans="1:54">
      <c r="A10" s="251" t="s">
        <v>637</v>
      </c>
      <c r="B10" s="249"/>
      <c r="C10" s="200"/>
      <c r="D10" s="200"/>
      <c r="E10" s="200"/>
      <c r="F10" s="200"/>
      <c r="G10" s="249"/>
      <c r="H10" s="252"/>
      <c r="I10" s="200"/>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row>
    <row r="11" spans="1:54">
      <c r="A11" s="363"/>
      <c r="B11" s="249"/>
      <c r="C11" s="200"/>
      <c r="D11" s="200"/>
      <c r="E11" s="200"/>
      <c r="F11" s="200"/>
      <c r="G11" s="252"/>
      <c r="H11" s="200"/>
      <c r="I11" s="200"/>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row>
    <row r="12" spans="1:54">
      <c r="A12" s="200" t="s">
        <v>918</v>
      </c>
      <c r="B12" s="249"/>
      <c r="C12" s="249"/>
      <c r="D12" s="200"/>
      <c r="E12" s="200"/>
      <c r="F12" s="200"/>
      <c r="G12" s="252"/>
      <c r="H12" s="200"/>
      <c r="I12" s="200"/>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row>
    <row r="13" spans="1:54">
      <c r="A13" s="126"/>
      <c r="C13" s="98"/>
      <c r="D13" s="98"/>
      <c r="E13" s="98"/>
      <c r="F13" s="98"/>
      <c r="G13" s="127"/>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row>
    <row r="14" spans="1:54">
      <c r="A14" s="126"/>
      <c r="C14" s="98"/>
      <c r="D14" s="98"/>
      <c r="E14" s="98"/>
      <c r="F14" s="98"/>
      <c r="G14" s="98"/>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row>
    <row r="15" spans="1:54">
      <c r="C15" s="96" t="s">
        <v>18</v>
      </c>
      <c r="D15" s="96"/>
      <c r="E15" s="96" t="s">
        <v>19</v>
      </c>
      <c r="F15" s="96"/>
      <c r="G15" s="96" t="s">
        <v>20</v>
      </c>
      <c r="I15" s="128" t="s">
        <v>21</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row>
    <row r="16" spans="1:54">
      <c r="C16" s="95"/>
      <c r="D16" s="9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row>
    <row r="17" spans="1:59">
      <c r="A17" s="328" t="s">
        <v>8</v>
      </c>
      <c r="B17" s="125"/>
      <c r="C17" s="95"/>
      <c r="D17" s="95"/>
      <c r="E17" s="137" t="s">
        <v>306</v>
      </c>
      <c r="F17" s="137"/>
      <c r="G17" s="99"/>
      <c r="H17" s="125"/>
      <c r="I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row>
    <row r="18" spans="1:59">
      <c r="A18" s="359" t="s">
        <v>10</v>
      </c>
      <c r="B18" s="360"/>
      <c r="C18" s="361"/>
      <c r="D18" s="361"/>
      <c r="E18" s="362" t="s">
        <v>25</v>
      </c>
      <c r="F18" s="362"/>
      <c r="G18" s="359" t="s">
        <v>24</v>
      </c>
      <c r="H18" s="360"/>
      <c r="I18" s="359" t="s">
        <v>13</v>
      </c>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row>
    <row r="19" spans="1:59" ht="15.6">
      <c r="A19" s="135"/>
      <c r="C19" s="95" t="s">
        <v>347</v>
      </c>
      <c r="D19" s="95"/>
      <c r="E19" s="99"/>
      <c r="F19" s="99"/>
      <c r="G19" s="99"/>
      <c r="I19" s="99"/>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row>
    <row r="20" spans="1:59">
      <c r="A20" s="136">
        <v>1</v>
      </c>
      <c r="C20" s="95" t="s">
        <v>220</v>
      </c>
      <c r="D20" s="95"/>
      <c r="E20" s="554" t="s">
        <v>709</v>
      </c>
      <c r="F20" s="137"/>
      <c r="G20" s="138">
        <f>DEO!J54</f>
        <v>939500769</v>
      </c>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row>
    <row r="21" spans="1:59">
      <c r="A21" s="136">
        <v>2</v>
      </c>
      <c r="C21" s="95" t="s">
        <v>221</v>
      </c>
      <c r="D21" s="95"/>
      <c r="E21" s="554" t="s">
        <v>710</v>
      </c>
      <c r="F21" s="137"/>
      <c r="G21" s="138">
        <f>DEO!J70</f>
        <v>722205213</v>
      </c>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row>
    <row r="22" spans="1:59">
      <c r="A22" s="136"/>
      <c r="E22" s="554"/>
      <c r="F22" s="137"/>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row>
    <row r="23" spans="1:59">
      <c r="A23" s="136"/>
      <c r="C23" s="95" t="s">
        <v>198</v>
      </c>
      <c r="D23" s="95"/>
      <c r="E23" s="554"/>
      <c r="F23" s="137"/>
      <c r="G23" s="99"/>
      <c r="I23" s="99"/>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row>
    <row r="24" spans="1:59">
      <c r="A24" s="136">
        <v>3</v>
      </c>
      <c r="C24" s="95" t="s">
        <v>222</v>
      </c>
      <c r="D24" s="95"/>
      <c r="E24" s="554" t="s">
        <v>708</v>
      </c>
      <c r="F24" s="137"/>
      <c r="G24" s="138">
        <f>DEO!J126</f>
        <v>16334261</v>
      </c>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row>
    <row r="25" spans="1:59">
      <c r="A25" s="136">
        <v>4</v>
      </c>
      <c r="C25" s="95" t="s">
        <v>223</v>
      </c>
      <c r="D25" s="95"/>
      <c r="E25" s="554" t="s">
        <v>715</v>
      </c>
      <c r="F25" s="137"/>
      <c r="G25" s="139">
        <f>ROUND(IF(G24=0,0,G24/G20),4)</f>
        <v>1.7399999999999999E-2</v>
      </c>
      <c r="I25" s="140">
        <f>G25</f>
        <v>1.7399999999999999E-2</v>
      </c>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row>
    <row r="26" spans="1:59">
      <c r="A26" s="136"/>
      <c r="E26" s="554"/>
      <c r="F26" s="137"/>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row>
    <row r="27" spans="1:59" ht="30">
      <c r="A27" s="149"/>
      <c r="C27" s="632" t="s">
        <v>604</v>
      </c>
      <c r="D27" s="95"/>
      <c r="E27" s="552"/>
      <c r="F27" s="137"/>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row>
    <row r="28" spans="1:59">
      <c r="A28" s="149" t="s">
        <v>224</v>
      </c>
      <c r="C28" s="95" t="s">
        <v>605</v>
      </c>
      <c r="D28" s="95"/>
      <c r="E28" s="554" t="s">
        <v>567</v>
      </c>
      <c r="F28" s="137"/>
      <c r="G28" s="138">
        <f>DEO!J130+DEO!J131</f>
        <v>4327472</v>
      </c>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row>
    <row r="29" spans="1:59" ht="30">
      <c r="A29" s="633" t="s">
        <v>225</v>
      </c>
      <c r="C29" s="632" t="s">
        <v>606</v>
      </c>
      <c r="D29" s="95"/>
      <c r="E29" s="634" t="s">
        <v>712</v>
      </c>
      <c r="F29" s="634"/>
      <c r="G29" s="635">
        <f>ROUND(IF(G28=0,0,G28/G20),4)</f>
        <v>4.5999999999999999E-3</v>
      </c>
      <c r="H29" s="636"/>
      <c r="I29" s="637">
        <f>G29</f>
        <v>4.5999999999999999E-3</v>
      </c>
      <c r="K29" s="129"/>
      <c r="L29" s="130"/>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row>
    <row r="30" spans="1:59">
      <c r="A30" s="136"/>
      <c r="E30" s="554"/>
      <c r="F30" s="137"/>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row>
    <row r="31" spans="1:59">
      <c r="A31" s="143"/>
      <c r="C31" s="95" t="s">
        <v>201</v>
      </c>
      <c r="D31" s="95"/>
      <c r="E31" s="552"/>
      <c r="F31" s="101"/>
      <c r="G31" s="99"/>
      <c r="I31" s="99"/>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row>
    <row r="32" spans="1:59">
      <c r="A32" s="143" t="s">
        <v>227</v>
      </c>
      <c r="C32" s="95" t="s">
        <v>203</v>
      </c>
      <c r="D32" s="95"/>
      <c r="E32" s="554" t="s">
        <v>707</v>
      </c>
      <c r="F32" s="137"/>
      <c r="G32" s="138">
        <f>DEO!J143</f>
        <v>34879299</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row>
    <row r="33" spans="1:54">
      <c r="A33" s="143" t="s">
        <v>229</v>
      </c>
      <c r="C33" s="95" t="s">
        <v>226</v>
      </c>
      <c r="D33" s="95"/>
      <c r="E33" s="554" t="s">
        <v>713</v>
      </c>
      <c r="F33" s="137"/>
      <c r="G33" s="139">
        <f>ROUND(IF(G32=0,0,G32/G20),4)</f>
        <v>3.7100000000000001E-2</v>
      </c>
      <c r="I33" s="140">
        <f>G33</f>
        <v>3.7100000000000001E-2</v>
      </c>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row>
    <row r="34" spans="1:54">
      <c r="A34" s="143"/>
      <c r="C34" s="95"/>
      <c r="D34" s="95"/>
      <c r="E34" s="554"/>
      <c r="F34" s="137"/>
      <c r="G34" s="99"/>
      <c r="I34" s="99"/>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row>
    <row r="35" spans="1:54" ht="15.6">
      <c r="A35" s="145" t="s">
        <v>199</v>
      </c>
      <c r="B35" s="146"/>
      <c r="C35" s="134" t="s">
        <v>228</v>
      </c>
      <c r="D35" s="134"/>
      <c r="E35" s="553" t="s">
        <v>415</v>
      </c>
      <c r="F35" s="131"/>
      <c r="G35" s="147"/>
      <c r="I35" s="148">
        <f>I25+I29+I33</f>
        <v>5.91E-2</v>
      </c>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row>
    <row r="36" spans="1:54">
      <c r="A36" s="324"/>
      <c r="C36" s="95"/>
      <c r="D36" s="95"/>
      <c r="E36" s="554"/>
      <c r="F36" s="137"/>
      <c r="G36" s="99"/>
      <c r="I36" s="99"/>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row>
    <row r="37" spans="1:54">
      <c r="A37" s="149"/>
      <c r="B37" s="150"/>
      <c r="C37" s="99" t="s">
        <v>205</v>
      </c>
      <c r="D37" s="99"/>
      <c r="E37" s="554"/>
      <c r="F37" s="137"/>
      <c r="G37" s="99"/>
      <c r="I37" s="99"/>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row>
    <row r="38" spans="1:54">
      <c r="A38" s="143" t="s">
        <v>200</v>
      </c>
      <c r="B38" s="150"/>
      <c r="C38" s="99" t="s">
        <v>127</v>
      </c>
      <c r="D38" s="99"/>
      <c r="E38" s="554" t="s">
        <v>706</v>
      </c>
      <c r="F38" s="137"/>
      <c r="G38" s="138">
        <f>DEO!J156</f>
        <v>9972071</v>
      </c>
      <c r="I38" s="99"/>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row>
    <row r="39" spans="1:54">
      <c r="A39" s="143" t="s">
        <v>202</v>
      </c>
      <c r="B39" s="150"/>
      <c r="C39" s="99" t="s">
        <v>230</v>
      </c>
      <c r="D39" s="99"/>
      <c r="E39" s="554" t="s">
        <v>714</v>
      </c>
      <c r="F39" s="137"/>
      <c r="G39" s="139">
        <f>ROUND(IF(G38=0,0,G38/G21),4)</f>
        <v>1.38E-2</v>
      </c>
      <c r="I39" s="140">
        <f>G39</f>
        <v>1.38E-2</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row>
    <row r="40" spans="1:54">
      <c r="A40" s="143"/>
      <c r="C40" s="99"/>
      <c r="D40" s="99"/>
      <c r="E40" s="554"/>
      <c r="F40" s="137"/>
      <c r="G40" s="99"/>
      <c r="I40" s="99"/>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row>
    <row r="41" spans="1:54">
      <c r="A41" s="143"/>
      <c r="C41" s="95" t="s">
        <v>59</v>
      </c>
      <c r="D41" s="95"/>
      <c r="E41" s="555"/>
      <c r="F41" s="151"/>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row>
    <row r="42" spans="1:54">
      <c r="A42" s="143" t="s">
        <v>204</v>
      </c>
      <c r="C42" s="95" t="s">
        <v>206</v>
      </c>
      <c r="D42" s="95"/>
      <c r="E42" s="554" t="s">
        <v>705</v>
      </c>
      <c r="F42" s="137"/>
      <c r="G42" s="138">
        <f>DEO!J158</f>
        <v>50947169</v>
      </c>
      <c r="I42" s="99"/>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row>
    <row r="43" spans="1:54">
      <c r="A43" s="143" t="s">
        <v>270</v>
      </c>
      <c r="B43" s="150"/>
      <c r="C43" s="99" t="s">
        <v>231</v>
      </c>
      <c r="D43" s="99"/>
      <c r="E43" s="554" t="s">
        <v>711</v>
      </c>
      <c r="F43" s="137"/>
      <c r="G43" s="152">
        <f>ROUND(IF(G42=0,0,G42/G21),4)</f>
        <v>7.0499999999999993E-2</v>
      </c>
      <c r="I43" s="140">
        <f>G43</f>
        <v>7.0499999999999993E-2</v>
      </c>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row>
    <row r="44" spans="1:54">
      <c r="A44" s="143"/>
      <c r="C44" s="95"/>
      <c r="D44" s="95"/>
      <c r="E44" s="554"/>
      <c r="F44" s="137"/>
      <c r="G44" s="99"/>
      <c r="I44" s="99"/>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row>
    <row r="45" spans="1:54" ht="15.6">
      <c r="A45" s="145" t="s">
        <v>271</v>
      </c>
      <c r="B45" s="146"/>
      <c r="C45" s="134" t="s">
        <v>232</v>
      </c>
      <c r="D45" s="134"/>
      <c r="E45" s="553" t="s">
        <v>349</v>
      </c>
      <c r="F45" s="131"/>
      <c r="G45" s="147"/>
      <c r="I45" s="148">
        <f>I39+I43</f>
        <v>8.4299999999999986E-2</v>
      </c>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row>
    <row r="46" spans="1:54">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row>
    <row r="47" spans="1:54">
      <c r="A47" s="155"/>
      <c r="B47" s="125"/>
      <c r="C47" s="149"/>
      <c r="D47" s="149"/>
      <c r="E47" s="101"/>
      <c r="F47" s="101"/>
      <c r="G47" s="99"/>
      <c r="H47" s="94"/>
      <c r="I47" s="94"/>
      <c r="J47" s="139"/>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row>
    <row r="48" spans="1:54">
      <c r="A48" s="126"/>
      <c r="C48" s="94"/>
      <c r="D48" s="94"/>
      <c r="E48" s="94"/>
      <c r="F48" s="94"/>
      <c r="G48" s="99"/>
      <c r="H48" s="94"/>
      <c r="I48" s="94"/>
      <c r="J48" s="94"/>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row>
    <row r="49" spans="11:54">
      <c r="X49" s="73" t="s">
        <v>306</v>
      </c>
    </row>
    <row r="50" spans="11:54">
      <c r="X50" s="73" t="s">
        <v>304</v>
      </c>
    </row>
    <row r="51" spans="11:54">
      <c r="X51" s="156" t="s">
        <v>207</v>
      </c>
    </row>
    <row r="52" spans="11:54">
      <c r="K52" s="126"/>
      <c r="M52" s="94"/>
      <c r="N52" s="94"/>
      <c r="O52" s="94"/>
      <c r="P52" s="94"/>
      <c r="Q52" s="99"/>
      <c r="R52" s="94"/>
      <c r="S52" s="94"/>
      <c r="T52" s="94"/>
      <c r="U52" s="94"/>
      <c r="W52" s="99"/>
      <c r="X52" s="156" t="str">
        <f>I4</f>
        <v>For the 12 months ended: 12/31/2018</v>
      </c>
      <c r="Y52" s="129"/>
      <c r="Z52" s="123"/>
      <c r="AA52" s="129"/>
      <c r="AB52" s="130"/>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row>
    <row r="53" spans="11:54">
      <c r="K53" s="126"/>
      <c r="M53" s="95"/>
      <c r="N53" s="94"/>
      <c r="O53" s="94"/>
      <c r="P53" s="94"/>
      <c r="Q53" s="99"/>
      <c r="R53" s="94"/>
      <c r="S53" s="94"/>
      <c r="T53" s="94"/>
      <c r="U53" s="94"/>
      <c r="W53" s="99"/>
      <c r="Y53" s="129"/>
      <c r="Z53" s="123"/>
      <c r="AA53" s="129"/>
      <c r="AB53" s="130"/>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row>
    <row r="54" spans="11:54">
      <c r="K54" s="201" t="str">
        <f>A6</f>
        <v>Rate Formula Template</v>
      </c>
      <c r="L54" s="249"/>
      <c r="M54" s="249"/>
      <c r="N54" s="200"/>
      <c r="O54" s="201"/>
      <c r="P54" s="201"/>
      <c r="Q54" s="249"/>
      <c r="R54" s="201"/>
      <c r="S54" s="201"/>
      <c r="T54" s="201"/>
      <c r="U54" s="201"/>
      <c r="V54" s="249"/>
      <c r="W54" s="199"/>
      <c r="X54" s="249"/>
      <c r="Y54" s="129"/>
      <c r="Z54" s="123"/>
      <c r="AA54" s="129"/>
      <c r="AB54" s="130"/>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row>
    <row r="55" spans="11:54">
      <c r="K55" s="201" t="str">
        <f>A7</f>
        <v>Utilizing Attachment H-22A Data</v>
      </c>
      <c r="L55" s="249"/>
      <c r="M55" s="200"/>
      <c r="N55" s="200"/>
      <c r="O55" s="201"/>
      <c r="P55" s="201"/>
      <c r="Q55" s="249"/>
      <c r="R55" s="201"/>
      <c r="S55" s="201"/>
      <c r="T55" s="201"/>
      <c r="U55" s="201"/>
      <c r="V55" s="199"/>
      <c r="W55" s="199"/>
      <c r="X55" s="249"/>
      <c r="Y55" s="129"/>
      <c r="Z55" s="123"/>
      <c r="AA55" s="129"/>
      <c r="AB55" s="130"/>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row>
    <row r="56" spans="11:54" ht="14.25" customHeight="1">
      <c r="K56" s="248"/>
      <c r="M56" s="94"/>
      <c r="N56" s="94"/>
      <c r="O56" s="94"/>
      <c r="P56" s="94"/>
      <c r="R56" s="201"/>
      <c r="S56" s="94"/>
      <c r="T56" s="94"/>
      <c r="U56" s="94"/>
      <c r="W56" s="99"/>
      <c r="X56" s="94"/>
      <c r="Y56" s="129"/>
      <c r="Z56" s="123"/>
      <c r="AA56" s="129"/>
      <c r="AB56" s="130"/>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row>
    <row r="57" spans="11:54">
      <c r="K57" s="201" t="str">
        <f>A9</f>
        <v>DUKE ENERGY OHIO (DEO)</v>
      </c>
      <c r="L57" s="249"/>
      <c r="M57" s="249"/>
      <c r="N57" s="249"/>
      <c r="O57" s="201"/>
      <c r="P57" s="201"/>
      <c r="Q57" s="249"/>
      <c r="R57" s="201"/>
      <c r="S57" s="201"/>
      <c r="T57" s="201"/>
      <c r="U57" s="201"/>
      <c r="V57" s="201"/>
      <c r="W57" s="199"/>
      <c r="X57" s="199"/>
      <c r="Y57" s="129"/>
      <c r="Z57" s="123"/>
      <c r="AA57" s="129"/>
      <c r="AB57" s="130"/>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row>
    <row r="58" spans="11:54">
      <c r="K58" s="201" t="str">
        <f>A10</f>
        <v>MTEP - Transmission Enhancement Charges</v>
      </c>
      <c r="L58" s="249"/>
      <c r="M58" s="249"/>
      <c r="N58" s="249"/>
      <c r="O58" s="200"/>
      <c r="P58" s="200"/>
      <c r="Q58" s="200"/>
      <c r="R58" s="200"/>
      <c r="S58" s="200"/>
      <c r="T58" s="200"/>
      <c r="U58" s="200"/>
      <c r="V58" s="200"/>
      <c r="W58" s="200"/>
      <c r="X58" s="200"/>
      <c r="Y58" s="129"/>
      <c r="Z58" s="123"/>
      <c r="AA58" s="129"/>
      <c r="AB58" s="130"/>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row>
    <row r="59" spans="11:54">
      <c r="K59" s="126"/>
      <c r="O59" s="95"/>
      <c r="P59" s="95"/>
      <c r="Q59" s="95"/>
      <c r="R59" s="95"/>
      <c r="S59" s="95"/>
      <c r="T59" s="95"/>
      <c r="U59" s="95"/>
      <c r="V59" s="95"/>
      <c r="W59" s="95"/>
      <c r="X59" s="95"/>
      <c r="Y59" s="129"/>
      <c r="Z59" s="123"/>
      <c r="AA59" s="129"/>
      <c r="AB59" s="130"/>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row>
    <row r="60" spans="11:54" ht="15.6">
      <c r="K60" s="250" t="s">
        <v>279</v>
      </c>
      <c r="L60" s="249"/>
      <c r="M60" s="201"/>
      <c r="N60" s="201"/>
      <c r="O60" s="249"/>
      <c r="P60" s="250"/>
      <c r="Q60" s="249"/>
      <c r="R60" s="200"/>
      <c r="S60" s="200"/>
      <c r="T60" s="200"/>
      <c r="U60" s="200"/>
      <c r="V60" s="200"/>
      <c r="W60" s="199"/>
      <c r="X60" s="199"/>
      <c r="Y60" s="129"/>
      <c r="Z60" s="123"/>
      <c r="AA60" s="129"/>
      <c r="AB60" s="130"/>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row>
    <row r="61" spans="11:54" ht="15.6">
      <c r="K61" s="126"/>
      <c r="M61" s="94"/>
      <c r="N61" s="94"/>
      <c r="O61" s="134"/>
      <c r="P61" s="134"/>
      <c r="R61" s="98"/>
      <c r="S61" s="98"/>
      <c r="T61" s="98"/>
      <c r="U61" s="98"/>
      <c r="V61" s="98"/>
      <c r="W61" s="99"/>
      <c r="X61" s="99"/>
      <c r="Y61" s="129"/>
      <c r="Z61" s="123"/>
      <c r="AA61" s="129"/>
      <c r="AB61" s="130"/>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row>
    <row r="62" spans="11:54" ht="15.6">
      <c r="K62" s="126"/>
      <c r="M62" s="157">
        <v>-1</v>
      </c>
      <c r="N62" s="157">
        <v>-2</v>
      </c>
      <c r="O62" s="157">
        <v>-3</v>
      </c>
      <c r="P62" s="157">
        <v>-4</v>
      </c>
      <c r="Q62" s="157">
        <v>-5</v>
      </c>
      <c r="R62" s="157">
        <v>-6</v>
      </c>
      <c r="S62" s="157">
        <v>-7</v>
      </c>
      <c r="T62" s="157">
        <v>-8</v>
      </c>
      <c r="U62" s="157">
        <v>-9</v>
      </c>
      <c r="V62" s="157">
        <v>-10</v>
      </c>
      <c r="W62" s="157">
        <v>-11</v>
      </c>
      <c r="X62" s="157">
        <v>-12</v>
      </c>
      <c r="Y62" s="129"/>
      <c r="Z62" s="123"/>
      <c r="AA62" s="129"/>
      <c r="AB62" s="130"/>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row>
    <row r="63" spans="11:54" ht="62.4">
      <c r="K63" s="158" t="s">
        <v>233</v>
      </c>
      <c r="L63" s="159"/>
      <c r="M63" s="159" t="s">
        <v>212</v>
      </c>
      <c r="N63" s="160" t="s">
        <v>234</v>
      </c>
      <c r="O63" s="161" t="s">
        <v>235</v>
      </c>
      <c r="P63" s="161" t="s">
        <v>228</v>
      </c>
      <c r="Q63" s="162" t="s">
        <v>236</v>
      </c>
      <c r="R63" s="161" t="s">
        <v>237</v>
      </c>
      <c r="S63" s="161" t="s">
        <v>232</v>
      </c>
      <c r="T63" s="162" t="s">
        <v>238</v>
      </c>
      <c r="U63" s="161" t="s">
        <v>239</v>
      </c>
      <c r="V63" s="163" t="s">
        <v>240</v>
      </c>
      <c r="W63" s="164" t="s">
        <v>241</v>
      </c>
      <c r="X63" s="163" t="s">
        <v>242</v>
      </c>
      <c r="Y63" s="142"/>
      <c r="Z63" s="123"/>
      <c r="AA63" s="129"/>
      <c r="AB63" s="130"/>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row>
    <row r="64" spans="11:54" ht="46.5" customHeight="1">
      <c r="K64" s="165"/>
      <c r="L64" s="166"/>
      <c r="M64" s="166"/>
      <c r="N64" s="166"/>
      <c r="O64" s="167" t="s">
        <v>16</v>
      </c>
      <c r="P64" s="556" t="s">
        <v>767</v>
      </c>
      <c r="Q64" s="168" t="s">
        <v>243</v>
      </c>
      <c r="R64" s="556" t="s">
        <v>17</v>
      </c>
      <c r="S64" s="556" t="s">
        <v>768</v>
      </c>
      <c r="T64" s="168" t="s">
        <v>244</v>
      </c>
      <c r="U64" s="556" t="s">
        <v>245</v>
      </c>
      <c r="V64" s="168" t="s">
        <v>246</v>
      </c>
      <c r="W64" s="169" t="s">
        <v>208</v>
      </c>
      <c r="X64" s="170" t="s">
        <v>247</v>
      </c>
      <c r="Y64" s="129"/>
      <c r="Z64" s="123"/>
      <c r="AA64" s="129"/>
      <c r="AB64" s="130"/>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row>
    <row r="65" spans="11:54">
      <c r="K65" s="171"/>
      <c r="L65" s="98"/>
      <c r="M65" s="98"/>
      <c r="N65" s="98"/>
      <c r="O65" s="98"/>
      <c r="P65" s="98"/>
      <c r="Q65" s="172"/>
      <c r="R65" s="98"/>
      <c r="S65" s="98"/>
      <c r="T65" s="172"/>
      <c r="U65" s="98"/>
      <c r="V65" s="172"/>
      <c r="W65" s="99"/>
      <c r="X65" s="173"/>
      <c r="Y65" s="129"/>
      <c r="Z65" s="123"/>
      <c r="AA65" s="129"/>
      <c r="AB65" s="130"/>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row>
    <row r="66" spans="11:54">
      <c r="K66" s="174" t="s">
        <v>1</v>
      </c>
      <c r="M66" s="370" t="s">
        <v>262</v>
      </c>
      <c r="N66" s="756">
        <v>91</v>
      </c>
      <c r="O66" s="900">
        <v>17551249</v>
      </c>
      <c r="P66" s="140">
        <f>$I$35</f>
        <v>5.91E-2</v>
      </c>
      <c r="Q66" s="1108">
        <f>ROUND(O66*P66,0)</f>
        <v>1037279</v>
      </c>
      <c r="R66" s="175">
        <v>15437247</v>
      </c>
      <c r="S66" s="140">
        <f>$I$45</f>
        <v>8.4299999999999986E-2</v>
      </c>
      <c r="T66" s="1108">
        <f>ROUND(R66*S66,0)</f>
        <v>1301360</v>
      </c>
      <c r="U66" s="1109">
        <v>315925</v>
      </c>
      <c r="V66" s="1108">
        <f>Q66+T66+U66</f>
        <v>2654564</v>
      </c>
      <c r="W66" s="177">
        <v>0</v>
      </c>
      <c r="X66" s="1108">
        <f>V66+W66</f>
        <v>2654564</v>
      </c>
      <c r="Y66" s="178"/>
      <c r="Z66" s="178"/>
      <c r="AA66" s="178"/>
      <c r="AB66" s="178"/>
    </row>
    <row r="67" spans="11:54">
      <c r="K67" s="174" t="s">
        <v>250</v>
      </c>
      <c r="M67" s="370" t="s">
        <v>251</v>
      </c>
      <c r="N67" s="370" t="s">
        <v>252</v>
      </c>
      <c r="O67" s="225">
        <v>0</v>
      </c>
      <c r="P67" s="140">
        <f>$I$35</f>
        <v>5.91E-2</v>
      </c>
      <c r="Q67" s="1108">
        <f t="shared" ref="Q67:Q68" si="0">ROUND(O67*P67,0)</f>
        <v>0</v>
      </c>
      <c r="R67" s="175">
        <v>0</v>
      </c>
      <c r="S67" s="140">
        <f>$I$45</f>
        <v>8.4299999999999986E-2</v>
      </c>
      <c r="T67" s="1108">
        <f t="shared" ref="T67:T68" si="1">ROUND(R67*S67,0)</f>
        <v>0</v>
      </c>
      <c r="U67" s="1109">
        <v>0</v>
      </c>
      <c r="V67" s="1108">
        <f>Q67+T67+U67</f>
        <v>0</v>
      </c>
      <c r="W67" s="177">
        <v>0</v>
      </c>
      <c r="X67" s="1108">
        <f>V67+W67</f>
        <v>0</v>
      </c>
      <c r="Y67" s="178"/>
      <c r="Z67" s="178"/>
      <c r="AA67" s="178"/>
      <c r="AB67" s="178"/>
    </row>
    <row r="68" spans="11:54">
      <c r="K68" s="174" t="s">
        <v>253</v>
      </c>
      <c r="M68" s="370" t="s">
        <v>254</v>
      </c>
      <c r="N68" s="370" t="s">
        <v>255</v>
      </c>
      <c r="O68" s="225">
        <v>0</v>
      </c>
      <c r="P68" s="140">
        <f>$I$35</f>
        <v>5.91E-2</v>
      </c>
      <c r="Q68" s="1108">
        <f t="shared" si="0"/>
        <v>0</v>
      </c>
      <c r="R68" s="175">
        <v>0</v>
      </c>
      <c r="S68" s="140">
        <f>$I$45</f>
        <v>8.4299999999999986E-2</v>
      </c>
      <c r="T68" s="1108">
        <f t="shared" si="1"/>
        <v>0</v>
      </c>
      <c r="U68" s="1109">
        <v>0</v>
      </c>
      <c r="V68" s="1108">
        <f>Q68+T68+U68</f>
        <v>0</v>
      </c>
      <c r="W68" s="175">
        <v>0</v>
      </c>
      <c r="X68" s="1108">
        <f>V68+W68</f>
        <v>0</v>
      </c>
      <c r="Y68" s="178"/>
      <c r="Z68" s="178"/>
      <c r="AA68" s="178"/>
      <c r="AB68" s="178"/>
    </row>
    <row r="69" spans="11:54">
      <c r="K69" s="174"/>
      <c r="Q69" s="176"/>
      <c r="T69" s="176"/>
      <c r="V69" s="176"/>
      <c r="X69" s="176"/>
      <c r="Y69" s="178"/>
      <c r="Z69" s="178"/>
      <c r="AA69" s="178"/>
      <c r="AB69" s="178"/>
    </row>
    <row r="70" spans="11:54">
      <c r="K70" s="174"/>
      <c r="Q70" s="176"/>
      <c r="T70" s="176"/>
      <c r="V70" s="176"/>
      <c r="X70" s="176"/>
      <c r="Y70" s="178"/>
      <c r="Z70" s="178"/>
      <c r="AA70" s="178"/>
      <c r="AB70" s="178"/>
    </row>
    <row r="71" spans="11:54">
      <c r="K71" s="180"/>
      <c r="L71" s="181"/>
      <c r="M71" s="182"/>
      <c r="N71" s="182"/>
      <c r="O71" s="182"/>
      <c r="P71" s="182"/>
      <c r="Q71" s="183"/>
      <c r="R71" s="182"/>
      <c r="S71" s="182"/>
      <c r="T71" s="183"/>
      <c r="U71" s="182"/>
      <c r="V71" s="183"/>
      <c r="W71" s="182"/>
      <c r="X71" s="183"/>
      <c r="Y71" s="178"/>
      <c r="Z71" s="178"/>
      <c r="AA71" s="178"/>
      <c r="AB71" s="178"/>
    </row>
    <row r="72" spans="11:54">
      <c r="K72" s="128" t="s">
        <v>256</v>
      </c>
      <c r="L72" s="150"/>
      <c r="M72" s="95" t="s">
        <v>257</v>
      </c>
      <c r="N72" s="95"/>
      <c r="O72" s="101"/>
      <c r="P72" s="101"/>
      <c r="Q72" s="99"/>
      <c r="R72" s="99"/>
      <c r="S72" s="99"/>
      <c r="T72" s="99"/>
      <c r="U72" s="99"/>
      <c r="V72" s="989">
        <f>SUM(V66:V71)</f>
        <v>2654564</v>
      </c>
      <c r="W72" s="989">
        <f>SUM(W66:W71)</f>
        <v>0</v>
      </c>
      <c r="X72" s="989">
        <f>SUM(X66:X71)</f>
        <v>2654564</v>
      </c>
      <c r="Y72" s="178"/>
      <c r="Z72" s="178"/>
      <c r="AA72" s="178"/>
      <c r="AB72" s="178"/>
    </row>
    <row r="73" spans="11:54">
      <c r="K73" s="89"/>
      <c r="L73" s="178"/>
      <c r="M73" s="178"/>
      <c r="N73" s="178"/>
      <c r="O73" s="178"/>
      <c r="P73" s="178"/>
      <c r="Q73" s="178"/>
      <c r="R73" s="178"/>
      <c r="S73" s="178"/>
      <c r="T73" s="178"/>
      <c r="U73" s="178"/>
      <c r="V73" s="1107"/>
      <c r="W73" s="1107"/>
      <c r="X73" s="1107"/>
      <c r="Y73" s="178"/>
      <c r="Z73" s="178"/>
      <c r="AA73" s="178"/>
      <c r="AB73" s="178"/>
    </row>
    <row r="74" spans="11:54">
      <c r="K74" s="184">
        <v>3</v>
      </c>
      <c r="L74" s="178"/>
      <c r="M74" s="560" t="str">
        <f>'Appx C - DEOK(MTEP)'!D40</f>
        <v>MTEP Transmission Enhancement Charges</v>
      </c>
      <c r="N74" s="178"/>
      <c r="O74" s="178"/>
      <c r="P74" s="178"/>
      <c r="Q74" s="178"/>
      <c r="R74" s="178"/>
      <c r="S74" s="178"/>
      <c r="T74" s="178"/>
      <c r="U74" s="178"/>
      <c r="V74" s="989"/>
      <c r="W74" s="1107"/>
      <c r="X74" s="989">
        <f>X72</f>
        <v>2654564</v>
      </c>
      <c r="Y74" s="178"/>
      <c r="Z74" s="178"/>
      <c r="AA74" s="178"/>
      <c r="AB74" s="178"/>
    </row>
    <row r="75" spans="11:54">
      <c r="K75" s="178"/>
      <c r="L75" s="178"/>
      <c r="M75" s="178"/>
      <c r="N75" s="178"/>
      <c r="O75" s="178"/>
      <c r="P75" s="178"/>
      <c r="Q75" s="178"/>
      <c r="R75" s="178"/>
      <c r="S75" s="178"/>
      <c r="T75" s="178"/>
      <c r="U75" s="178"/>
      <c r="V75" s="178"/>
      <c r="W75" s="178"/>
      <c r="X75" s="178"/>
      <c r="Y75" s="178"/>
      <c r="Z75" s="178"/>
      <c r="AA75" s="178"/>
      <c r="AB75" s="178"/>
    </row>
    <row r="76" spans="11:54">
      <c r="K76" s="178"/>
      <c r="L76" s="178"/>
      <c r="M76" s="178"/>
      <c r="N76" s="178"/>
      <c r="O76" s="178"/>
      <c r="P76" s="178"/>
      <c r="Q76" s="178"/>
      <c r="R76" s="178"/>
      <c r="S76" s="178"/>
      <c r="T76" s="178"/>
      <c r="U76" s="178"/>
      <c r="V76" s="178"/>
      <c r="W76" s="178"/>
      <c r="X76" s="178"/>
      <c r="Y76" s="178"/>
      <c r="Z76" s="178"/>
      <c r="AA76" s="178"/>
      <c r="AB76" s="178"/>
    </row>
    <row r="77" spans="11:54">
      <c r="K77" s="552" t="s">
        <v>94</v>
      </c>
      <c r="L77" s="178"/>
      <c r="M77" s="178"/>
      <c r="N77" s="178"/>
      <c r="O77" s="178"/>
      <c r="P77" s="178"/>
      <c r="Q77" s="178"/>
      <c r="R77" s="178"/>
      <c r="S77" s="178"/>
      <c r="T77" s="178"/>
      <c r="U77" s="178"/>
      <c r="V77" s="178"/>
      <c r="W77" s="178"/>
      <c r="X77" s="178"/>
      <c r="Y77" s="178"/>
      <c r="Z77" s="178"/>
      <c r="AA77" s="178"/>
      <c r="AB77" s="178"/>
    </row>
    <row r="78" spans="11:54" ht="15.6" thickBot="1">
      <c r="K78" s="970" t="s">
        <v>95</v>
      </c>
      <c r="L78" s="178"/>
      <c r="M78" s="178"/>
      <c r="N78" s="178"/>
      <c r="O78" s="178"/>
      <c r="P78" s="178"/>
      <c r="Q78" s="178"/>
      <c r="R78" s="178"/>
      <c r="S78" s="178"/>
      <c r="T78" s="178"/>
      <c r="U78" s="178"/>
      <c r="V78" s="178"/>
      <c r="W78" s="178"/>
      <c r="X78" s="178"/>
      <c r="Y78" s="178"/>
      <c r="Z78" s="178"/>
      <c r="AA78" s="178"/>
      <c r="AB78" s="178"/>
    </row>
    <row r="79" spans="11:54">
      <c r="K79" s="185" t="s">
        <v>96</v>
      </c>
      <c r="L79" s="97"/>
      <c r="M79" s="1189" t="s">
        <v>608</v>
      </c>
      <c r="N79" s="1190"/>
      <c r="O79" s="1190"/>
      <c r="P79" s="1190"/>
      <c r="Q79" s="1190"/>
      <c r="R79" s="1190"/>
      <c r="S79" s="1190"/>
      <c r="T79" s="1190"/>
      <c r="U79" s="1190"/>
      <c r="V79" s="1190"/>
      <c r="W79" s="1190"/>
      <c r="X79" s="1190"/>
      <c r="Y79" s="178"/>
      <c r="Z79" s="178"/>
      <c r="AA79" s="178"/>
      <c r="AB79" s="178"/>
    </row>
    <row r="80" spans="11:54">
      <c r="K80" s="185" t="s">
        <v>97</v>
      </c>
      <c r="L80" s="97"/>
      <c r="M80" s="1189" t="s">
        <v>609</v>
      </c>
      <c r="N80" s="1190"/>
      <c r="O80" s="1190"/>
      <c r="P80" s="1190"/>
      <c r="Q80" s="1190"/>
      <c r="R80" s="1190"/>
      <c r="S80" s="1190"/>
      <c r="T80" s="1190"/>
      <c r="U80" s="1190"/>
      <c r="V80" s="1190"/>
      <c r="W80" s="1190"/>
      <c r="X80" s="1190"/>
      <c r="Y80" s="178"/>
      <c r="Z80" s="178"/>
      <c r="AA80" s="178"/>
      <c r="AB80" s="178"/>
    </row>
    <row r="81" spans="3:28" ht="27.75" customHeight="1">
      <c r="K81" s="186" t="s">
        <v>98</v>
      </c>
      <c r="L81" s="97"/>
      <c r="M81" s="1191" t="s">
        <v>258</v>
      </c>
      <c r="N81" s="1191"/>
      <c r="O81" s="1191"/>
      <c r="P81" s="1191"/>
      <c r="Q81" s="1191"/>
      <c r="R81" s="1191"/>
      <c r="S81" s="1191"/>
      <c r="T81" s="1191"/>
      <c r="U81" s="1191"/>
      <c r="V81" s="1191"/>
      <c r="W81" s="1191"/>
      <c r="X81" s="1191"/>
      <c r="Y81" s="178"/>
      <c r="Z81" s="178"/>
      <c r="AA81" s="178"/>
      <c r="AB81" s="178"/>
    </row>
    <row r="82" spans="3:28" ht="15" customHeight="1">
      <c r="K82" s="186" t="s">
        <v>99</v>
      </c>
      <c r="L82" s="97"/>
      <c r="M82" s="1191" t="s">
        <v>259</v>
      </c>
      <c r="N82" s="1191"/>
      <c r="O82" s="1191"/>
      <c r="P82" s="1191"/>
      <c r="Q82" s="1191"/>
      <c r="R82" s="1191"/>
      <c r="S82" s="1191"/>
      <c r="T82" s="1191"/>
      <c r="U82" s="1191"/>
      <c r="V82" s="1191"/>
      <c r="W82" s="1191"/>
      <c r="X82" s="1191"/>
      <c r="Y82" s="178"/>
      <c r="Z82" s="178"/>
      <c r="AA82" s="178"/>
      <c r="AB82" s="178"/>
    </row>
    <row r="83" spans="3:28">
      <c r="K83" s="185" t="s">
        <v>100</v>
      </c>
      <c r="L83" s="97"/>
      <c r="M83" s="1190" t="s">
        <v>322</v>
      </c>
      <c r="N83" s="1190"/>
      <c r="O83" s="1190"/>
      <c r="P83" s="1190"/>
      <c r="Q83" s="1190"/>
      <c r="R83" s="1190"/>
      <c r="S83" s="1190"/>
      <c r="T83" s="1190"/>
      <c r="U83" s="1190"/>
      <c r="V83" s="1190"/>
      <c r="W83" s="1190"/>
      <c r="X83" s="1190"/>
      <c r="Y83" s="178"/>
      <c r="Z83" s="178"/>
      <c r="AA83" s="178"/>
      <c r="AB83" s="178"/>
    </row>
    <row r="84" spans="3:28">
      <c r="K84" s="185" t="s">
        <v>101</v>
      </c>
      <c r="L84" s="97"/>
      <c r="M84" s="1190" t="s">
        <v>260</v>
      </c>
      <c r="N84" s="1190"/>
      <c r="O84" s="1190"/>
      <c r="P84" s="1190"/>
      <c r="Q84" s="1190"/>
      <c r="R84" s="1190"/>
      <c r="S84" s="1190"/>
      <c r="T84" s="1190"/>
      <c r="U84" s="1190"/>
      <c r="V84" s="1190"/>
      <c r="W84" s="1190"/>
      <c r="X84" s="1190"/>
      <c r="Y84" s="178"/>
      <c r="Z84" s="178"/>
      <c r="AA84" s="178"/>
      <c r="AB84" s="178"/>
    </row>
    <row r="85" spans="3:28">
      <c r="K85" s="185" t="s">
        <v>102</v>
      </c>
      <c r="L85" s="97"/>
      <c r="M85" s="1190" t="s">
        <v>261</v>
      </c>
      <c r="N85" s="1190"/>
      <c r="O85" s="1190"/>
      <c r="P85" s="1190"/>
      <c r="Q85" s="1190"/>
      <c r="R85" s="1190"/>
      <c r="S85" s="1190"/>
      <c r="T85" s="1190"/>
      <c r="U85" s="1190"/>
      <c r="V85" s="1190"/>
      <c r="W85" s="1190"/>
      <c r="X85" s="1190"/>
      <c r="Y85" s="178"/>
      <c r="Z85" s="178"/>
      <c r="AA85" s="178"/>
      <c r="AB85" s="178"/>
    </row>
    <row r="86" spans="3:28">
      <c r="K86" s="358" t="s">
        <v>104</v>
      </c>
      <c r="L86" s="125"/>
      <c r="M86" s="1189" t="s">
        <v>346</v>
      </c>
      <c r="N86" s="1189"/>
      <c r="O86" s="1189"/>
      <c r="P86" s="1189"/>
      <c r="Q86" s="1189"/>
      <c r="R86" s="1189"/>
      <c r="S86" s="1189"/>
      <c r="T86" s="1189"/>
      <c r="U86" s="1189"/>
      <c r="V86" s="1189"/>
      <c r="W86" s="1189"/>
      <c r="X86" s="1189"/>
      <c r="Y86" s="178"/>
      <c r="Z86" s="178"/>
      <c r="AA86" s="178"/>
      <c r="AB86" s="178"/>
    </row>
    <row r="87" spans="3:28" ht="15.6">
      <c r="K87" s="153"/>
      <c r="L87" s="187"/>
      <c r="M87" s="188"/>
      <c r="N87" s="149"/>
      <c r="O87" s="101"/>
      <c r="P87" s="101"/>
      <c r="Q87" s="99"/>
      <c r="R87" s="94"/>
      <c r="S87" s="94"/>
      <c r="T87" s="139"/>
      <c r="U87" s="94"/>
      <c r="W87" s="99"/>
      <c r="X87" s="154"/>
      <c r="Y87" s="178"/>
      <c r="Z87" s="178"/>
      <c r="AA87" s="178"/>
      <c r="AB87" s="178"/>
    </row>
    <row r="88" spans="3:28" ht="15.6">
      <c r="K88" s="153"/>
      <c r="L88" s="187"/>
      <c r="M88" s="188"/>
      <c r="N88" s="149"/>
      <c r="O88" s="101"/>
      <c r="P88" s="101"/>
      <c r="Q88" s="99"/>
      <c r="R88" s="94"/>
      <c r="S88" s="94"/>
      <c r="T88" s="139"/>
      <c r="U88" s="94"/>
      <c r="W88" s="99"/>
      <c r="X88" s="141"/>
      <c r="Y88" s="178"/>
      <c r="Z88" s="178"/>
      <c r="AA88" s="178"/>
      <c r="AB88" s="178"/>
    </row>
    <row r="89" spans="3:28">
      <c r="M89" s="178"/>
      <c r="N89" s="178"/>
      <c r="O89" s="178"/>
      <c r="P89" s="178"/>
      <c r="Q89" s="178"/>
      <c r="R89" s="178"/>
      <c r="S89" s="178"/>
      <c r="T89" s="178"/>
      <c r="U89" s="178"/>
      <c r="V89" s="178"/>
      <c r="W89" s="178"/>
      <c r="X89" s="178"/>
      <c r="Y89" s="178"/>
      <c r="Z89" s="178"/>
      <c r="AA89" s="178"/>
      <c r="AB89" s="178"/>
    </row>
    <row r="90" spans="3:28">
      <c r="C90" s="178"/>
      <c r="D90" s="178"/>
      <c r="E90" s="178"/>
      <c r="F90" s="178"/>
      <c r="G90" s="178"/>
      <c r="H90" s="178"/>
      <c r="I90" s="178"/>
      <c r="J90" s="178"/>
    </row>
    <row r="91" spans="3:28">
      <c r="C91" s="178"/>
      <c r="D91" s="178"/>
      <c r="E91" s="178"/>
      <c r="F91" s="178"/>
      <c r="G91" s="178"/>
      <c r="H91" s="178"/>
      <c r="I91" s="178"/>
      <c r="J91" s="178"/>
    </row>
    <row r="92" spans="3:28">
      <c r="C92" s="178"/>
      <c r="D92" s="178"/>
      <c r="E92" s="178"/>
      <c r="F92" s="178"/>
      <c r="G92" s="178"/>
      <c r="H92" s="178"/>
      <c r="I92" s="178"/>
      <c r="J92" s="178"/>
    </row>
    <row r="93" spans="3:28">
      <c r="C93" s="178"/>
      <c r="D93" s="178"/>
      <c r="E93" s="178"/>
      <c r="F93" s="178"/>
      <c r="G93" s="178"/>
      <c r="H93" s="178"/>
      <c r="I93" s="178"/>
      <c r="J93" s="178"/>
    </row>
    <row r="94" spans="3:28">
      <c r="C94" s="178"/>
      <c r="D94" s="178"/>
      <c r="E94" s="178"/>
      <c r="F94" s="178"/>
      <c r="G94" s="178"/>
      <c r="H94" s="178"/>
      <c r="I94" s="178"/>
      <c r="J94" s="178"/>
    </row>
    <row r="95" spans="3:28">
      <c r="C95" s="178"/>
      <c r="D95" s="178"/>
      <c r="E95" s="178"/>
      <c r="F95" s="178"/>
      <c r="G95" s="178"/>
      <c r="H95" s="178"/>
      <c r="I95" s="178"/>
      <c r="J95" s="178"/>
    </row>
    <row r="96" spans="3:28">
      <c r="C96" s="178"/>
      <c r="D96" s="178"/>
      <c r="E96" s="178"/>
      <c r="F96" s="178"/>
      <c r="G96" s="178"/>
      <c r="H96" s="178"/>
      <c r="I96" s="178"/>
      <c r="J96" s="178"/>
    </row>
    <row r="97" spans="3:10">
      <c r="C97" s="178"/>
      <c r="D97" s="178"/>
      <c r="E97" s="178"/>
      <c r="F97" s="178"/>
      <c r="G97" s="178"/>
      <c r="H97" s="178"/>
      <c r="I97" s="178"/>
      <c r="J97" s="178"/>
    </row>
    <row r="98" spans="3:10">
      <c r="C98" s="178"/>
      <c r="D98" s="178"/>
      <c r="E98" s="178"/>
      <c r="F98" s="178"/>
      <c r="G98" s="178"/>
      <c r="H98" s="178"/>
      <c r="I98" s="178"/>
      <c r="J98" s="178"/>
    </row>
    <row r="99" spans="3:10">
      <c r="C99" s="178"/>
      <c r="D99" s="178"/>
      <c r="E99" s="178"/>
      <c r="F99" s="178"/>
      <c r="G99" s="178"/>
      <c r="H99" s="178"/>
      <c r="I99" s="178"/>
      <c r="J99" s="178"/>
    </row>
    <row r="100" spans="3:10">
      <c r="C100" s="178"/>
      <c r="D100" s="178"/>
      <c r="E100" s="178"/>
      <c r="F100" s="178"/>
      <c r="G100" s="178"/>
      <c r="H100" s="178"/>
      <c r="I100" s="178"/>
      <c r="J100" s="178"/>
    </row>
    <row r="101" spans="3:10">
      <c r="C101" s="178"/>
      <c r="D101" s="178"/>
      <c r="E101" s="178"/>
      <c r="F101" s="178"/>
      <c r="G101" s="178"/>
      <c r="H101" s="178"/>
      <c r="I101" s="178"/>
      <c r="J101" s="178"/>
    </row>
    <row r="102" spans="3:10">
      <c r="C102" s="178"/>
      <c r="D102" s="178"/>
      <c r="E102" s="178"/>
      <c r="F102" s="178"/>
      <c r="G102" s="178"/>
      <c r="H102" s="178"/>
      <c r="I102" s="178"/>
      <c r="J102" s="178"/>
    </row>
    <row r="103" spans="3:10">
      <c r="C103" s="178"/>
      <c r="D103" s="178"/>
      <c r="E103" s="178"/>
      <c r="F103" s="178"/>
      <c r="G103" s="178"/>
      <c r="H103" s="178"/>
      <c r="I103" s="178"/>
      <c r="J103" s="178"/>
    </row>
    <row r="104" spans="3:10">
      <c r="C104" s="178"/>
      <c r="D104" s="178"/>
      <c r="E104" s="178"/>
      <c r="F104" s="178"/>
      <c r="G104" s="178"/>
      <c r="H104" s="178"/>
      <c r="I104" s="178"/>
      <c r="J104" s="178"/>
    </row>
    <row r="105" spans="3:10">
      <c r="C105" s="178"/>
      <c r="D105" s="178"/>
      <c r="E105" s="178"/>
      <c r="F105" s="178"/>
      <c r="G105" s="178"/>
      <c r="H105" s="178"/>
      <c r="I105" s="178"/>
      <c r="J105" s="178"/>
    </row>
    <row r="106" spans="3:10">
      <c r="C106" s="178"/>
      <c r="D106" s="178"/>
      <c r="E106" s="178"/>
      <c r="F106" s="178"/>
      <c r="G106" s="178"/>
      <c r="H106" s="178"/>
      <c r="I106" s="178"/>
      <c r="J106" s="178"/>
    </row>
    <row r="107" spans="3:10">
      <c r="C107" s="178"/>
      <c r="D107" s="178"/>
      <c r="E107" s="178"/>
      <c r="F107" s="178"/>
      <c r="G107" s="178"/>
      <c r="H107" s="178"/>
      <c r="I107" s="178"/>
      <c r="J107" s="178"/>
    </row>
    <row r="108" spans="3:10">
      <c r="C108" s="178"/>
      <c r="D108" s="178"/>
      <c r="E108" s="178"/>
      <c r="F108" s="178"/>
      <c r="G108" s="178"/>
      <c r="H108" s="178"/>
      <c r="I108" s="178"/>
      <c r="J108" s="178"/>
    </row>
    <row r="109" spans="3:10">
      <c r="C109" s="178"/>
      <c r="D109" s="178"/>
      <c r="E109" s="178"/>
      <c r="F109" s="178"/>
      <c r="G109" s="178"/>
      <c r="H109" s="178"/>
      <c r="I109" s="178"/>
      <c r="J109" s="178"/>
    </row>
    <row r="110" spans="3:10">
      <c r="C110" s="178"/>
      <c r="D110" s="178"/>
      <c r="E110" s="178"/>
      <c r="F110" s="178"/>
      <c r="G110" s="178"/>
      <c r="H110" s="178"/>
      <c r="I110" s="178"/>
      <c r="J110" s="178"/>
    </row>
    <row r="111" spans="3:10">
      <c r="C111" s="178"/>
      <c r="D111" s="178"/>
      <c r="E111" s="178"/>
      <c r="F111" s="178"/>
      <c r="G111" s="178"/>
      <c r="H111" s="178"/>
      <c r="I111" s="178"/>
      <c r="J111" s="178"/>
    </row>
    <row r="112" spans="3:10">
      <c r="C112" s="178"/>
      <c r="D112" s="178"/>
      <c r="E112" s="178"/>
      <c r="F112" s="178"/>
      <c r="G112" s="178"/>
      <c r="H112" s="178"/>
      <c r="I112" s="178"/>
      <c r="J112" s="178"/>
    </row>
    <row r="113" spans="3:10">
      <c r="C113" s="178"/>
      <c r="D113" s="178"/>
      <c r="E113" s="178"/>
      <c r="F113" s="178"/>
      <c r="G113" s="178"/>
      <c r="H113" s="178"/>
      <c r="I113" s="178"/>
      <c r="J113" s="178"/>
    </row>
    <row r="114" spans="3:10">
      <c r="C114" s="178"/>
      <c r="D114" s="178"/>
      <c r="E114" s="178"/>
      <c r="F114" s="178"/>
      <c r="G114" s="178"/>
      <c r="H114" s="178"/>
      <c r="I114" s="178"/>
      <c r="J114" s="178"/>
    </row>
    <row r="115" spans="3:10">
      <c r="C115" s="178"/>
      <c r="D115" s="178"/>
      <c r="E115" s="178"/>
      <c r="F115" s="178"/>
      <c r="G115" s="178"/>
      <c r="H115" s="178"/>
      <c r="I115" s="178"/>
      <c r="J115" s="178"/>
    </row>
    <row r="116" spans="3:10">
      <c r="C116" s="178"/>
      <c r="D116" s="178"/>
      <c r="E116" s="178"/>
      <c r="F116" s="178"/>
      <c r="G116" s="178"/>
      <c r="H116" s="178"/>
      <c r="I116" s="178"/>
      <c r="J116" s="178"/>
    </row>
    <row r="117" spans="3:10">
      <c r="C117" s="178"/>
      <c r="D117" s="178"/>
      <c r="E117" s="178"/>
      <c r="F117" s="178"/>
      <c r="G117" s="178"/>
      <c r="H117" s="178"/>
      <c r="I117" s="178"/>
      <c r="J117" s="178"/>
    </row>
    <row r="118" spans="3:10">
      <c r="C118" s="178"/>
      <c r="D118" s="178"/>
      <c r="E118" s="178"/>
      <c r="F118" s="178"/>
      <c r="G118" s="178"/>
      <c r="H118" s="178"/>
      <c r="I118" s="178"/>
      <c r="J118" s="178"/>
    </row>
    <row r="119" spans="3:10">
      <c r="C119" s="178"/>
      <c r="D119" s="178"/>
      <c r="E119" s="178"/>
      <c r="F119" s="178"/>
      <c r="G119" s="178"/>
      <c r="H119" s="178"/>
      <c r="I119" s="178"/>
      <c r="J119" s="178"/>
    </row>
    <row r="120" spans="3:10">
      <c r="C120" s="178"/>
      <c r="D120" s="178"/>
      <c r="E120" s="178"/>
      <c r="F120" s="178"/>
      <c r="G120" s="178"/>
      <c r="H120" s="178"/>
      <c r="I120" s="178"/>
      <c r="J120" s="178"/>
    </row>
    <row r="121" spans="3:10">
      <c r="C121" s="178"/>
      <c r="D121" s="178"/>
      <c r="E121" s="178"/>
      <c r="F121" s="178"/>
      <c r="G121" s="178"/>
      <c r="H121" s="178"/>
      <c r="I121" s="178"/>
      <c r="J121" s="178"/>
    </row>
    <row r="122" spans="3:10">
      <c r="C122" s="178"/>
      <c r="D122" s="178"/>
      <c r="E122" s="178"/>
      <c r="F122" s="178"/>
      <c r="G122" s="178"/>
      <c r="H122" s="178"/>
      <c r="I122" s="178"/>
      <c r="J122" s="178"/>
    </row>
    <row r="123" spans="3:10">
      <c r="C123" s="178"/>
      <c r="D123" s="178"/>
      <c r="E123" s="178"/>
      <c r="F123" s="178"/>
      <c r="G123" s="178"/>
      <c r="H123" s="178"/>
      <c r="I123" s="178"/>
      <c r="J123" s="178"/>
    </row>
    <row r="124" spans="3:10">
      <c r="C124" s="178"/>
      <c r="D124" s="178"/>
      <c r="E124" s="178"/>
      <c r="F124" s="178"/>
      <c r="G124" s="178"/>
      <c r="H124" s="178"/>
      <c r="I124" s="178"/>
      <c r="J124" s="178"/>
    </row>
    <row r="125" spans="3:10">
      <c r="C125" s="178"/>
      <c r="D125" s="178"/>
      <c r="E125" s="178"/>
      <c r="F125" s="178"/>
      <c r="G125" s="178"/>
      <c r="H125" s="178"/>
      <c r="I125" s="178"/>
      <c r="J125" s="178"/>
    </row>
    <row r="126" spans="3:10">
      <c r="C126" s="178"/>
      <c r="D126" s="178"/>
      <c r="E126" s="178"/>
      <c r="F126" s="178"/>
      <c r="G126" s="178"/>
      <c r="H126" s="178"/>
      <c r="I126" s="178"/>
      <c r="J126" s="178"/>
    </row>
    <row r="127" spans="3:10">
      <c r="C127" s="178"/>
      <c r="D127" s="178"/>
      <c r="E127" s="178"/>
      <c r="F127" s="178"/>
      <c r="G127" s="178"/>
      <c r="H127" s="178"/>
      <c r="I127" s="178"/>
      <c r="J127" s="178"/>
    </row>
    <row r="128" spans="3:10">
      <c r="C128" s="178"/>
      <c r="D128" s="178"/>
      <c r="E128" s="178"/>
      <c r="F128" s="178"/>
      <c r="G128" s="178"/>
      <c r="H128" s="178"/>
      <c r="I128" s="178"/>
      <c r="J128" s="178"/>
    </row>
    <row r="129" spans="3:10">
      <c r="C129" s="178"/>
      <c r="D129" s="178"/>
      <c r="E129" s="178"/>
      <c r="F129" s="178"/>
      <c r="G129" s="178"/>
      <c r="H129" s="178"/>
      <c r="I129" s="178"/>
      <c r="J129" s="178"/>
    </row>
    <row r="130" spans="3:10">
      <c r="C130" s="178"/>
      <c r="D130" s="178"/>
      <c r="E130" s="178"/>
      <c r="F130" s="178"/>
      <c r="G130" s="178"/>
      <c r="H130" s="178"/>
      <c r="I130" s="178"/>
      <c r="J130" s="178"/>
    </row>
    <row r="131" spans="3:10">
      <c r="C131" s="178"/>
      <c r="D131" s="178"/>
      <c r="E131" s="178"/>
      <c r="F131" s="178"/>
      <c r="G131" s="178"/>
      <c r="H131" s="178"/>
      <c r="I131" s="178"/>
      <c r="J131" s="178"/>
    </row>
    <row r="132" spans="3:10">
      <c r="C132" s="178"/>
      <c r="D132" s="178"/>
      <c r="E132" s="178"/>
      <c r="F132" s="178"/>
      <c r="G132" s="178"/>
      <c r="H132" s="178"/>
      <c r="I132" s="178"/>
      <c r="J132" s="178"/>
    </row>
    <row r="133" spans="3:10">
      <c r="C133" s="178"/>
      <c r="D133" s="178"/>
      <c r="E133" s="178"/>
      <c r="F133" s="178"/>
      <c r="G133" s="178"/>
      <c r="H133" s="178"/>
      <c r="I133" s="178"/>
      <c r="J133" s="178"/>
    </row>
    <row r="134" spans="3:10">
      <c r="C134" s="178"/>
      <c r="D134" s="178"/>
      <c r="E134" s="178"/>
      <c r="F134" s="178"/>
      <c r="G134" s="178"/>
      <c r="H134" s="178"/>
      <c r="I134" s="178"/>
      <c r="J134" s="178"/>
    </row>
    <row r="135" spans="3:10">
      <c r="C135" s="178"/>
      <c r="D135" s="178"/>
      <c r="E135" s="178"/>
      <c r="F135" s="178"/>
      <c r="G135" s="178"/>
      <c r="H135" s="178"/>
      <c r="I135" s="178"/>
      <c r="J135" s="178"/>
    </row>
    <row r="136" spans="3:10">
      <c r="C136" s="178"/>
      <c r="D136" s="178"/>
      <c r="E136" s="178"/>
      <c r="F136" s="178"/>
      <c r="G136" s="178"/>
      <c r="H136" s="178"/>
      <c r="I136" s="178"/>
      <c r="J136" s="178"/>
    </row>
    <row r="137" spans="3:10">
      <c r="C137" s="178"/>
      <c r="D137" s="178"/>
      <c r="E137" s="178"/>
      <c r="F137" s="178"/>
      <c r="G137" s="178"/>
      <c r="H137" s="178"/>
      <c r="I137" s="178"/>
      <c r="J137" s="178"/>
    </row>
    <row r="138" spans="3:10">
      <c r="C138" s="178"/>
      <c r="D138" s="178"/>
      <c r="E138" s="178"/>
      <c r="F138" s="178"/>
      <c r="G138" s="178"/>
      <c r="H138" s="178"/>
      <c r="I138" s="178"/>
      <c r="J138" s="178"/>
    </row>
    <row r="139" spans="3:10">
      <c r="C139" s="178"/>
      <c r="D139" s="178"/>
      <c r="E139" s="178"/>
      <c r="F139" s="178"/>
      <c r="G139" s="178"/>
      <c r="H139" s="178"/>
      <c r="I139" s="178"/>
      <c r="J139" s="178"/>
    </row>
    <row r="140" spans="3:10">
      <c r="C140" s="178"/>
      <c r="D140" s="178"/>
      <c r="E140" s="178"/>
      <c r="F140" s="178"/>
      <c r="G140" s="178"/>
      <c r="H140" s="178"/>
      <c r="I140" s="178"/>
      <c r="J140" s="178"/>
    </row>
    <row r="141" spans="3:10">
      <c r="C141" s="178"/>
      <c r="D141" s="178"/>
      <c r="E141" s="178"/>
      <c r="F141" s="178"/>
      <c r="G141" s="178"/>
      <c r="H141" s="178"/>
      <c r="I141" s="178"/>
      <c r="J141" s="178"/>
    </row>
    <row r="142" spans="3:10">
      <c r="C142" s="178"/>
      <c r="D142" s="178"/>
      <c r="E142" s="178"/>
      <c r="F142" s="178"/>
      <c r="G142" s="178"/>
      <c r="H142" s="178"/>
      <c r="I142" s="178"/>
      <c r="J142" s="178"/>
    </row>
    <row r="143" spans="3:10">
      <c r="C143" s="178"/>
      <c r="D143" s="178"/>
      <c r="E143" s="178"/>
      <c r="F143" s="178"/>
      <c r="G143" s="178"/>
      <c r="H143" s="178"/>
      <c r="I143" s="178"/>
      <c r="J143" s="178"/>
    </row>
    <row r="144" spans="3:10">
      <c r="C144" s="178"/>
      <c r="D144" s="178"/>
      <c r="E144" s="178"/>
      <c r="F144" s="178"/>
      <c r="G144" s="178"/>
      <c r="H144" s="178"/>
      <c r="I144" s="178"/>
      <c r="J144" s="178"/>
    </row>
    <row r="145" spans="3:10">
      <c r="C145" s="178"/>
      <c r="D145" s="178"/>
      <c r="E145" s="178"/>
      <c r="F145" s="178"/>
      <c r="G145" s="178"/>
      <c r="H145" s="178"/>
      <c r="I145" s="178"/>
      <c r="J145" s="178"/>
    </row>
    <row r="146" spans="3:10">
      <c r="C146" s="178"/>
      <c r="D146" s="178"/>
      <c r="E146" s="178"/>
      <c r="F146" s="178"/>
      <c r="G146" s="178"/>
      <c r="H146" s="178"/>
      <c r="I146" s="178"/>
      <c r="J146" s="178"/>
    </row>
    <row r="147" spans="3:10">
      <c r="C147" s="178"/>
      <c r="D147" s="178"/>
      <c r="E147" s="178"/>
      <c r="F147" s="178"/>
      <c r="G147" s="178"/>
      <c r="H147" s="178"/>
      <c r="I147" s="178"/>
      <c r="J147" s="178"/>
    </row>
    <row r="148" spans="3:10">
      <c r="C148" s="178"/>
      <c r="D148" s="178"/>
      <c r="E148" s="178"/>
      <c r="F148" s="178"/>
      <c r="G148" s="178"/>
      <c r="H148" s="178"/>
      <c r="I148" s="178"/>
      <c r="J148" s="178"/>
    </row>
    <row r="149" spans="3:10">
      <c r="C149" s="178"/>
      <c r="D149" s="178"/>
      <c r="E149" s="178"/>
      <c r="F149" s="178"/>
      <c r="G149" s="178"/>
      <c r="H149" s="178"/>
      <c r="I149" s="178"/>
      <c r="J149" s="178"/>
    </row>
    <row r="150" spans="3:10">
      <c r="C150" s="178"/>
      <c r="D150" s="178"/>
      <c r="E150" s="178"/>
      <c r="F150" s="178"/>
      <c r="G150" s="178"/>
      <c r="H150" s="178"/>
      <c r="I150" s="178"/>
      <c r="J150" s="178"/>
    </row>
    <row r="151" spans="3:10">
      <c r="C151" s="178"/>
      <c r="D151" s="178"/>
      <c r="E151" s="178"/>
      <c r="F151" s="178"/>
      <c r="G151" s="178"/>
      <c r="H151" s="178"/>
      <c r="I151" s="178"/>
      <c r="J151" s="178"/>
    </row>
    <row r="152" spans="3:10">
      <c r="C152" s="178"/>
      <c r="D152" s="178"/>
      <c r="E152" s="178"/>
      <c r="F152" s="178"/>
      <c r="G152" s="178"/>
      <c r="H152" s="178"/>
      <c r="I152" s="178"/>
      <c r="J152" s="178"/>
    </row>
    <row r="153" spans="3:10">
      <c r="C153" s="178"/>
      <c r="D153" s="178"/>
      <c r="E153" s="178"/>
      <c r="F153" s="178"/>
      <c r="G153" s="178"/>
      <c r="H153" s="178"/>
      <c r="I153" s="178"/>
      <c r="J153" s="178"/>
    </row>
    <row r="154" spans="3:10">
      <c r="C154" s="178"/>
      <c r="D154" s="178"/>
      <c r="E154" s="178"/>
      <c r="F154" s="178"/>
      <c r="G154" s="178"/>
      <c r="H154" s="178"/>
      <c r="I154" s="178"/>
      <c r="J154" s="178"/>
    </row>
    <row r="155" spans="3:10">
      <c r="C155" s="178"/>
      <c r="D155" s="178"/>
      <c r="E155" s="178"/>
      <c r="F155" s="178"/>
      <c r="G155" s="178"/>
      <c r="H155" s="178"/>
      <c r="I155" s="178"/>
      <c r="J155" s="178"/>
    </row>
    <row r="156" spans="3:10">
      <c r="C156" s="178"/>
      <c r="D156" s="178"/>
      <c r="E156" s="178"/>
      <c r="F156" s="178"/>
      <c r="G156" s="178"/>
      <c r="H156" s="178"/>
      <c r="I156" s="178"/>
      <c r="J156" s="178"/>
    </row>
    <row r="157" spans="3:10">
      <c r="C157" s="178"/>
      <c r="D157" s="178"/>
      <c r="E157" s="178"/>
      <c r="F157" s="178"/>
      <c r="G157" s="178"/>
      <c r="H157" s="178"/>
      <c r="I157" s="178"/>
      <c r="J157" s="178"/>
    </row>
    <row r="158" spans="3:10">
      <c r="C158" s="178"/>
      <c r="D158" s="178"/>
      <c r="E158" s="178"/>
      <c r="F158" s="178"/>
      <c r="G158" s="178"/>
      <c r="H158" s="178"/>
      <c r="I158" s="178"/>
      <c r="J158" s="178"/>
    </row>
    <row r="159" spans="3:10">
      <c r="C159" s="178"/>
      <c r="D159" s="178"/>
      <c r="E159" s="178"/>
      <c r="F159" s="178"/>
      <c r="G159" s="178"/>
      <c r="H159" s="178"/>
      <c r="I159" s="178"/>
      <c r="J159" s="178"/>
    </row>
    <row r="160" spans="3:10">
      <c r="C160" s="178"/>
      <c r="D160" s="178"/>
      <c r="E160" s="178"/>
      <c r="F160" s="178"/>
      <c r="G160" s="178"/>
      <c r="H160" s="178"/>
      <c r="I160" s="178"/>
      <c r="J160" s="178"/>
    </row>
    <row r="161" spans="3:10">
      <c r="C161" s="178"/>
      <c r="D161" s="178"/>
      <c r="E161" s="178"/>
      <c r="F161" s="178"/>
      <c r="G161" s="178"/>
      <c r="H161" s="178"/>
      <c r="I161" s="178"/>
      <c r="J161" s="178"/>
    </row>
    <row r="162" spans="3:10">
      <c r="C162" s="178"/>
      <c r="D162" s="178"/>
      <c r="E162" s="178"/>
      <c r="F162" s="178"/>
      <c r="G162" s="178"/>
      <c r="H162" s="178"/>
      <c r="I162" s="178"/>
      <c r="J162" s="178"/>
    </row>
    <row r="163" spans="3:10">
      <c r="C163" s="178"/>
      <c r="D163" s="178"/>
      <c r="E163" s="178"/>
      <c r="F163" s="178"/>
      <c r="G163" s="178"/>
      <c r="H163" s="178"/>
      <c r="I163" s="178"/>
      <c r="J163" s="178"/>
    </row>
    <row r="164" spans="3:10">
      <c r="C164" s="178"/>
      <c r="D164" s="178"/>
      <c r="E164" s="178"/>
      <c r="F164" s="178"/>
      <c r="G164" s="178"/>
      <c r="H164" s="178"/>
      <c r="I164" s="178"/>
      <c r="J164" s="178"/>
    </row>
    <row r="165" spans="3:10">
      <c r="C165" s="178"/>
      <c r="D165" s="178"/>
      <c r="E165" s="178"/>
      <c r="F165" s="178"/>
      <c r="G165" s="178"/>
      <c r="H165" s="178"/>
      <c r="I165" s="178"/>
      <c r="J165" s="178"/>
    </row>
    <row r="166" spans="3:10">
      <c r="C166" s="178"/>
      <c r="D166" s="178"/>
      <c r="E166" s="178"/>
      <c r="F166" s="178"/>
      <c r="G166" s="178"/>
      <c r="H166" s="178"/>
      <c r="I166" s="178"/>
      <c r="J166" s="178"/>
    </row>
    <row r="167" spans="3:10">
      <c r="C167" s="178"/>
      <c r="D167" s="178"/>
      <c r="E167" s="178"/>
      <c r="F167" s="178"/>
      <c r="G167" s="178"/>
      <c r="H167" s="178"/>
      <c r="I167" s="178"/>
      <c r="J167" s="178"/>
    </row>
    <row r="168" spans="3:10">
      <c r="C168" s="178"/>
      <c r="D168" s="178"/>
      <c r="E168" s="178"/>
      <c r="F168" s="178"/>
      <c r="G168" s="178"/>
      <c r="H168" s="178"/>
      <c r="I168" s="178"/>
      <c r="J168" s="178"/>
    </row>
    <row r="169" spans="3:10">
      <c r="C169" s="178"/>
      <c r="D169" s="178"/>
      <c r="E169" s="178"/>
      <c r="F169" s="178"/>
      <c r="G169" s="178"/>
      <c r="H169" s="178"/>
      <c r="I169" s="178"/>
      <c r="J169" s="178"/>
    </row>
    <row r="170" spans="3:10">
      <c r="C170" s="178"/>
      <c r="D170" s="178"/>
      <c r="E170" s="178"/>
      <c r="F170" s="178"/>
      <c r="G170" s="178"/>
      <c r="H170" s="178"/>
      <c r="I170" s="178"/>
      <c r="J170" s="178"/>
    </row>
    <row r="171" spans="3:10">
      <c r="C171" s="178"/>
      <c r="D171" s="178"/>
      <c r="E171" s="178"/>
      <c r="F171" s="178"/>
      <c r="G171" s="178"/>
      <c r="H171" s="178"/>
      <c r="I171" s="178"/>
      <c r="J171" s="178"/>
    </row>
    <row r="172" spans="3:10">
      <c r="C172" s="178"/>
      <c r="D172" s="178"/>
      <c r="E172" s="178"/>
      <c r="F172" s="178"/>
      <c r="G172" s="178"/>
      <c r="H172" s="178"/>
      <c r="I172" s="178"/>
      <c r="J172" s="178"/>
    </row>
    <row r="173" spans="3:10">
      <c r="C173" s="178"/>
      <c r="D173" s="178"/>
      <c r="E173" s="178"/>
      <c r="F173" s="178"/>
      <c r="G173" s="178"/>
      <c r="H173" s="178"/>
      <c r="I173" s="178"/>
      <c r="J173" s="178"/>
    </row>
    <row r="174" spans="3:10">
      <c r="C174" s="178"/>
      <c r="D174" s="178"/>
      <c r="E174" s="178"/>
      <c r="F174" s="178"/>
      <c r="G174" s="178"/>
      <c r="H174" s="178"/>
      <c r="I174" s="178"/>
      <c r="J174" s="178"/>
    </row>
    <row r="175" spans="3:10">
      <c r="C175" s="178"/>
      <c r="D175" s="178"/>
      <c r="E175" s="178"/>
      <c r="F175" s="178"/>
      <c r="G175" s="178"/>
      <c r="H175" s="178"/>
      <c r="I175" s="178"/>
      <c r="J175" s="178"/>
    </row>
    <row r="176" spans="3:10">
      <c r="C176" s="178"/>
      <c r="D176" s="178"/>
      <c r="E176" s="178"/>
      <c r="F176" s="178"/>
      <c r="G176" s="178"/>
      <c r="H176" s="178"/>
      <c r="I176" s="178"/>
      <c r="J176" s="178"/>
    </row>
    <row r="177" spans="3:10">
      <c r="C177" s="178"/>
      <c r="D177" s="178"/>
      <c r="E177" s="178"/>
      <c r="F177" s="178"/>
      <c r="G177" s="178"/>
      <c r="H177" s="178"/>
      <c r="I177" s="178"/>
      <c r="J177" s="178"/>
    </row>
    <row r="178" spans="3:10">
      <c r="C178" s="178"/>
      <c r="D178" s="178"/>
      <c r="E178" s="178"/>
      <c r="F178" s="178"/>
      <c r="G178" s="178"/>
      <c r="H178" s="178"/>
      <c r="I178" s="178"/>
      <c r="J178" s="178"/>
    </row>
    <row r="179" spans="3:10">
      <c r="C179" s="178"/>
      <c r="D179" s="178"/>
      <c r="E179" s="178"/>
      <c r="F179" s="178"/>
      <c r="G179" s="178"/>
      <c r="H179" s="178"/>
      <c r="I179" s="178"/>
      <c r="J179" s="178"/>
    </row>
    <row r="180" spans="3:10">
      <c r="C180" s="178"/>
      <c r="D180" s="178"/>
      <c r="E180" s="178"/>
      <c r="F180" s="178"/>
      <c r="G180" s="178"/>
      <c r="H180" s="178"/>
      <c r="I180" s="178"/>
      <c r="J180" s="178"/>
    </row>
    <row r="181" spans="3:10">
      <c r="C181" s="178"/>
      <c r="D181" s="178"/>
      <c r="E181" s="178"/>
      <c r="F181" s="178"/>
      <c r="G181" s="178"/>
      <c r="H181" s="178"/>
      <c r="I181" s="178"/>
      <c r="J181" s="178"/>
    </row>
    <row r="182" spans="3:10">
      <c r="C182" s="178"/>
      <c r="D182" s="178"/>
      <c r="E182" s="178"/>
      <c r="F182" s="178"/>
      <c r="G182" s="178"/>
      <c r="H182" s="178"/>
      <c r="I182" s="178"/>
      <c r="J182" s="178"/>
    </row>
    <row r="183" spans="3:10">
      <c r="C183" s="178"/>
      <c r="D183" s="178"/>
      <c r="E183" s="178"/>
      <c r="F183" s="178"/>
      <c r="G183" s="178"/>
      <c r="H183" s="178"/>
      <c r="I183" s="178"/>
      <c r="J183" s="178"/>
    </row>
    <row r="184" spans="3:10">
      <c r="C184" s="178"/>
      <c r="D184" s="178"/>
      <c r="E184" s="178"/>
      <c r="F184" s="178"/>
      <c r="G184" s="178"/>
      <c r="H184" s="178"/>
      <c r="I184" s="178"/>
      <c r="J184" s="178"/>
    </row>
    <row r="185" spans="3:10">
      <c r="C185" s="178"/>
      <c r="D185" s="178"/>
      <c r="E185" s="178"/>
      <c r="F185" s="178"/>
      <c r="G185" s="178"/>
      <c r="H185" s="178"/>
      <c r="I185" s="178"/>
      <c r="J185" s="178"/>
    </row>
    <row r="186" spans="3:10">
      <c r="C186" s="178"/>
      <c r="D186" s="178"/>
      <c r="E186" s="178"/>
      <c r="F186" s="178"/>
      <c r="G186" s="178"/>
      <c r="H186" s="178"/>
      <c r="I186" s="178"/>
      <c r="J186" s="178"/>
    </row>
    <row r="187" spans="3:10">
      <c r="C187" s="178"/>
      <c r="D187" s="178"/>
      <c r="E187" s="178"/>
      <c r="F187" s="178"/>
      <c r="G187" s="178"/>
      <c r="H187" s="178"/>
      <c r="I187" s="178"/>
      <c r="J187" s="178"/>
    </row>
    <row r="188" spans="3:10">
      <c r="C188" s="178"/>
      <c r="D188" s="178"/>
      <c r="E188" s="178"/>
      <c r="F188" s="178"/>
      <c r="G188" s="178"/>
      <c r="H188" s="178"/>
      <c r="I188" s="178"/>
      <c r="J188" s="178"/>
    </row>
    <row r="189" spans="3:10">
      <c r="C189" s="178"/>
      <c r="D189" s="178"/>
      <c r="E189" s="178"/>
      <c r="F189" s="178"/>
      <c r="G189" s="178"/>
      <c r="H189" s="178"/>
      <c r="I189" s="178"/>
      <c r="J189" s="178"/>
    </row>
    <row r="190" spans="3:10">
      <c r="C190" s="178"/>
      <c r="D190" s="178"/>
      <c r="E190" s="178"/>
      <c r="F190" s="178"/>
      <c r="G190" s="178"/>
      <c r="H190" s="178"/>
      <c r="I190" s="178"/>
      <c r="J190" s="178"/>
    </row>
    <row r="191" spans="3:10">
      <c r="C191" s="178"/>
      <c r="D191" s="178"/>
      <c r="E191" s="178"/>
      <c r="F191" s="178"/>
      <c r="G191" s="178"/>
      <c r="H191" s="178"/>
      <c r="I191" s="178"/>
      <c r="J191" s="178"/>
    </row>
    <row r="192" spans="3:10">
      <c r="C192" s="178"/>
      <c r="D192" s="178"/>
      <c r="E192" s="178"/>
      <c r="F192" s="178"/>
      <c r="G192" s="178"/>
      <c r="H192" s="178"/>
      <c r="I192" s="178"/>
      <c r="J192" s="178"/>
    </row>
    <row r="193" spans="3:10">
      <c r="C193" s="178"/>
      <c r="D193" s="178"/>
      <c r="E193" s="178"/>
      <c r="F193" s="178"/>
      <c r="G193" s="178"/>
      <c r="H193" s="178"/>
      <c r="I193" s="178"/>
      <c r="J193" s="178"/>
    </row>
    <row r="194" spans="3:10">
      <c r="C194" s="178"/>
      <c r="D194" s="178"/>
      <c r="E194" s="178"/>
      <c r="F194" s="178"/>
      <c r="G194" s="178"/>
      <c r="H194" s="178"/>
      <c r="I194" s="178"/>
      <c r="J194" s="178"/>
    </row>
    <row r="195" spans="3:10">
      <c r="C195" s="178"/>
      <c r="D195" s="178"/>
      <c r="E195" s="178"/>
      <c r="F195" s="178"/>
      <c r="G195" s="178"/>
      <c r="H195" s="178"/>
      <c r="I195" s="178"/>
      <c r="J195" s="178"/>
    </row>
    <row r="196" spans="3:10">
      <c r="C196" s="178"/>
      <c r="D196" s="178"/>
      <c r="E196" s="178"/>
      <c r="F196" s="178"/>
      <c r="G196" s="178"/>
      <c r="H196" s="178"/>
      <c r="I196" s="178"/>
      <c r="J196" s="178"/>
    </row>
    <row r="197" spans="3:10">
      <c r="C197" s="178"/>
      <c r="D197" s="178"/>
      <c r="E197" s="178"/>
      <c r="F197" s="178"/>
      <c r="G197" s="178"/>
      <c r="H197" s="178"/>
      <c r="I197" s="178"/>
      <c r="J197" s="178"/>
    </row>
    <row r="198" spans="3:10">
      <c r="C198" s="178"/>
      <c r="D198" s="178"/>
      <c r="E198" s="178"/>
      <c r="F198" s="178"/>
      <c r="G198" s="178"/>
      <c r="H198" s="178"/>
      <c r="I198" s="178"/>
      <c r="J198" s="178"/>
    </row>
    <row r="199" spans="3:10">
      <c r="C199" s="178"/>
      <c r="D199" s="178"/>
      <c r="E199" s="178"/>
      <c r="F199" s="178"/>
      <c r="G199" s="178"/>
      <c r="H199" s="178"/>
      <c r="I199" s="178"/>
      <c r="J199" s="178"/>
    </row>
    <row r="200" spans="3:10">
      <c r="C200" s="178"/>
      <c r="D200" s="178"/>
      <c r="E200" s="178"/>
      <c r="F200" s="178"/>
      <c r="G200" s="178"/>
      <c r="H200" s="178"/>
      <c r="I200" s="178"/>
      <c r="J200" s="178"/>
    </row>
    <row r="201" spans="3:10">
      <c r="C201" s="178"/>
      <c r="D201" s="178"/>
      <c r="E201" s="178"/>
      <c r="F201" s="178"/>
      <c r="G201" s="178"/>
      <c r="H201" s="178"/>
      <c r="I201" s="178"/>
      <c r="J201" s="178"/>
    </row>
    <row r="202" spans="3:10">
      <c r="C202" s="178"/>
      <c r="D202" s="178"/>
      <c r="E202" s="178"/>
      <c r="F202" s="178"/>
      <c r="G202" s="178"/>
      <c r="H202" s="178"/>
      <c r="I202" s="178"/>
      <c r="J202" s="178"/>
    </row>
    <row r="203" spans="3:10">
      <c r="C203" s="178"/>
      <c r="D203" s="178"/>
      <c r="E203" s="178"/>
      <c r="F203" s="178"/>
      <c r="G203" s="178"/>
      <c r="H203" s="178"/>
      <c r="I203" s="178"/>
      <c r="J203" s="178"/>
    </row>
    <row r="204" spans="3:10">
      <c r="C204" s="178"/>
      <c r="D204" s="178"/>
      <c r="E204" s="178"/>
      <c r="F204" s="178"/>
      <c r="G204" s="178"/>
      <c r="H204" s="178"/>
      <c r="I204" s="178"/>
      <c r="J204" s="178"/>
    </row>
    <row r="205" spans="3:10">
      <c r="C205" s="178"/>
      <c r="D205" s="178"/>
      <c r="E205" s="178"/>
      <c r="F205" s="178"/>
      <c r="G205" s="178"/>
      <c r="H205" s="178"/>
      <c r="I205" s="178"/>
      <c r="J205" s="178"/>
    </row>
    <row r="206" spans="3:10">
      <c r="C206" s="178"/>
      <c r="D206" s="178"/>
      <c r="E206" s="178"/>
      <c r="F206" s="178"/>
      <c r="G206" s="178"/>
      <c r="H206" s="178"/>
      <c r="I206" s="178"/>
      <c r="J206" s="178"/>
    </row>
    <row r="207" spans="3:10">
      <c r="C207" s="178"/>
      <c r="D207" s="178"/>
      <c r="E207" s="178"/>
      <c r="F207" s="178"/>
      <c r="G207" s="178"/>
      <c r="H207" s="178"/>
      <c r="I207" s="178"/>
      <c r="J207" s="178"/>
    </row>
    <row r="208" spans="3:10">
      <c r="C208" s="178"/>
      <c r="D208" s="178"/>
      <c r="E208" s="178"/>
      <c r="F208" s="178"/>
      <c r="G208" s="178"/>
      <c r="H208" s="178"/>
      <c r="I208" s="178"/>
      <c r="J208" s="178"/>
    </row>
    <row r="209" spans="3:10">
      <c r="C209" s="178"/>
      <c r="D209" s="178"/>
      <c r="E209" s="178"/>
      <c r="F209" s="178"/>
      <c r="G209" s="178"/>
      <c r="H209" s="178"/>
      <c r="I209" s="178"/>
      <c r="J209" s="178"/>
    </row>
    <row r="210" spans="3:10">
      <c r="C210" s="178"/>
      <c r="D210" s="178"/>
      <c r="E210" s="178"/>
      <c r="F210" s="178"/>
      <c r="G210" s="178"/>
      <c r="H210" s="178"/>
      <c r="I210" s="178"/>
      <c r="J210" s="178"/>
    </row>
    <row r="211" spans="3:10">
      <c r="C211" s="178"/>
      <c r="D211" s="178"/>
      <c r="E211" s="178"/>
      <c r="F211" s="178"/>
      <c r="G211" s="178"/>
      <c r="H211" s="178"/>
      <c r="I211" s="178"/>
      <c r="J211" s="178"/>
    </row>
    <row r="212" spans="3:10">
      <c r="C212" s="178"/>
      <c r="D212" s="178"/>
      <c r="E212" s="178"/>
      <c r="F212" s="178"/>
      <c r="G212" s="178"/>
      <c r="H212" s="178"/>
      <c r="I212" s="178"/>
      <c r="J212" s="178"/>
    </row>
    <row r="213" spans="3:10">
      <c r="C213" s="178"/>
      <c r="D213" s="178"/>
      <c r="E213" s="178"/>
      <c r="F213" s="178"/>
      <c r="G213" s="178"/>
      <c r="H213" s="178"/>
      <c r="I213" s="178"/>
      <c r="J213" s="178"/>
    </row>
    <row r="214" spans="3:10">
      <c r="C214" s="178"/>
      <c r="D214" s="178"/>
      <c r="E214" s="178"/>
      <c r="F214" s="178"/>
      <c r="G214" s="178"/>
      <c r="H214" s="178"/>
      <c r="I214" s="178"/>
      <c r="J214" s="178"/>
    </row>
    <row r="215" spans="3:10">
      <c r="C215" s="178"/>
      <c r="D215" s="178"/>
      <c r="E215" s="178"/>
      <c r="F215" s="178"/>
      <c r="G215" s="178"/>
      <c r="H215" s="178"/>
      <c r="I215" s="178"/>
      <c r="J215" s="178"/>
    </row>
    <row r="216" spans="3:10">
      <c r="C216" s="178"/>
      <c r="D216" s="178"/>
      <c r="E216" s="178"/>
      <c r="F216" s="178"/>
      <c r="G216" s="178"/>
      <c r="H216" s="178"/>
      <c r="I216" s="178"/>
      <c r="J216" s="178"/>
    </row>
    <row r="217" spans="3:10">
      <c r="C217" s="178"/>
      <c r="D217" s="178"/>
      <c r="E217" s="178"/>
      <c r="F217" s="178"/>
      <c r="G217" s="178"/>
      <c r="H217" s="178"/>
      <c r="I217" s="178"/>
      <c r="J217" s="178"/>
    </row>
    <row r="218" spans="3:10">
      <c r="C218" s="178"/>
      <c r="D218" s="178"/>
      <c r="E218" s="178"/>
      <c r="F218" s="178"/>
      <c r="G218" s="178"/>
      <c r="H218" s="178"/>
      <c r="I218" s="178"/>
      <c r="J218" s="178"/>
    </row>
    <row r="219" spans="3:10">
      <c r="C219" s="178"/>
      <c r="D219" s="178"/>
      <c r="E219" s="178"/>
      <c r="F219" s="178"/>
      <c r="G219" s="178"/>
      <c r="H219" s="178"/>
      <c r="I219" s="178"/>
      <c r="J219" s="178"/>
    </row>
    <row r="220" spans="3:10">
      <c r="C220" s="178"/>
      <c r="D220" s="178"/>
      <c r="E220" s="178"/>
      <c r="F220" s="178"/>
      <c r="G220" s="178"/>
      <c r="H220" s="178"/>
      <c r="I220" s="178"/>
      <c r="J220" s="178"/>
    </row>
    <row r="221" spans="3:10">
      <c r="C221" s="178"/>
      <c r="D221" s="178"/>
      <c r="E221" s="178"/>
      <c r="F221" s="178"/>
      <c r="G221" s="178"/>
      <c r="H221" s="178"/>
      <c r="I221" s="178"/>
      <c r="J221" s="178"/>
    </row>
    <row r="222" spans="3:10">
      <c r="C222" s="178"/>
      <c r="D222" s="178"/>
      <c r="E222" s="178"/>
      <c r="F222" s="178"/>
      <c r="G222" s="178"/>
      <c r="H222" s="178"/>
      <c r="I222" s="178"/>
      <c r="J222" s="178"/>
    </row>
    <row r="223" spans="3:10">
      <c r="C223" s="178"/>
      <c r="D223" s="178"/>
      <c r="E223" s="178"/>
      <c r="F223" s="178"/>
      <c r="G223" s="178"/>
      <c r="H223" s="178"/>
      <c r="I223" s="178"/>
      <c r="J223" s="178"/>
    </row>
    <row r="224" spans="3:10">
      <c r="C224" s="178"/>
      <c r="D224" s="178"/>
      <c r="E224" s="178"/>
      <c r="F224" s="178"/>
      <c r="G224" s="178"/>
      <c r="H224" s="178"/>
      <c r="I224" s="178"/>
      <c r="J224" s="178"/>
    </row>
    <row r="225" spans="3:10">
      <c r="C225" s="178"/>
      <c r="D225" s="178"/>
      <c r="E225" s="178"/>
      <c r="F225" s="178"/>
      <c r="G225" s="178"/>
      <c r="H225" s="178"/>
      <c r="I225" s="178"/>
      <c r="J225" s="178"/>
    </row>
    <row r="226" spans="3:10">
      <c r="C226" s="178"/>
      <c r="D226" s="178"/>
      <c r="E226" s="178"/>
      <c r="F226" s="178"/>
      <c r="G226" s="178"/>
      <c r="H226" s="178"/>
      <c r="I226" s="178"/>
      <c r="J226" s="178"/>
    </row>
    <row r="227" spans="3:10">
      <c r="C227" s="178"/>
      <c r="D227" s="178"/>
      <c r="E227" s="178"/>
      <c r="F227" s="178"/>
      <c r="G227" s="178"/>
      <c r="H227" s="178"/>
      <c r="I227" s="178"/>
      <c r="J227" s="178"/>
    </row>
    <row r="228" spans="3:10">
      <c r="C228" s="178"/>
      <c r="D228" s="178"/>
      <c r="E228" s="178"/>
      <c r="F228" s="178"/>
      <c r="G228" s="178"/>
      <c r="H228" s="178"/>
      <c r="I228" s="178"/>
      <c r="J228" s="178"/>
    </row>
    <row r="229" spans="3:10">
      <c r="C229" s="178"/>
      <c r="D229" s="178"/>
      <c r="E229" s="178"/>
      <c r="F229" s="178"/>
      <c r="G229" s="178"/>
      <c r="H229" s="178"/>
      <c r="I229" s="178"/>
      <c r="J229" s="178"/>
    </row>
    <row r="230" spans="3:10">
      <c r="C230" s="178"/>
      <c r="D230" s="178"/>
      <c r="E230" s="178"/>
      <c r="F230" s="178"/>
      <c r="G230" s="178"/>
      <c r="H230" s="178"/>
      <c r="I230" s="178"/>
      <c r="J230" s="178"/>
    </row>
    <row r="231" spans="3:10">
      <c r="C231" s="178"/>
      <c r="D231" s="178"/>
      <c r="E231" s="178"/>
      <c r="F231" s="178"/>
      <c r="G231" s="178"/>
      <c r="H231" s="178"/>
      <c r="I231" s="178"/>
      <c r="J231" s="178"/>
    </row>
    <row r="232" spans="3:10">
      <c r="C232" s="178"/>
      <c r="D232" s="178"/>
      <c r="E232" s="178"/>
      <c r="F232" s="178"/>
      <c r="G232" s="178"/>
      <c r="H232" s="178"/>
      <c r="I232" s="178"/>
      <c r="J232" s="178"/>
    </row>
    <row r="233" spans="3:10">
      <c r="C233" s="178"/>
      <c r="D233" s="178"/>
      <c r="E233" s="178"/>
      <c r="F233" s="178"/>
      <c r="G233" s="178"/>
      <c r="H233" s="178"/>
      <c r="I233" s="178"/>
      <c r="J233" s="178"/>
    </row>
    <row r="234" spans="3:10">
      <c r="C234" s="178"/>
      <c r="D234" s="178"/>
      <c r="E234" s="178"/>
      <c r="F234" s="178"/>
      <c r="G234" s="178"/>
      <c r="H234" s="178"/>
      <c r="I234" s="178"/>
      <c r="J234" s="178"/>
    </row>
    <row r="235" spans="3:10">
      <c r="C235" s="178"/>
      <c r="D235" s="178"/>
      <c r="E235" s="178"/>
      <c r="F235" s="178"/>
      <c r="G235" s="178"/>
      <c r="H235" s="178"/>
      <c r="I235" s="178"/>
      <c r="J235" s="178"/>
    </row>
    <row r="236" spans="3:10">
      <c r="C236" s="178"/>
      <c r="D236" s="178"/>
      <c r="E236" s="178"/>
      <c r="F236" s="178"/>
      <c r="G236" s="178"/>
      <c r="H236" s="178"/>
      <c r="I236" s="178"/>
      <c r="J236" s="178"/>
    </row>
    <row r="237" spans="3:10">
      <c r="C237" s="178"/>
      <c r="D237" s="178"/>
      <c r="E237" s="178"/>
      <c r="F237" s="178"/>
      <c r="G237" s="178"/>
      <c r="H237" s="178"/>
      <c r="I237" s="178"/>
      <c r="J237" s="178"/>
    </row>
    <row r="238" spans="3:10">
      <c r="C238" s="178"/>
      <c r="D238" s="178"/>
      <c r="E238" s="178"/>
      <c r="F238" s="178"/>
      <c r="G238" s="178"/>
      <c r="H238" s="178"/>
      <c r="I238" s="178"/>
      <c r="J238" s="178"/>
    </row>
    <row r="239" spans="3:10">
      <c r="C239" s="178"/>
      <c r="D239" s="178"/>
      <c r="E239" s="178"/>
      <c r="F239" s="178"/>
      <c r="G239" s="178"/>
      <c r="H239" s="178"/>
      <c r="I239" s="178"/>
      <c r="J239" s="178"/>
    </row>
    <row r="240" spans="3:10">
      <c r="C240" s="178"/>
      <c r="D240" s="178"/>
      <c r="E240" s="178"/>
      <c r="F240" s="178"/>
      <c r="G240" s="178"/>
      <c r="H240" s="178"/>
      <c r="I240" s="178"/>
      <c r="J240" s="178"/>
    </row>
    <row r="241" spans="3:10">
      <c r="C241" s="178"/>
      <c r="D241" s="178"/>
      <c r="E241" s="178"/>
      <c r="F241" s="178"/>
      <c r="G241" s="178"/>
      <c r="H241" s="178"/>
      <c r="I241" s="178"/>
      <c r="J241" s="178"/>
    </row>
    <row r="242" spans="3:10">
      <c r="C242" s="178"/>
      <c r="D242" s="178"/>
      <c r="E242" s="178"/>
      <c r="F242" s="178"/>
      <c r="G242" s="178"/>
      <c r="H242" s="178"/>
      <c r="I242" s="178"/>
      <c r="J242" s="178"/>
    </row>
    <row r="243" spans="3:10">
      <c r="C243" s="178"/>
      <c r="D243" s="178"/>
      <c r="E243" s="178"/>
      <c r="F243" s="178"/>
      <c r="G243" s="178"/>
      <c r="H243" s="178"/>
      <c r="I243" s="178"/>
      <c r="J243" s="178"/>
    </row>
    <row r="244" spans="3:10">
      <c r="C244" s="178"/>
      <c r="D244" s="178"/>
      <c r="E244" s="178"/>
      <c r="F244" s="178"/>
      <c r="G244" s="178"/>
      <c r="H244" s="178"/>
      <c r="I244" s="178"/>
      <c r="J244" s="178"/>
    </row>
    <row r="245" spans="3:10">
      <c r="C245" s="178"/>
      <c r="D245" s="178"/>
      <c r="E245" s="178"/>
      <c r="F245" s="178"/>
      <c r="G245" s="178"/>
      <c r="H245" s="178"/>
      <c r="I245" s="178"/>
      <c r="J245" s="178"/>
    </row>
    <row r="246" spans="3:10">
      <c r="C246" s="178"/>
      <c r="D246" s="178"/>
      <c r="E246" s="178"/>
      <c r="F246" s="178"/>
      <c r="G246" s="178"/>
      <c r="H246" s="178"/>
      <c r="I246" s="178"/>
      <c r="J246" s="178"/>
    </row>
    <row r="247" spans="3:10">
      <c r="C247" s="178"/>
      <c r="D247" s="178"/>
      <c r="E247" s="178"/>
      <c r="F247" s="178"/>
      <c r="G247" s="178"/>
      <c r="H247" s="178"/>
      <c r="I247" s="178"/>
      <c r="J247" s="178"/>
    </row>
    <row r="248" spans="3:10">
      <c r="C248" s="178"/>
      <c r="D248" s="178"/>
      <c r="E248" s="178"/>
      <c r="F248" s="178"/>
      <c r="G248" s="178"/>
      <c r="H248" s="178"/>
      <c r="I248" s="178"/>
      <c r="J248" s="178"/>
    </row>
    <row r="249" spans="3:10">
      <c r="C249" s="178"/>
      <c r="D249" s="178"/>
      <c r="E249" s="178"/>
      <c r="F249" s="178"/>
      <c r="G249" s="178"/>
      <c r="H249" s="178"/>
      <c r="I249" s="178"/>
      <c r="J249" s="178"/>
    </row>
    <row r="250" spans="3:10">
      <c r="C250" s="178"/>
      <c r="D250" s="178"/>
      <c r="E250" s="178"/>
      <c r="F250" s="178"/>
      <c r="G250" s="178"/>
      <c r="H250" s="178"/>
      <c r="I250" s="178"/>
      <c r="J250" s="178"/>
    </row>
    <row r="251" spans="3:10">
      <c r="C251" s="178"/>
      <c r="D251" s="178"/>
      <c r="E251" s="178"/>
      <c r="F251" s="178"/>
      <c r="G251" s="178"/>
      <c r="H251" s="178"/>
      <c r="I251" s="178"/>
      <c r="J251" s="178"/>
    </row>
    <row r="252" spans="3:10">
      <c r="C252" s="178"/>
      <c r="D252" s="178"/>
      <c r="E252" s="178"/>
      <c r="F252" s="178"/>
      <c r="G252" s="178"/>
      <c r="H252" s="178"/>
      <c r="I252" s="178"/>
      <c r="J252" s="178"/>
    </row>
    <row r="253" spans="3:10">
      <c r="C253" s="178"/>
      <c r="D253" s="178"/>
      <c r="E253" s="178"/>
      <c r="F253" s="178"/>
      <c r="G253" s="178"/>
      <c r="H253" s="178"/>
      <c r="I253" s="178"/>
      <c r="J253" s="178"/>
    </row>
    <row r="254" spans="3:10">
      <c r="C254" s="178"/>
      <c r="D254" s="178"/>
      <c r="E254" s="178"/>
      <c r="F254" s="178"/>
      <c r="G254" s="178"/>
      <c r="H254" s="178"/>
      <c r="I254" s="178"/>
      <c r="J254" s="178"/>
    </row>
    <row r="255" spans="3:10">
      <c r="C255" s="178"/>
      <c r="D255" s="178"/>
      <c r="E255" s="178"/>
      <c r="F255" s="178"/>
      <c r="G255" s="178"/>
      <c r="H255" s="178"/>
      <c r="I255" s="178"/>
      <c r="J255" s="178"/>
    </row>
    <row r="256" spans="3:10">
      <c r="C256" s="178"/>
      <c r="D256" s="178"/>
      <c r="E256" s="178"/>
      <c r="F256" s="178"/>
      <c r="G256" s="178"/>
      <c r="H256" s="178"/>
      <c r="I256" s="178"/>
      <c r="J256" s="178"/>
    </row>
    <row r="257" spans="3:10">
      <c r="C257" s="178"/>
      <c r="D257" s="178"/>
      <c r="E257" s="178"/>
      <c r="F257" s="178"/>
      <c r="G257" s="178"/>
      <c r="H257" s="178"/>
      <c r="I257" s="178"/>
      <c r="J257" s="178"/>
    </row>
    <row r="258" spans="3:10">
      <c r="C258" s="178"/>
      <c r="D258" s="178"/>
      <c r="E258" s="178"/>
      <c r="F258" s="178"/>
      <c r="G258" s="178"/>
      <c r="H258" s="178"/>
      <c r="I258" s="178"/>
      <c r="J258" s="178"/>
    </row>
    <row r="259" spans="3:10">
      <c r="C259" s="178"/>
      <c r="D259" s="178"/>
      <c r="E259" s="178"/>
      <c r="F259" s="178"/>
      <c r="G259" s="178"/>
      <c r="H259" s="178"/>
      <c r="I259" s="178"/>
      <c r="J259" s="178"/>
    </row>
    <row r="260" spans="3:10">
      <c r="C260" s="178"/>
      <c r="D260" s="178"/>
      <c r="E260" s="178"/>
      <c r="F260" s="178"/>
      <c r="G260" s="178"/>
      <c r="H260" s="178"/>
      <c r="I260" s="178"/>
      <c r="J260" s="178"/>
    </row>
    <row r="261" spans="3:10">
      <c r="C261" s="178"/>
      <c r="D261" s="178"/>
      <c r="E261" s="178"/>
      <c r="F261" s="178"/>
      <c r="G261" s="178"/>
      <c r="H261" s="178"/>
      <c r="I261" s="178"/>
      <c r="J261" s="178"/>
    </row>
    <row r="262" spans="3:10">
      <c r="C262" s="178"/>
      <c r="D262" s="178"/>
      <c r="E262" s="178"/>
      <c r="F262" s="178"/>
      <c r="G262" s="178"/>
      <c r="H262" s="178"/>
      <c r="I262" s="178"/>
      <c r="J262" s="178"/>
    </row>
    <row r="263" spans="3:10">
      <c r="C263" s="178"/>
      <c r="D263" s="178"/>
      <c r="E263" s="178"/>
      <c r="F263" s="178"/>
      <c r="G263" s="178"/>
      <c r="H263" s="178"/>
      <c r="I263" s="178"/>
      <c r="J263" s="178"/>
    </row>
    <row r="264" spans="3:10">
      <c r="C264" s="178"/>
      <c r="D264" s="178"/>
      <c r="E264" s="178"/>
      <c r="F264" s="178"/>
      <c r="G264" s="178"/>
      <c r="H264" s="178"/>
      <c r="I264" s="178"/>
      <c r="J264" s="178"/>
    </row>
    <row r="265" spans="3:10">
      <c r="C265" s="178"/>
      <c r="D265" s="178"/>
      <c r="E265" s="178"/>
      <c r="F265" s="178"/>
      <c r="G265" s="178"/>
      <c r="H265" s="178"/>
      <c r="I265" s="178"/>
      <c r="J265" s="178"/>
    </row>
    <row r="266" spans="3:10">
      <c r="C266" s="178"/>
      <c r="D266" s="178"/>
      <c r="E266" s="178"/>
      <c r="F266" s="178"/>
      <c r="G266" s="178"/>
      <c r="H266" s="178"/>
      <c r="I266" s="178"/>
      <c r="J266" s="178"/>
    </row>
    <row r="267" spans="3:10">
      <c r="C267" s="178"/>
      <c r="D267" s="178"/>
      <c r="E267" s="178"/>
      <c r="F267" s="178"/>
      <c r="G267" s="178"/>
      <c r="H267" s="178"/>
      <c r="I267" s="178"/>
      <c r="J267" s="178"/>
    </row>
    <row r="268" spans="3:10">
      <c r="C268" s="178"/>
      <c r="D268" s="178"/>
      <c r="E268" s="178"/>
      <c r="F268" s="178"/>
      <c r="G268" s="178"/>
      <c r="H268" s="178"/>
      <c r="I268" s="178"/>
      <c r="J268" s="178"/>
    </row>
    <row r="269" spans="3:10">
      <c r="C269" s="178"/>
      <c r="D269" s="178"/>
      <c r="E269" s="178"/>
      <c r="F269" s="178"/>
      <c r="G269" s="178"/>
      <c r="H269" s="178"/>
      <c r="I269" s="178"/>
      <c r="J269" s="178"/>
    </row>
    <row r="270" spans="3:10">
      <c r="C270" s="178"/>
      <c r="D270" s="178"/>
      <c r="E270" s="178"/>
      <c r="F270" s="178"/>
      <c r="G270" s="178"/>
      <c r="H270" s="178"/>
      <c r="I270" s="178"/>
      <c r="J270" s="178"/>
    </row>
    <row r="271" spans="3:10">
      <c r="C271" s="178"/>
      <c r="D271" s="178"/>
      <c r="E271" s="178"/>
      <c r="F271" s="178"/>
      <c r="G271" s="178"/>
      <c r="H271" s="178"/>
      <c r="I271" s="178"/>
      <c r="J271" s="178"/>
    </row>
    <row r="272" spans="3:10">
      <c r="C272" s="178"/>
      <c r="D272" s="178"/>
      <c r="E272" s="178"/>
      <c r="F272" s="178"/>
      <c r="G272" s="178"/>
      <c r="H272" s="178"/>
      <c r="I272" s="178"/>
      <c r="J272" s="178"/>
    </row>
    <row r="273" spans="3:10">
      <c r="C273" s="178"/>
      <c r="D273" s="178"/>
      <c r="E273" s="178"/>
      <c r="F273" s="178"/>
      <c r="G273" s="178"/>
      <c r="H273" s="178"/>
      <c r="I273" s="178"/>
      <c r="J273" s="178"/>
    </row>
    <row r="274" spans="3:10">
      <c r="C274" s="178"/>
      <c r="D274" s="178"/>
      <c r="E274" s="178"/>
      <c r="F274" s="178"/>
      <c r="G274" s="178"/>
      <c r="H274" s="178"/>
      <c r="I274" s="178"/>
      <c r="J274" s="178"/>
    </row>
    <row r="275" spans="3:10">
      <c r="C275" s="178"/>
      <c r="D275" s="178"/>
      <c r="E275" s="178"/>
      <c r="F275" s="178"/>
      <c r="G275" s="178"/>
      <c r="H275" s="178"/>
      <c r="I275" s="178"/>
      <c r="J275" s="178"/>
    </row>
    <row r="276" spans="3:10">
      <c r="C276" s="178"/>
      <c r="D276" s="178"/>
      <c r="E276" s="178"/>
      <c r="F276" s="178"/>
      <c r="G276" s="178"/>
      <c r="H276" s="178"/>
      <c r="I276" s="178"/>
      <c r="J276" s="178"/>
    </row>
    <row r="277" spans="3:10">
      <c r="C277" s="178"/>
      <c r="D277" s="178"/>
      <c r="E277" s="178"/>
      <c r="F277" s="178"/>
      <c r="G277" s="178"/>
      <c r="H277" s="178"/>
      <c r="I277" s="178"/>
      <c r="J277" s="178"/>
    </row>
    <row r="278" spans="3:10">
      <c r="C278" s="178"/>
      <c r="D278" s="178"/>
      <c r="E278" s="178"/>
      <c r="F278" s="178"/>
      <c r="G278" s="178"/>
      <c r="H278" s="178"/>
      <c r="I278" s="178"/>
      <c r="J278" s="178"/>
    </row>
    <row r="279" spans="3:10">
      <c r="C279" s="178"/>
      <c r="D279" s="178"/>
      <c r="E279" s="178"/>
      <c r="F279" s="178"/>
      <c r="G279" s="178"/>
      <c r="H279" s="178"/>
      <c r="I279" s="178"/>
      <c r="J279" s="178"/>
    </row>
    <row r="280" spans="3:10">
      <c r="C280" s="178"/>
      <c r="D280" s="178"/>
      <c r="E280" s="178"/>
      <c r="F280" s="178"/>
      <c r="G280" s="178"/>
      <c r="H280" s="178"/>
      <c r="I280" s="178"/>
      <c r="J280" s="178"/>
    </row>
    <row r="281" spans="3:10">
      <c r="C281" s="178"/>
      <c r="D281" s="178"/>
      <c r="E281" s="178"/>
      <c r="F281" s="178"/>
      <c r="G281" s="178"/>
      <c r="H281" s="178"/>
      <c r="I281" s="178"/>
      <c r="J281" s="178"/>
    </row>
    <row r="282" spans="3:10">
      <c r="C282" s="178"/>
      <c r="D282" s="178"/>
      <c r="E282" s="178"/>
      <c r="F282" s="178"/>
      <c r="G282" s="178"/>
      <c r="H282" s="178"/>
      <c r="I282" s="178"/>
      <c r="J282" s="178"/>
    </row>
    <row r="283" spans="3:10">
      <c r="C283" s="178"/>
      <c r="D283" s="178"/>
      <c r="E283" s="178"/>
      <c r="F283" s="178"/>
      <c r="G283" s="178"/>
      <c r="H283" s="178"/>
      <c r="I283" s="178"/>
      <c r="J283" s="178"/>
    </row>
    <row r="284" spans="3:10">
      <c r="C284" s="178"/>
      <c r="D284" s="178"/>
      <c r="E284" s="178"/>
      <c r="F284" s="178"/>
      <c r="G284" s="178"/>
      <c r="H284" s="178"/>
      <c r="I284" s="178"/>
      <c r="J284" s="178"/>
    </row>
  </sheetData>
  <mergeCells count="8">
    <mergeCell ref="M86:X86"/>
    <mergeCell ref="M85:X85"/>
    <mergeCell ref="M79:X79"/>
    <mergeCell ref="M80:X80"/>
    <mergeCell ref="M81:X81"/>
    <mergeCell ref="M82:X82"/>
    <mergeCell ref="M83:X83"/>
    <mergeCell ref="M84:X84"/>
  </mergeCells>
  <printOptions horizontalCentered="1"/>
  <pageMargins left="0.75" right="0.75" top="0.75" bottom="0.5" header="0.5" footer="0.5"/>
  <pageSetup scale="32" orientation="landscape" horizontalDpi="300" verticalDpi="300" r:id="rId1"/>
  <headerFooter alignWithMargins="0"/>
  <rowBreaks count="1" manualBreakCount="1">
    <brk id="48" min="10"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FF3300"/>
    <pageSetUpPr fitToPage="1"/>
  </sheetPr>
  <dimension ref="A1:BG298"/>
  <sheetViews>
    <sheetView zoomScale="75" zoomScaleNormal="75" workbookViewId="0"/>
  </sheetViews>
  <sheetFormatPr defaultRowHeight="15"/>
  <cols>
    <col min="1" max="1" width="6" style="122" customWidth="1"/>
    <col min="2" max="2" width="1.453125" style="122" customWidth="1"/>
    <col min="3" max="3" width="53.1796875" style="122" customWidth="1"/>
    <col min="4" max="4" width="1.08984375" style="122" customWidth="1"/>
    <col min="5" max="5" width="37.08984375" style="122" customWidth="1"/>
    <col min="6" max="6" width="1" style="122" customWidth="1"/>
    <col min="7" max="7" width="14.08984375" style="122" customWidth="1"/>
    <col min="8" max="8" width="1" style="122" customWidth="1"/>
    <col min="9" max="9" width="12.81640625" style="122" customWidth="1"/>
    <col min="10" max="10" width="2.08984375" style="122" customWidth="1"/>
    <col min="11" max="11" width="4.90625" style="122" customWidth="1"/>
    <col min="12" max="12" width="2.90625" style="122" customWidth="1"/>
    <col min="13" max="13" width="26.90625" style="122" customWidth="1"/>
    <col min="14" max="14" width="9.1796875" style="122" customWidth="1"/>
    <col min="15" max="15" width="10.81640625" style="122" customWidth="1"/>
    <col min="16" max="16" width="12.81640625" style="122" customWidth="1"/>
    <col min="17" max="17" width="13.36328125" style="122" customWidth="1"/>
    <col min="18" max="18" width="11.1796875" style="122" customWidth="1"/>
    <col min="19" max="19" width="14" style="122" customWidth="1"/>
    <col min="20" max="20" width="12.6328125" style="122" customWidth="1"/>
    <col min="21" max="21" width="11.81640625" style="122" customWidth="1"/>
    <col min="22" max="22" width="15.6328125" style="122" customWidth="1"/>
    <col min="23" max="23" width="12.36328125" style="122" customWidth="1"/>
    <col min="24" max="24" width="16.36328125" style="122" customWidth="1"/>
    <col min="25" max="250" width="8.81640625" style="122"/>
    <col min="251" max="251" width="6" style="122" customWidth="1"/>
    <col min="252" max="252" width="1.453125" style="122" customWidth="1"/>
    <col min="253" max="253" width="39.08984375" style="122" customWidth="1"/>
    <col min="254" max="254" width="12" style="122" customWidth="1"/>
    <col min="255" max="255" width="14.453125" style="122" customWidth="1"/>
    <col min="256" max="256" width="11.90625" style="122" customWidth="1"/>
    <col min="257" max="257" width="14.08984375" style="122" customWidth="1"/>
    <col min="258" max="258" width="13.90625" style="122" customWidth="1"/>
    <col min="259" max="260" width="12.81640625" style="122" customWidth="1"/>
    <col min="261" max="261" width="13.54296875" style="122" customWidth="1"/>
    <col min="262" max="262" width="15.36328125" style="122" customWidth="1"/>
    <col min="263" max="263" width="12.81640625" style="122" customWidth="1"/>
    <col min="264" max="264" width="13.90625" style="122" customWidth="1"/>
    <col min="265" max="265" width="1.90625" style="122" customWidth="1"/>
    <col min="266" max="266" width="13" style="122" customWidth="1"/>
    <col min="267" max="506" width="8.81640625" style="122"/>
    <col min="507" max="507" width="6" style="122" customWidth="1"/>
    <col min="508" max="508" width="1.453125" style="122" customWidth="1"/>
    <col min="509" max="509" width="39.08984375" style="122" customWidth="1"/>
    <col min="510" max="510" width="12" style="122" customWidth="1"/>
    <col min="511" max="511" width="14.453125" style="122" customWidth="1"/>
    <col min="512" max="512" width="11.90625" style="122" customWidth="1"/>
    <col min="513" max="513" width="14.08984375" style="122" customWidth="1"/>
    <col min="514" max="514" width="13.90625" style="122" customWidth="1"/>
    <col min="515" max="516" width="12.81640625" style="122" customWidth="1"/>
    <col min="517" max="517" width="13.54296875" style="122" customWidth="1"/>
    <col min="518" max="518" width="15.36328125" style="122" customWidth="1"/>
    <col min="519" max="519" width="12.81640625" style="122" customWidth="1"/>
    <col min="520" max="520" width="13.90625" style="122" customWidth="1"/>
    <col min="521" max="521" width="1.90625" style="122" customWidth="1"/>
    <col min="522" max="522" width="13" style="122" customWidth="1"/>
    <col min="523" max="762" width="8.81640625" style="122"/>
    <col min="763" max="763" width="6" style="122" customWidth="1"/>
    <col min="764" max="764" width="1.453125" style="122" customWidth="1"/>
    <col min="765" max="765" width="39.08984375" style="122" customWidth="1"/>
    <col min="766" max="766" width="12" style="122" customWidth="1"/>
    <col min="767" max="767" width="14.453125" style="122" customWidth="1"/>
    <col min="768" max="768" width="11.90625" style="122" customWidth="1"/>
    <col min="769" max="769" width="14.08984375" style="122" customWidth="1"/>
    <col min="770" max="770" width="13.90625" style="122" customWidth="1"/>
    <col min="771" max="772" width="12.81640625" style="122" customWidth="1"/>
    <col min="773" max="773" width="13.54296875" style="122" customWidth="1"/>
    <col min="774" max="774" width="15.36328125" style="122" customWidth="1"/>
    <col min="775" max="775" width="12.81640625" style="122" customWidth="1"/>
    <col min="776" max="776" width="13.90625" style="122" customWidth="1"/>
    <col min="777" max="777" width="1.90625" style="122" customWidth="1"/>
    <col min="778" max="778" width="13" style="122" customWidth="1"/>
    <col min="779" max="1018" width="8.81640625" style="122"/>
    <col min="1019" max="1019" width="6" style="122" customWidth="1"/>
    <col min="1020" max="1020" width="1.453125" style="122" customWidth="1"/>
    <col min="1021" max="1021" width="39.08984375" style="122" customWidth="1"/>
    <col min="1022" max="1022" width="12" style="122" customWidth="1"/>
    <col min="1023" max="1023" width="14.453125" style="122" customWidth="1"/>
    <col min="1024" max="1024" width="11.90625" style="122" customWidth="1"/>
    <col min="1025" max="1025" width="14.08984375" style="122" customWidth="1"/>
    <col min="1026" max="1026" width="13.90625" style="122" customWidth="1"/>
    <col min="1027" max="1028" width="12.81640625" style="122" customWidth="1"/>
    <col min="1029" max="1029" width="13.54296875" style="122" customWidth="1"/>
    <col min="1030" max="1030" width="15.36328125" style="122" customWidth="1"/>
    <col min="1031" max="1031" width="12.81640625" style="122" customWidth="1"/>
    <col min="1032" max="1032" width="13.90625" style="122" customWidth="1"/>
    <col min="1033" max="1033" width="1.90625" style="122" customWidth="1"/>
    <col min="1034" max="1034" width="13" style="122" customWidth="1"/>
    <col min="1035" max="1274" width="8.81640625" style="122"/>
    <col min="1275" max="1275" width="6" style="122" customWidth="1"/>
    <col min="1276" max="1276" width="1.453125" style="122" customWidth="1"/>
    <col min="1277" max="1277" width="39.08984375" style="122" customWidth="1"/>
    <col min="1278" max="1278" width="12" style="122" customWidth="1"/>
    <col min="1279" max="1279" width="14.453125" style="122" customWidth="1"/>
    <col min="1280" max="1280" width="11.90625" style="122" customWidth="1"/>
    <col min="1281" max="1281" width="14.08984375" style="122" customWidth="1"/>
    <col min="1282" max="1282" width="13.90625" style="122" customWidth="1"/>
    <col min="1283" max="1284" width="12.81640625" style="122" customWidth="1"/>
    <col min="1285" max="1285" width="13.54296875" style="122" customWidth="1"/>
    <col min="1286" max="1286" width="15.36328125" style="122" customWidth="1"/>
    <col min="1287" max="1287" width="12.81640625" style="122" customWidth="1"/>
    <col min="1288" max="1288" width="13.90625" style="122" customWidth="1"/>
    <col min="1289" max="1289" width="1.90625" style="122" customWidth="1"/>
    <col min="1290" max="1290" width="13" style="122" customWidth="1"/>
    <col min="1291" max="1530" width="8.81640625" style="122"/>
    <col min="1531" max="1531" width="6" style="122" customWidth="1"/>
    <col min="1532" max="1532" width="1.453125" style="122" customWidth="1"/>
    <col min="1533" max="1533" width="39.08984375" style="122" customWidth="1"/>
    <col min="1534" max="1534" width="12" style="122" customWidth="1"/>
    <col min="1535" max="1535" width="14.453125" style="122" customWidth="1"/>
    <col min="1536" max="1536" width="11.90625" style="122" customWidth="1"/>
    <col min="1537" max="1537" width="14.08984375" style="122" customWidth="1"/>
    <col min="1538" max="1538" width="13.90625" style="122" customWidth="1"/>
    <col min="1539" max="1540" width="12.81640625" style="122" customWidth="1"/>
    <col min="1541" max="1541" width="13.54296875" style="122" customWidth="1"/>
    <col min="1542" max="1542" width="15.36328125" style="122" customWidth="1"/>
    <col min="1543" max="1543" width="12.81640625" style="122" customWidth="1"/>
    <col min="1544" max="1544" width="13.90625" style="122" customWidth="1"/>
    <col min="1545" max="1545" width="1.90625" style="122" customWidth="1"/>
    <col min="1546" max="1546" width="13" style="122" customWidth="1"/>
    <col min="1547" max="1786" width="8.81640625" style="122"/>
    <col min="1787" max="1787" width="6" style="122" customWidth="1"/>
    <col min="1788" max="1788" width="1.453125" style="122" customWidth="1"/>
    <col min="1789" max="1789" width="39.08984375" style="122" customWidth="1"/>
    <col min="1790" max="1790" width="12" style="122" customWidth="1"/>
    <col min="1791" max="1791" width="14.453125" style="122" customWidth="1"/>
    <col min="1792" max="1792" width="11.90625" style="122" customWidth="1"/>
    <col min="1793" max="1793" width="14.08984375" style="122" customWidth="1"/>
    <col min="1794" max="1794" width="13.90625" style="122" customWidth="1"/>
    <col min="1795" max="1796" width="12.81640625" style="122" customWidth="1"/>
    <col min="1797" max="1797" width="13.54296875" style="122" customWidth="1"/>
    <col min="1798" max="1798" width="15.36328125" style="122" customWidth="1"/>
    <col min="1799" max="1799" width="12.81640625" style="122" customWidth="1"/>
    <col min="1800" max="1800" width="13.90625" style="122" customWidth="1"/>
    <col min="1801" max="1801" width="1.90625" style="122" customWidth="1"/>
    <col min="1802" max="1802" width="13" style="122" customWidth="1"/>
    <col min="1803" max="2042" width="8.81640625" style="122"/>
    <col min="2043" max="2043" width="6" style="122" customWidth="1"/>
    <col min="2044" max="2044" width="1.453125" style="122" customWidth="1"/>
    <col min="2045" max="2045" width="39.08984375" style="122" customWidth="1"/>
    <col min="2046" max="2046" width="12" style="122" customWidth="1"/>
    <col min="2047" max="2047" width="14.453125" style="122" customWidth="1"/>
    <col min="2048" max="2048" width="11.90625" style="122" customWidth="1"/>
    <col min="2049" max="2049" width="14.08984375" style="122" customWidth="1"/>
    <col min="2050" max="2050" width="13.90625" style="122" customWidth="1"/>
    <col min="2051" max="2052" width="12.81640625" style="122" customWidth="1"/>
    <col min="2053" max="2053" width="13.54296875" style="122" customWidth="1"/>
    <col min="2054" max="2054" width="15.36328125" style="122" customWidth="1"/>
    <col min="2055" max="2055" width="12.81640625" style="122" customWidth="1"/>
    <col min="2056" max="2056" width="13.90625" style="122" customWidth="1"/>
    <col min="2057" max="2057" width="1.90625" style="122" customWidth="1"/>
    <col min="2058" max="2058" width="13" style="122" customWidth="1"/>
    <col min="2059" max="2298" width="8.81640625" style="122"/>
    <col min="2299" max="2299" width="6" style="122" customWidth="1"/>
    <col min="2300" max="2300" width="1.453125" style="122" customWidth="1"/>
    <col min="2301" max="2301" width="39.08984375" style="122" customWidth="1"/>
    <col min="2302" max="2302" width="12" style="122" customWidth="1"/>
    <col min="2303" max="2303" width="14.453125" style="122" customWidth="1"/>
    <col min="2304" max="2304" width="11.90625" style="122" customWidth="1"/>
    <col min="2305" max="2305" width="14.08984375" style="122" customWidth="1"/>
    <col min="2306" max="2306" width="13.90625" style="122" customWidth="1"/>
    <col min="2307" max="2308" width="12.81640625" style="122" customWidth="1"/>
    <col min="2309" max="2309" width="13.54296875" style="122" customWidth="1"/>
    <col min="2310" max="2310" width="15.36328125" style="122" customWidth="1"/>
    <col min="2311" max="2311" width="12.81640625" style="122" customWidth="1"/>
    <col min="2312" max="2312" width="13.90625" style="122" customWidth="1"/>
    <col min="2313" max="2313" width="1.90625" style="122" customWidth="1"/>
    <col min="2314" max="2314" width="13" style="122" customWidth="1"/>
    <col min="2315" max="2554" width="8.81640625" style="122"/>
    <col min="2555" max="2555" width="6" style="122" customWidth="1"/>
    <col min="2556" max="2556" width="1.453125" style="122" customWidth="1"/>
    <col min="2557" max="2557" width="39.08984375" style="122" customWidth="1"/>
    <col min="2558" max="2558" width="12" style="122" customWidth="1"/>
    <col min="2559" max="2559" width="14.453125" style="122" customWidth="1"/>
    <col min="2560" max="2560" width="11.90625" style="122" customWidth="1"/>
    <col min="2561" max="2561" width="14.08984375" style="122" customWidth="1"/>
    <col min="2562" max="2562" width="13.90625" style="122" customWidth="1"/>
    <col min="2563" max="2564" width="12.81640625" style="122" customWidth="1"/>
    <col min="2565" max="2565" width="13.54296875" style="122" customWidth="1"/>
    <col min="2566" max="2566" width="15.36328125" style="122" customWidth="1"/>
    <col min="2567" max="2567" width="12.81640625" style="122" customWidth="1"/>
    <col min="2568" max="2568" width="13.90625" style="122" customWidth="1"/>
    <col min="2569" max="2569" width="1.90625" style="122" customWidth="1"/>
    <col min="2570" max="2570" width="13" style="122" customWidth="1"/>
    <col min="2571" max="2810" width="8.81640625" style="122"/>
    <col min="2811" max="2811" width="6" style="122" customWidth="1"/>
    <col min="2812" max="2812" width="1.453125" style="122" customWidth="1"/>
    <col min="2813" max="2813" width="39.08984375" style="122" customWidth="1"/>
    <col min="2814" max="2814" width="12" style="122" customWidth="1"/>
    <col min="2815" max="2815" width="14.453125" style="122" customWidth="1"/>
    <col min="2816" max="2816" width="11.90625" style="122" customWidth="1"/>
    <col min="2817" max="2817" width="14.08984375" style="122" customWidth="1"/>
    <col min="2818" max="2818" width="13.90625" style="122" customWidth="1"/>
    <col min="2819" max="2820" width="12.81640625" style="122" customWidth="1"/>
    <col min="2821" max="2821" width="13.54296875" style="122" customWidth="1"/>
    <col min="2822" max="2822" width="15.36328125" style="122" customWidth="1"/>
    <col min="2823" max="2823" width="12.81640625" style="122" customWidth="1"/>
    <col min="2824" max="2824" width="13.90625" style="122" customWidth="1"/>
    <col min="2825" max="2825" width="1.90625" style="122" customWidth="1"/>
    <col min="2826" max="2826" width="13" style="122" customWidth="1"/>
    <col min="2827" max="3066" width="8.81640625" style="122"/>
    <col min="3067" max="3067" width="6" style="122" customWidth="1"/>
    <col min="3068" max="3068" width="1.453125" style="122" customWidth="1"/>
    <col min="3069" max="3069" width="39.08984375" style="122" customWidth="1"/>
    <col min="3070" max="3070" width="12" style="122" customWidth="1"/>
    <col min="3071" max="3071" width="14.453125" style="122" customWidth="1"/>
    <col min="3072" max="3072" width="11.90625" style="122" customWidth="1"/>
    <col min="3073" max="3073" width="14.08984375" style="122" customWidth="1"/>
    <col min="3074" max="3074" width="13.90625" style="122" customWidth="1"/>
    <col min="3075" max="3076" width="12.81640625" style="122" customWidth="1"/>
    <col min="3077" max="3077" width="13.54296875" style="122" customWidth="1"/>
    <col min="3078" max="3078" width="15.36328125" style="122" customWidth="1"/>
    <col min="3079" max="3079" width="12.81640625" style="122" customWidth="1"/>
    <col min="3080" max="3080" width="13.90625" style="122" customWidth="1"/>
    <col min="3081" max="3081" width="1.90625" style="122" customWidth="1"/>
    <col min="3082" max="3082" width="13" style="122" customWidth="1"/>
    <col min="3083" max="3322" width="8.81640625" style="122"/>
    <col min="3323" max="3323" width="6" style="122" customWidth="1"/>
    <col min="3324" max="3324" width="1.453125" style="122" customWidth="1"/>
    <col min="3325" max="3325" width="39.08984375" style="122" customWidth="1"/>
    <col min="3326" max="3326" width="12" style="122" customWidth="1"/>
    <col min="3327" max="3327" width="14.453125" style="122" customWidth="1"/>
    <col min="3328" max="3328" width="11.90625" style="122" customWidth="1"/>
    <col min="3329" max="3329" width="14.08984375" style="122" customWidth="1"/>
    <col min="3330" max="3330" width="13.90625" style="122" customWidth="1"/>
    <col min="3331" max="3332" width="12.81640625" style="122" customWidth="1"/>
    <col min="3333" max="3333" width="13.54296875" style="122" customWidth="1"/>
    <col min="3334" max="3334" width="15.36328125" style="122" customWidth="1"/>
    <col min="3335" max="3335" width="12.81640625" style="122" customWidth="1"/>
    <col min="3336" max="3336" width="13.90625" style="122" customWidth="1"/>
    <col min="3337" max="3337" width="1.90625" style="122" customWidth="1"/>
    <col min="3338" max="3338" width="13" style="122" customWidth="1"/>
    <col min="3339" max="3578" width="8.81640625" style="122"/>
    <col min="3579" max="3579" width="6" style="122" customWidth="1"/>
    <col min="3580" max="3580" width="1.453125" style="122" customWidth="1"/>
    <col min="3581" max="3581" width="39.08984375" style="122" customWidth="1"/>
    <col min="3582" max="3582" width="12" style="122" customWidth="1"/>
    <col min="3583" max="3583" width="14.453125" style="122" customWidth="1"/>
    <col min="3584" max="3584" width="11.90625" style="122" customWidth="1"/>
    <col min="3585" max="3585" width="14.08984375" style="122" customWidth="1"/>
    <col min="3586" max="3586" width="13.90625" style="122" customWidth="1"/>
    <col min="3587" max="3588" width="12.81640625" style="122" customWidth="1"/>
    <col min="3589" max="3589" width="13.54296875" style="122" customWidth="1"/>
    <col min="3590" max="3590" width="15.36328125" style="122" customWidth="1"/>
    <col min="3591" max="3591" width="12.81640625" style="122" customWidth="1"/>
    <col min="3592" max="3592" width="13.90625" style="122" customWidth="1"/>
    <col min="3593" max="3593" width="1.90625" style="122" customWidth="1"/>
    <col min="3594" max="3594" width="13" style="122" customWidth="1"/>
    <col min="3595" max="3834" width="8.81640625" style="122"/>
    <col min="3835" max="3835" width="6" style="122" customWidth="1"/>
    <col min="3836" max="3836" width="1.453125" style="122" customWidth="1"/>
    <col min="3837" max="3837" width="39.08984375" style="122" customWidth="1"/>
    <col min="3838" max="3838" width="12" style="122" customWidth="1"/>
    <col min="3839" max="3839" width="14.453125" style="122" customWidth="1"/>
    <col min="3840" max="3840" width="11.90625" style="122" customWidth="1"/>
    <col min="3841" max="3841" width="14.08984375" style="122" customWidth="1"/>
    <col min="3842" max="3842" width="13.90625" style="122" customWidth="1"/>
    <col min="3843" max="3844" width="12.81640625" style="122" customWidth="1"/>
    <col min="3845" max="3845" width="13.54296875" style="122" customWidth="1"/>
    <col min="3846" max="3846" width="15.36328125" style="122" customWidth="1"/>
    <col min="3847" max="3847" width="12.81640625" style="122" customWidth="1"/>
    <col min="3848" max="3848" width="13.90625" style="122" customWidth="1"/>
    <col min="3849" max="3849" width="1.90625" style="122" customWidth="1"/>
    <col min="3850" max="3850" width="13" style="122" customWidth="1"/>
    <col min="3851" max="4090" width="8.81640625" style="122"/>
    <col min="4091" max="4091" width="6" style="122" customWidth="1"/>
    <col min="4092" max="4092" width="1.453125" style="122" customWidth="1"/>
    <col min="4093" max="4093" width="39.08984375" style="122" customWidth="1"/>
    <col min="4094" max="4094" width="12" style="122" customWidth="1"/>
    <col min="4095" max="4095" width="14.453125" style="122" customWidth="1"/>
    <col min="4096" max="4096" width="11.90625" style="122" customWidth="1"/>
    <col min="4097" max="4097" width="14.08984375" style="122" customWidth="1"/>
    <col min="4098" max="4098" width="13.90625" style="122" customWidth="1"/>
    <col min="4099" max="4100" width="12.81640625" style="122" customWidth="1"/>
    <col min="4101" max="4101" width="13.54296875" style="122" customWidth="1"/>
    <col min="4102" max="4102" width="15.36328125" style="122" customWidth="1"/>
    <col min="4103" max="4103" width="12.81640625" style="122" customWidth="1"/>
    <col min="4104" max="4104" width="13.90625" style="122" customWidth="1"/>
    <col min="4105" max="4105" width="1.90625" style="122" customWidth="1"/>
    <col min="4106" max="4106" width="13" style="122" customWidth="1"/>
    <col min="4107" max="4346" width="8.81640625" style="122"/>
    <col min="4347" max="4347" width="6" style="122" customWidth="1"/>
    <col min="4348" max="4348" width="1.453125" style="122" customWidth="1"/>
    <col min="4349" max="4349" width="39.08984375" style="122" customWidth="1"/>
    <col min="4350" max="4350" width="12" style="122" customWidth="1"/>
    <col min="4351" max="4351" width="14.453125" style="122" customWidth="1"/>
    <col min="4352" max="4352" width="11.90625" style="122" customWidth="1"/>
    <col min="4353" max="4353" width="14.08984375" style="122" customWidth="1"/>
    <col min="4354" max="4354" width="13.90625" style="122" customWidth="1"/>
    <col min="4355" max="4356" width="12.81640625" style="122" customWidth="1"/>
    <col min="4357" max="4357" width="13.54296875" style="122" customWidth="1"/>
    <col min="4358" max="4358" width="15.36328125" style="122" customWidth="1"/>
    <col min="4359" max="4359" width="12.81640625" style="122" customWidth="1"/>
    <col min="4360" max="4360" width="13.90625" style="122" customWidth="1"/>
    <col min="4361" max="4361" width="1.90625" style="122" customWidth="1"/>
    <col min="4362" max="4362" width="13" style="122" customWidth="1"/>
    <col min="4363" max="4602" width="8.81640625" style="122"/>
    <col min="4603" max="4603" width="6" style="122" customWidth="1"/>
    <col min="4604" max="4604" width="1.453125" style="122" customWidth="1"/>
    <col min="4605" max="4605" width="39.08984375" style="122" customWidth="1"/>
    <col min="4606" max="4606" width="12" style="122" customWidth="1"/>
    <col min="4607" max="4607" width="14.453125" style="122" customWidth="1"/>
    <col min="4608" max="4608" width="11.90625" style="122" customWidth="1"/>
    <col min="4609" max="4609" width="14.08984375" style="122" customWidth="1"/>
    <col min="4610" max="4610" width="13.90625" style="122" customWidth="1"/>
    <col min="4611" max="4612" width="12.81640625" style="122" customWidth="1"/>
    <col min="4613" max="4613" width="13.54296875" style="122" customWidth="1"/>
    <col min="4614" max="4614" width="15.36328125" style="122" customWidth="1"/>
    <col min="4615" max="4615" width="12.81640625" style="122" customWidth="1"/>
    <col min="4616" max="4616" width="13.90625" style="122" customWidth="1"/>
    <col min="4617" max="4617" width="1.90625" style="122" customWidth="1"/>
    <col min="4618" max="4618" width="13" style="122" customWidth="1"/>
    <col min="4619" max="4858" width="8.81640625" style="122"/>
    <col min="4859" max="4859" width="6" style="122" customWidth="1"/>
    <col min="4860" max="4860" width="1.453125" style="122" customWidth="1"/>
    <col min="4861" max="4861" width="39.08984375" style="122" customWidth="1"/>
    <col min="4862" max="4862" width="12" style="122" customWidth="1"/>
    <col min="4863" max="4863" width="14.453125" style="122" customWidth="1"/>
    <col min="4864" max="4864" width="11.90625" style="122" customWidth="1"/>
    <col min="4865" max="4865" width="14.08984375" style="122" customWidth="1"/>
    <col min="4866" max="4866" width="13.90625" style="122" customWidth="1"/>
    <col min="4867" max="4868" width="12.81640625" style="122" customWidth="1"/>
    <col min="4869" max="4869" width="13.54296875" style="122" customWidth="1"/>
    <col min="4870" max="4870" width="15.36328125" style="122" customWidth="1"/>
    <col min="4871" max="4871" width="12.81640625" style="122" customWidth="1"/>
    <col min="4872" max="4872" width="13.90625" style="122" customWidth="1"/>
    <col min="4873" max="4873" width="1.90625" style="122" customWidth="1"/>
    <col min="4874" max="4874" width="13" style="122" customWidth="1"/>
    <col min="4875" max="5114" width="8.81640625" style="122"/>
    <col min="5115" max="5115" width="6" style="122" customWidth="1"/>
    <col min="5116" max="5116" width="1.453125" style="122" customWidth="1"/>
    <col min="5117" max="5117" width="39.08984375" style="122" customWidth="1"/>
    <col min="5118" max="5118" width="12" style="122" customWidth="1"/>
    <col min="5119" max="5119" width="14.453125" style="122" customWidth="1"/>
    <col min="5120" max="5120" width="11.90625" style="122" customWidth="1"/>
    <col min="5121" max="5121" width="14.08984375" style="122" customWidth="1"/>
    <col min="5122" max="5122" width="13.90625" style="122" customWidth="1"/>
    <col min="5123" max="5124" width="12.81640625" style="122" customWidth="1"/>
    <col min="5125" max="5125" width="13.54296875" style="122" customWidth="1"/>
    <col min="5126" max="5126" width="15.36328125" style="122" customWidth="1"/>
    <col min="5127" max="5127" width="12.81640625" style="122" customWidth="1"/>
    <col min="5128" max="5128" width="13.90625" style="122" customWidth="1"/>
    <col min="5129" max="5129" width="1.90625" style="122" customWidth="1"/>
    <col min="5130" max="5130" width="13" style="122" customWidth="1"/>
    <col min="5131" max="5370" width="8.81640625" style="122"/>
    <col min="5371" max="5371" width="6" style="122" customWidth="1"/>
    <col min="5372" max="5372" width="1.453125" style="122" customWidth="1"/>
    <col min="5373" max="5373" width="39.08984375" style="122" customWidth="1"/>
    <col min="5374" max="5374" width="12" style="122" customWidth="1"/>
    <col min="5375" max="5375" width="14.453125" style="122" customWidth="1"/>
    <col min="5376" max="5376" width="11.90625" style="122" customWidth="1"/>
    <col min="5377" max="5377" width="14.08984375" style="122" customWidth="1"/>
    <col min="5378" max="5378" width="13.90625" style="122" customWidth="1"/>
    <col min="5379" max="5380" width="12.81640625" style="122" customWidth="1"/>
    <col min="5381" max="5381" width="13.54296875" style="122" customWidth="1"/>
    <col min="5382" max="5382" width="15.36328125" style="122" customWidth="1"/>
    <col min="5383" max="5383" width="12.81640625" style="122" customWidth="1"/>
    <col min="5384" max="5384" width="13.90625" style="122" customWidth="1"/>
    <col min="5385" max="5385" width="1.90625" style="122" customWidth="1"/>
    <col min="5386" max="5386" width="13" style="122" customWidth="1"/>
    <col min="5387" max="5626" width="8.81640625" style="122"/>
    <col min="5627" max="5627" width="6" style="122" customWidth="1"/>
    <col min="5628" max="5628" width="1.453125" style="122" customWidth="1"/>
    <col min="5629" max="5629" width="39.08984375" style="122" customWidth="1"/>
    <col min="5630" max="5630" width="12" style="122" customWidth="1"/>
    <col min="5631" max="5631" width="14.453125" style="122" customWidth="1"/>
    <col min="5632" max="5632" width="11.90625" style="122" customWidth="1"/>
    <col min="5633" max="5633" width="14.08984375" style="122" customWidth="1"/>
    <col min="5634" max="5634" width="13.90625" style="122" customWidth="1"/>
    <col min="5635" max="5636" width="12.81640625" style="122" customWidth="1"/>
    <col min="5637" max="5637" width="13.54296875" style="122" customWidth="1"/>
    <col min="5638" max="5638" width="15.36328125" style="122" customWidth="1"/>
    <col min="5639" max="5639" width="12.81640625" style="122" customWidth="1"/>
    <col min="5640" max="5640" width="13.90625" style="122" customWidth="1"/>
    <col min="5641" max="5641" width="1.90625" style="122" customWidth="1"/>
    <col min="5642" max="5642" width="13" style="122" customWidth="1"/>
    <col min="5643" max="5882" width="8.81640625" style="122"/>
    <col min="5883" max="5883" width="6" style="122" customWidth="1"/>
    <col min="5884" max="5884" width="1.453125" style="122" customWidth="1"/>
    <col min="5885" max="5885" width="39.08984375" style="122" customWidth="1"/>
    <col min="5886" max="5886" width="12" style="122" customWidth="1"/>
    <col min="5887" max="5887" width="14.453125" style="122" customWidth="1"/>
    <col min="5888" max="5888" width="11.90625" style="122" customWidth="1"/>
    <col min="5889" max="5889" width="14.08984375" style="122" customWidth="1"/>
    <col min="5890" max="5890" width="13.90625" style="122" customWidth="1"/>
    <col min="5891" max="5892" width="12.81640625" style="122" customWidth="1"/>
    <col min="5893" max="5893" width="13.54296875" style="122" customWidth="1"/>
    <col min="5894" max="5894" width="15.36328125" style="122" customWidth="1"/>
    <col min="5895" max="5895" width="12.81640625" style="122" customWidth="1"/>
    <col min="5896" max="5896" width="13.90625" style="122" customWidth="1"/>
    <col min="5897" max="5897" width="1.90625" style="122" customWidth="1"/>
    <col min="5898" max="5898" width="13" style="122" customWidth="1"/>
    <col min="5899" max="6138" width="8.81640625" style="122"/>
    <col min="6139" max="6139" width="6" style="122" customWidth="1"/>
    <col min="6140" max="6140" width="1.453125" style="122" customWidth="1"/>
    <col min="6141" max="6141" width="39.08984375" style="122" customWidth="1"/>
    <col min="6142" max="6142" width="12" style="122" customWidth="1"/>
    <col min="6143" max="6143" width="14.453125" style="122" customWidth="1"/>
    <col min="6144" max="6144" width="11.90625" style="122" customWidth="1"/>
    <col min="6145" max="6145" width="14.08984375" style="122" customWidth="1"/>
    <col min="6146" max="6146" width="13.90625" style="122" customWidth="1"/>
    <col min="6147" max="6148" width="12.81640625" style="122" customWidth="1"/>
    <col min="6149" max="6149" width="13.54296875" style="122" customWidth="1"/>
    <col min="6150" max="6150" width="15.36328125" style="122" customWidth="1"/>
    <col min="6151" max="6151" width="12.81640625" style="122" customWidth="1"/>
    <col min="6152" max="6152" width="13.90625" style="122" customWidth="1"/>
    <col min="6153" max="6153" width="1.90625" style="122" customWidth="1"/>
    <col min="6154" max="6154" width="13" style="122" customWidth="1"/>
    <col min="6155" max="6394" width="8.81640625" style="122"/>
    <col min="6395" max="6395" width="6" style="122" customWidth="1"/>
    <col min="6396" max="6396" width="1.453125" style="122" customWidth="1"/>
    <col min="6397" max="6397" width="39.08984375" style="122" customWidth="1"/>
    <col min="6398" max="6398" width="12" style="122" customWidth="1"/>
    <col min="6399" max="6399" width="14.453125" style="122" customWidth="1"/>
    <col min="6400" max="6400" width="11.90625" style="122" customWidth="1"/>
    <col min="6401" max="6401" width="14.08984375" style="122" customWidth="1"/>
    <col min="6402" max="6402" width="13.90625" style="122" customWidth="1"/>
    <col min="6403" max="6404" width="12.81640625" style="122" customWidth="1"/>
    <col min="6405" max="6405" width="13.54296875" style="122" customWidth="1"/>
    <col min="6406" max="6406" width="15.36328125" style="122" customWidth="1"/>
    <col min="6407" max="6407" width="12.81640625" style="122" customWidth="1"/>
    <col min="6408" max="6408" width="13.90625" style="122" customWidth="1"/>
    <col min="6409" max="6409" width="1.90625" style="122" customWidth="1"/>
    <col min="6410" max="6410" width="13" style="122" customWidth="1"/>
    <col min="6411" max="6650" width="8.81640625" style="122"/>
    <col min="6651" max="6651" width="6" style="122" customWidth="1"/>
    <col min="6652" max="6652" width="1.453125" style="122" customWidth="1"/>
    <col min="6653" max="6653" width="39.08984375" style="122" customWidth="1"/>
    <col min="6654" max="6654" width="12" style="122" customWidth="1"/>
    <col min="6655" max="6655" width="14.453125" style="122" customWidth="1"/>
    <col min="6656" max="6656" width="11.90625" style="122" customWidth="1"/>
    <col min="6657" max="6657" width="14.08984375" style="122" customWidth="1"/>
    <col min="6658" max="6658" width="13.90625" style="122" customWidth="1"/>
    <col min="6659" max="6660" width="12.81640625" style="122" customWidth="1"/>
    <col min="6661" max="6661" width="13.54296875" style="122" customWidth="1"/>
    <col min="6662" max="6662" width="15.36328125" style="122" customWidth="1"/>
    <col min="6663" max="6663" width="12.81640625" style="122" customWidth="1"/>
    <col min="6664" max="6664" width="13.90625" style="122" customWidth="1"/>
    <col min="6665" max="6665" width="1.90625" style="122" customWidth="1"/>
    <col min="6666" max="6666" width="13" style="122" customWidth="1"/>
    <col min="6667" max="6906" width="8.81640625" style="122"/>
    <col min="6907" max="6907" width="6" style="122" customWidth="1"/>
    <col min="6908" max="6908" width="1.453125" style="122" customWidth="1"/>
    <col min="6909" max="6909" width="39.08984375" style="122" customWidth="1"/>
    <col min="6910" max="6910" width="12" style="122" customWidth="1"/>
    <col min="6911" max="6911" width="14.453125" style="122" customWidth="1"/>
    <col min="6912" max="6912" width="11.90625" style="122" customWidth="1"/>
    <col min="6913" max="6913" width="14.08984375" style="122" customWidth="1"/>
    <col min="6914" max="6914" width="13.90625" style="122" customWidth="1"/>
    <col min="6915" max="6916" width="12.81640625" style="122" customWidth="1"/>
    <col min="6917" max="6917" width="13.54296875" style="122" customWidth="1"/>
    <col min="6918" max="6918" width="15.36328125" style="122" customWidth="1"/>
    <col min="6919" max="6919" width="12.81640625" style="122" customWidth="1"/>
    <col min="6920" max="6920" width="13.90625" style="122" customWidth="1"/>
    <col min="6921" max="6921" width="1.90625" style="122" customWidth="1"/>
    <col min="6922" max="6922" width="13" style="122" customWidth="1"/>
    <col min="6923" max="7162" width="8.81640625" style="122"/>
    <col min="7163" max="7163" width="6" style="122" customWidth="1"/>
    <col min="7164" max="7164" width="1.453125" style="122" customWidth="1"/>
    <col min="7165" max="7165" width="39.08984375" style="122" customWidth="1"/>
    <col min="7166" max="7166" width="12" style="122" customWidth="1"/>
    <col min="7167" max="7167" width="14.453125" style="122" customWidth="1"/>
    <col min="7168" max="7168" width="11.90625" style="122" customWidth="1"/>
    <col min="7169" max="7169" width="14.08984375" style="122" customWidth="1"/>
    <col min="7170" max="7170" width="13.90625" style="122" customWidth="1"/>
    <col min="7171" max="7172" width="12.81640625" style="122" customWidth="1"/>
    <col min="7173" max="7173" width="13.54296875" style="122" customWidth="1"/>
    <col min="7174" max="7174" width="15.36328125" style="122" customWidth="1"/>
    <col min="7175" max="7175" width="12.81640625" style="122" customWidth="1"/>
    <col min="7176" max="7176" width="13.90625" style="122" customWidth="1"/>
    <col min="7177" max="7177" width="1.90625" style="122" customWidth="1"/>
    <col min="7178" max="7178" width="13" style="122" customWidth="1"/>
    <col min="7179" max="7418" width="8.81640625" style="122"/>
    <col min="7419" max="7419" width="6" style="122" customWidth="1"/>
    <col min="7420" max="7420" width="1.453125" style="122" customWidth="1"/>
    <col min="7421" max="7421" width="39.08984375" style="122" customWidth="1"/>
    <col min="7422" max="7422" width="12" style="122" customWidth="1"/>
    <col min="7423" max="7423" width="14.453125" style="122" customWidth="1"/>
    <col min="7424" max="7424" width="11.90625" style="122" customWidth="1"/>
    <col min="7425" max="7425" width="14.08984375" style="122" customWidth="1"/>
    <col min="7426" max="7426" width="13.90625" style="122" customWidth="1"/>
    <col min="7427" max="7428" width="12.81640625" style="122" customWidth="1"/>
    <col min="7429" max="7429" width="13.54296875" style="122" customWidth="1"/>
    <col min="7430" max="7430" width="15.36328125" style="122" customWidth="1"/>
    <col min="7431" max="7431" width="12.81640625" style="122" customWidth="1"/>
    <col min="7432" max="7432" width="13.90625" style="122" customWidth="1"/>
    <col min="7433" max="7433" width="1.90625" style="122" customWidth="1"/>
    <col min="7434" max="7434" width="13" style="122" customWidth="1"/>
    <col min="7435" max="7674" width="8.81640625" style="122"/>
    <col min="7675" max="7675" width="6" style="122" customWidth="1"/>
    <col min="7676" max="7676" width="1.453125" style="122" customWidth="1"/>
    <col min="7677" max="7677" width="39.08984375" style="122" customWidth="1"/>
    <col min="7678" max="7678" width="12" style="122" customWidth="1"/>
    <col min="7679" max="7679" width="14.453125" style="122" customWidth="1"/>
    <col min="7680" max="7680" width="11.90625" style="122" customWidth="1"/>
    <col min="7681" max="7681" width="14.08984375" style="122" customWidth="1"/>
    <col min="7682" max="7682" width="13.90625" style="122" customWidth="1"/>
    <col min="7683" max="7684" width="12.81640625" style="122" customWidth="1"/>
    <col min="7685" max="7685" width="13.54296875" style="122" customWidth="1"/>
    <col min="7686" max="7686" width="15.36328125" style="122" customWidth="1"/>
    <col min="7687" max="7687" width="12.81640625" style="122" customWidth="1"/>
    <col min="7688" max="7688" width="13.90625" style="122" customWidth="1"/>
    <col min="7689" max="7689" width="1.90625" style="122" customWidth="1"/>
    <col min="7690" max="7690" width="13" style="122" customWidth="1"/>
    <col min="7691" max="7930" width="8.81640625" style="122"/>
    <col min="7931" max="7931" width="6" style="122" customWidth="1"/>
    <col min="7932" max="7932" width="1.453125" style="122" customWidth="1"/>
    <col min="7933" max="7933" width="39.08984375" style="122" customWidth="1"/>
    <col min="7934" max="7934" width="12" style="122" customWidth="1"/>
    <col min="7935" max="7935" width="14.453125" style="122" customWidth="1"/>
    <col min="7936" max="7936" width="11.90625" style="122" customWidth="1"/>
    <col min="7937" max="7937" width="14.08984375" style="122" customWidth="1"/>
    <col min="7938" max="7938" width="13.90625" style="122" customWidth="1"/>
    <col min="7939" max="7940" width="12.81640625" style="122" customWidth="1"/>
    <col min="7941" max="7941" width="13.54296875" style="122" customWidth="1"/>
    <col min="7942" max="7942" width="15.36328125" style="122" customWidth="1"/>
    <col min="7943" max="7943" width="12.81640625" style="122" customWidth="1"/>
    <col min="7944" max="7944" width="13.90625" style="122" customWidth="1"/>
    <col min="7945" max="7945" width="1.90625" style="122" customWidth="1"/>
    <col min="7946" max="7946" width="13" style="122" customWidth="1"/>
    <col min="7947" max="8186" width="8.81640625" style="122"/>
    <col min="8187" max="8187" width="6" style="122" customWidth="1"/>
    <col min="8188" max="8188" width="1.453125" style="122" customWidth="1"/>
    <col min="8189" max="8189" width="39.08984375" style="122" customWidth="1"/>
    <col min="8190" max="8190" width="12" style="122" customWidth="1"/>
    <col min="8191" max="8191" width="14.453125" style="122" customWidth="1"/>
    <col min="8192" max="8192" width="11.90625" style="122" customWidth="1"/>
    <col min="8193" max="8193" width="14.08984375" style="122" customWidth="1"/>
    <col min="8194" max="8194" width="13.90625" style="122" customWidth="1"/>
    <col min="8195" max="8196" width="12.81640625" style="122" customWidth="1"/>
    <col min="8197" max="8197" width="13.54296875" style="122" customWidth="1"/>
    <col min="8198" max="8198" width="15.36328125" style="122" customWidth="1"/>
    <col min="8199" max="8199" width="12.81640625" style="122" customWidth="1"/>
    <col min="8200" max="8200" width="13.90625" style="122" customWidth="1"/>
    <col min="8201" max="8201" width="1.90625" style="122" customWidth="1"/>
    <col min="8202" max="8202" width="13" style="122" customWidth="1"/>
    <col min="8203" max="8442" width="8.81640625" style="122"/>
    <col min="8443" max="8443" width="6" style="122" customWidth="1"/>
    <col min="8444" max="8444" width="1.453125" style="122" customWidth="1"/>
    <col min="8445" max="8445" width="39.08984375" style="122" customWidth="1"/>
    <col min="8446" max="8446" width="12" style="122" customWidth="1"/>
    <col min="8447" max="8447" width="14.453125" style="122" customWidth="1"/>
    <col min="8448" max="8448" width="11.90625" style="122" customWidth="1"/>
    <col min="8449" max="8449" width="14.08984375" style="122" customWidth="1"/>
    <col min="8450" max="8450" width="13.90625" style="122" customWidth="1"/>
    <col min="8451" max="8452" width="12.81640625" style="122" customWidth="1"/>
    <col min="8453" max="8453" width="13.54296875" style="122" customWidth="1"/>
    <col min="8454" max="8454" width="15.36328125" style="122" customWidth="1"/>
    <col min="8455" max="8455" width="12.81640625" style="122" customWidth="1"/>
    <col min="8456" max="8456" width="13.90625" style="122" customWidth="1"/>
    <col min="8457" max="8457" width="1.90625" style="122" customWidth="1"/>
    <col min="8458" max="8458" width="13" style="122" customWidth="1"/>
    <col min="8459" max="8698" width="8.81640625" style="122"/>
    <col min="8699" max="8699" width="6" style="122" customWidth="1"/>
    <col min="8700" max="8700" width="1.453125" style="122" customWidth="1"/>
    <col min="8701" max="8701" width="39.08984375" style="122" customWidth="1"/>
    <col min="8702" max="8702" width="12" style="122" customWidth="1"/>
    <col min="8703" max="8703" width="14.453125" style="122" customWidth="1"/>
    <col min="8704" max="8704" width="11.90625" style="122" customWidth="1"/>
    <col min="8705" max="8705" width="14.08984375" style="122" customWidth="1"/>
    <col min="8706" max="8706" width="13.90625" style="122" customWidth="1"/>
    <col min="8707" max="8708" width="12.81640625" style="122" customWidth="1"/>
    <col min="8709" max="8709" width="13.54296875" style="122" customWidth="1"/>
    <col min="8710" max="8710" width="15.36328125" style="122" customWidth="1"/>
    <col min="8711" max="8711" width="12.81640625" style="122" customWidth="1"/>
    <col min="8712" max="8712" width="13.90625" style="122" customWidth="1"/>
    <col min="8713" max="8713" width="1.90625" style="122" customWidth="1"/>
    <col min="8714" max="8714" width="13" style="122" customWidth="1"/>
    <col min="8715" max="8954" width="8.81640625" style="122"/>
    <col min="8955" max="8955" width="6" style="122" customWidth="1"/>
    <col min="8956" max="8956" width="1.453125" style="122" customWidth="1"/>
    <col min="8957" max="8957" width="39.08984375" style="122" customWidth="1"/>
    <col min="8958" max="8958" width="12" style="122" customWidth="1"/>
    <col min="8959" max="8959" width="14.453125" style="122" customWidth="1"/>
    <col min="8960" max="8960" width="11.90625" style="122" customWidth="1"/>
    <col min="8961" max="8961" width="14.08984375" style="122" customWidth="1"/>
    <col min="8962" max="8962" width="13.90625" style="122" customWidth="1"/>
    <col min="8963" max="8964" width="12.81640625" style="122" customWidth="1"/>
    <col min="8965" max="8965" width="13.54296875" style="122" customWidth="1"/>
    <col min="8966" max="8966" width="15.36328125" style="122" customWidth="1"/>
    <col min="8967" max="8967" width="12.81640625" style="122" customWidth="1"/>
    <col min="8968" max="8968" width="13.90625" style="122" customWidth="1"/>
    <col min="8969" max="8969" width="1.90625" style="122" customWidth="1"/>
    <col min="8970" max="8970" width="13" style="122" customWidth="1"/>
    <col min="8971" max="9210" width="8.81640625" style="122"/>
    <col min="9211" max="9211" width="6" style="122" customWidth="1"/>
    <col min="9212" max="9212" width="1.453125" style="122" customWidth="1"/>
    <col min="9213" max="9213" width="39.08984375" style="122" customWidth="1"/>
    <col min="9214" max="9214" width="12" style="122" customWidth="1"/>
    <col min="9215" max="9215" width="14.453125" style="122" customWidth="1"/>
    <col min="9216" max="9216" width="11.90625" style="122" customWidth="1"/>
    <col min="9217" max="9217" width="14.08984375" style="122" customWidth="1"/>
    <col min="9218" max="9218" width="13.90625" style="122" customWidth="1"/>
    <col min="9219" max="9220" width="12.81640625" style="122" customWidth="1"/>
    <col min="9221" max="9221" width="13.54296875" style="122" customWidth="1"/>
    <col min="9222" max="9222" width="15.36328125" style="122" customWidth="1"/>
    <col min="9223" max="9223" width="12.81640625" style="122" customWidth="1"/>
    <col min="9224" max="9224" width="13.90625" style="122" customWidth="1"/>
    <col min="9225" max="9225" width="1.90625" style="122" customWidth="1"/>
    <col min="9226" max="9226" width="13" style="122" customWidth="1"/>
    <col min="9227" max="9466" width="8.81640625" style="122"/>
    <col min="9467" max="9467" width="6" style="122" customWidth="1"/>
    <col min="9468" max="9468" width="1.453125" style="122" customWidth="1"/>
    <col min="9469" max="9469" width="39.08984375" style="122" customWidth="1"/>
    <col min="9470" max="9470" width="12" style="122" customWidth="1"/>
    <col min="9471" max="9471" width="14.453125" style="122" customWidth="1"/>
    <col min="9472" max="9472" width="11.90625" style="122" customWidth="1"/>
    <col min="9473" max="9473" width="14.08984375" style="122" customWidth="1"/>
    <col min="9474" max="9474" width="13.90625" style="122" customWidth="1"/>
    <col min="9475" max="9476" width="12.81640625" style="122" customWidth="1"/>
    <col min="9477" max="9477" width="13.54296875" style="122" customWidth="1"/>
    <col min="9478" max="9478" width="15.36328125" style="122" customWidth="1"/>
    <col min="9479" max="9479" width="12.81640625" style="122" customWidth="1"/>
    <col min="9480" max="9480" width="13.90625" style="122" customWidth="1"/>
    <col min="9481" max="9481" width="1.90625" style="122" customWidth="1"/>
    <col min="9482" max="9482" width="13" style="122" customWidth="1"/>
    <col min="9483" max="9722" width="8.81640625" style="122"/>
    <col min="9723" max="9723" width="6" style="122" customWidth="1"/>
    <col min="9724" max="9724" width="1.453125" style="122" customWidth="1"/>
    <col min="9725" max="9725" width="39.08984375" style="122" customWidth="1"/>
    <col min="9726" max="9726" width="12" style="122" customWidth="1"/>
    <col min="9727" max="9727" width="14.453125" style="122" customWidth="1"/>
    <col min="9728" max="9728" width="11.90625" style="122" customWidth="1"/>
    <col min="9729" max="9729" width="14.08984375" style="122" customWidth="1"/>
    <col min="9730" max="9730" width="13.90625" style="122" customWidth="1"/>
    <col min="9731" max="9732" width="12.81640625" style="122" customWidth="1"/>
    <col min="9733" max="9733" width="13.54296875" style="122" customWidth="1"/>
    <col min="9734" max="9734" width="15.36328125" style="122" customWidth="1"/>
    <col min="9735" max="9735" width="12.81640625" style="122" customWidth="1"/>
    <col min="9736" max="9736" width="13.90625" style="122" customWidth="1"/>
    <col min="9737" max="9737" width="1.90625" style="122" customWidth="1"/>
    <col min="9738" max="9738" width="13" style="122" customWidth="1"/>
    <col min="9739" max="9978" width="8.81640625" style="122"/>
    <col min="9979" max="9979" width="6" style="122" customWidth="1"/>
    <col min="9980" max="9980" width="1.453125" style="122" customWidth="1"/>
    <col min="9981" max="9981" width="39.08984375" style="122" customWidth="1"/>
    <col min="9982" max="9982" width="12" style="122" customWidth="1"/>
    <col min="9983" max="9983" width="14.453125" style="122" customWidth="1"/>
    <col min="9984" max="9984" width="11.90625" style="122" customWidth="1"/>
    <col min="9985" max="9985" width="14.08984375" style="122" customWidth="1"/>
    <col min="9986" max="9986" width="13.90625" style="122" customWidth="1"/>
    <col min="9987" max="9988" width="12.81640625" style="122" customWidth="1"/>
    <col min="9989" max="9989" width="13.54296875" style="122" customWidth="1"/>
    <col min="9990" max="9990" width="15.36328125" style="122" customWidth="1"/>
    <col min="9991" max="9991" width="12.81640625" style="122" customWidth="1"/>
    <col min="9992" max="9992" width="13.90625" style="122" customWidth="1"/>
    <col min="9993" max="9993" width="1.90625" style="122" customWidth="1"/>
    <col min="9994" max="9994" width="13" style="122" customWidth="1"/>
    <col min="9995" max="10234" width="8.81640625" style="122"/>
    <col min="10235" max="10235" width="6" style="122" customWidth="1"/>
    <col min="10236" max="10236" width="1.453125" style="122" customWidth="1"/>
    <col min="10237" max="10237" width="39.08984375" style="122" customWidth="1"/>
    <col min="10238" max="10238" width="12" style="122" customWidth="1"/>
    <col min="10239" max="10239" width="14.453125" style="122" customWidth="1"/>
    <col min="10240" max="10240" width="11.90625" style="122" customWidth="1"/>
    <col min="10241" max="10241" width="14.08984375" style="122" customWidth="1"/>
    <col min="10242" max="10242" width="13.90625" style="122" customWidth="1"/>
    <col min="10243" max="10244" width="12.81640625" style="122" customWidth="1"/>
    <col min="10245" max="10245" width="13.54296875" style="122" customWidth="1"/>
    <col min="10246" max="10246" width="15.36328125" style="122" customWidth="1"/>
    <col min="10247" max="10247" width="12.81640625" style="122" customWidth="1"/>
    <col min="10248" max="10248" width="13.90625" style="122" customWidth="1"/>
    <col min="10249" max="10249" width="1.90625" style="122" customWidth="1"/>
    <col min="10250" max="10250" width="13" style="122" customWidth="1"/>
    <col min="10251" max="10490" width="8.81640625" style="122"/>
    <col min="10491" max="10491" width="6" style="122" customWidth="1"/>
    <col min="10492" max="10492" width="1.453125" style="122" customWidth="1"/>
    <col min="10493" max="10493" width="39.08984375" style="122" customWidth="1"/>
    <col min="10494" max="10494" width="12" style="122" customWidth="1"/>
    <col min="10495" max="10495" width="14.453125" style="122" customWidth="1"/>
    <col min="10496" max="10496" width="11.90625" style="122" customWidth="1"/>
    <col min="10497" max="10497" width="14.08984375" style="122" customWidth="1"/>
    <col min="10498" max="10498" width="13.90625" style="122" customWidth="1"/>
    <col min="10499" max="10500" width="12.81640625" style="122" customWidth="1"/>
    <col min="10501" max="10501" width="13.54296875" style="122" customWidth="1"/>
    <col min="10502" max="10502" width="15.36328125" style="122" customWidth="1"/>
    <col min="10503" max="10503" width="12.81640625" style="122" customWidth="1"/>
    <col min="10504" max="10504" width="13.90625" style="122" customWidth="1"/>
    <col min="10505" max="10505" width="1.90625" style="122" customWidth="1"/>
    <col min="10506" max="10506" width="13" style="122" customWidth="1"/>
    <col min="10507" max="10746" width="8.81640625" style="122"/>
    <col min="10747" max="10747" width="6" style="122" customWidth="1"/>
    <col min="10748" max="10748" width="1.453125" style="122" customWidth="1"/>
    <col min="10749" max="10749" width="39.08984375" style="122" customWidth="1"/>
    <col min="10750" max="10750" width="12" style="122" customWidth="1"/>
    <col min="10751" max="10751" width="14.453125" style="122" customWidth="1"/>
    <col min="10752" max="10752" width="11.90625" style="122" customWidth="1"/>
    <col min="10753" max="10753" width="14.08984375" style="122" customWidth="1"/>
    <col min="10754" max="10754" width="13.90625" style="122" customWidth="1"/>
    <col min="10755" max="10756" width="12.81640625" style="122" customWidth="1"/>
    <col min="10757" max="10757" width="13.54296875" style="122" customWidth="1"/>
    <col min="10758" max="10758" width="15.36328125" style="122" customWidth="1"/>
    <col min="10759" max="10759" width="12.81640625" style="122" customWidth="1"/>
    <col min="10760" max="10760" width="13.90625" style="122" customWidth="1"/>
    <col min="10761" max="10761" width="1.90625" style="122" customWidth="1"/>
    <col min="10762" max="10762" width="13" style="122" customWidth="1"/>
    <col min="10763" max="11002" width="8.81640625" style="122"/>
    <col min="11003" max="11003" width="6" style="122" customWidth="1"/>
    <col min="11004" max="11004" width="1.453125" style="122" customWidth="1"/>
    <col min="11005" max="11005" width="39.08984375" style="122" customWidth="1"/>
    <col min="11006" max="11006" width="12" style="122" customWidth="1"/>
    <col min="11007" max="11007" width="14.453125" style="122" customWidth="1"/>
    <col min="11008" max="11008" width="11.90625" style="122" customWidth="1"/>
    <col min="11009" max="11009" width="14.08984375" style="122" customWidth="1"/>
    <col min="11010" max="11010" width="13.90625" style="122" customWidth="1"/>
    <col min="11011" max="11012" width="12.81640625" style="122" customWidth="1"/>
    <col min="11013" max="11013" width="13.54296875" style="122" customWidth="1"/>
    <col min="11014" max="11014" width="15.36328125" style="122" customWidth="1"/>
    <col min="11015" max="11015" width="12.81640625" style="122" customWidth="1"/>
    <col min="11016" max="11016" width="13.90625" style="122" customWidth="1"/>
    <col min="11017" max="11017" width="1.90625" style="122" customWidth="1"/>
    <col min="11018" max="11018" width="13" style="122" customWidth="1"/>
    <col min="11019" max="11258" width="8.81640625" style="122"/>
    <col min="11259" max="11259" width="6" style="122" customWidth="1"/>
    <col min="11260" max="11260" width="1.453125" style="122" customWidth="1"/>
    <col min="11261" max="11261" width="39.08984375" style="122" customWidth="1"/>
    <col min="11262" max="11262" width="12" style="122" customWidth="1"/>
    <col min="11263" max="11263" width="14.453125" style="122" customWidth="1"/>
    <col min="11264" max="11264" width="11.90625" style="122" customWidth="1"/>
    <col min="11265" max="11265" width="14.08984375" style="122" customWidth="1"/>
    <col min="11266" max="11266" width="13.90625" style="122" customWidth="1"/>
    <col min="11267" max="11268" width="12.81640625" style="122" customWidth="1"/>
    <col min="11269" max="11269" width="13.54296875" style="122" customWidth="1"/>
    <col min="11270" max="11270" width="15.36328125" style="122" customWidth="1"/>
    <col min="11271" max="11271" width="12.81640625" style="122" customWidth="1"/>
    <col min="11272" max="11272" width="13.90625" style="122" customWidth="1"/>
    <col min="11273" max="11273" width="1.90625" style="122" customWidth="1"/>
    <col min="11274" max="11274" width="13" style="122" customWidth="1"/>
    <col min="11275" max="11514" width="8.81640625" style="122"/>
    <col min="11515" max="11515" width="6" style="122" customWidth="1"/>
    <col min="11516" max="11516" width="1.453125" style="122" customWidth="1"/>
    <col min="11517" max="11517" width="39.08984375" style="122" customWidth="1"/>
    <col min="11518" max="11518" width="12" style="122" customWidth="1"/>
    <col min="11519" max="11519" width="14.453125" style="122" customWidth="1"/>
    <col min="11520" max="11520" width="11.90625" style="122" customWidth="1"/>
    <col min="11521" max="11521" width="14.08984375" style="122" customWidth="1"/>
    <col min="11522" max="11522" width="13.90625" style="122" customWidth="1"/>
    <col min="11523" max="11524" width="12.81640625" style="122" customWidth="1"/>
    <col min="11525" max="11525" width="13.54296875" style="122" customWidth="1"/>
    <col min="11526" max="11526" width="15.36328125" style="122" customWidth="1"/>
    <col min="11527" max="11527" width="12.81640625" style="122" customWidth="1"/>
    <col min="11528" max="11528" width="13.90625" style="122" customWidth="1"/>
    <col min="11529" max="11529" width="1.90625" style="122" customWidth="1"/>
    <col min="11530" max="11530" width="13" style="122" customWidth="1"/>
    <col min="11531" max="11770" width="8.81640625" style="122"/>
    <col min="11771" max="11771" width="6" style="122" customWidth="1"/>
    <col min="11772" max="11772" width="1.453125" style="122" customWidth="1"/>
    <col min="11773" max="11773" width="39.08984375" style="122" customWidth="1"/>
    <col min="11774" max="11774" width="12" style="122" customWidth="1"/>
    <col min="11775" max="11775" width="14.453125" style="122" customWidth="1"/>
    <col min="11776" max="11776" width="11.90625" style="122" customWidth="1"/>
    <col min="11777" max="11777" width="14.08984375" style="122" customWidth="1"/>
    <col min="11778" max="11778" width="13.90625" style="122" customWidth="1"/>
    <col min="11779" max="11780" width="12.81640625" style="122" customWidth="1"/>
    <col min="11781" max="11781" width="13.54296875" style="122" customWidth="1"/>
    <col min="11782" max="11782" width="15.36328125" style="122" customWidth="1"/>
    <col min="11783" max="11783" width="12.81640625" style="122" customWidth="1"/>
    <col min="11784" max="11784" width="13.90625" style="122" customWidth="1"/>
    <col min="11785" max="11785" width="1.90625" style="122" customWidth="1"/>
    <col min="11786" max="11786" width="13" style="122" customWidth="1"/>
    <col min="11787" max="12026" width="8.81640625" style="122"/>
    <col min="12027" max="12027" width="6" style="122" customWidth="1"/>
    <col min="12028" max="12028" width="1.453125" style="122" customWidth="1"/>
    <col min="12029" max="12029" width="39.08984375" style="122" customWidth="1"/>
    <col min="12030" max="12030" width="12" style="122" customWidth="1"/>
    <col min="12031" max="12031" width="14.453125" style="122" customWidth="1"/>
    <col min="12032" max="12032" width="11.90625" style="122" customWidth="1"/>
    <col min="12033" max="12033" width="14.08984375" style="122" customWidth="1"/>
    <col min="12034" max="12034" width="13.90625" style="122" customWidth="1"/>
    <col min="12035" max="12036" width="12.81640625" style="122" customWidth="1"/>
    <col min="12037" max="12037" width="13.54296875" style="122" customWidth="1"/>
    <col min="12038" max="12038" width="15.36328125" style="122" customWidth="1"/>
    <col min="12039" max="12039" width="12.81640625" style="122" customWidth="1"/>
    <col min="12040" max="12040" width="13.90625" style="122" customWidth="1"/>
    <col min="12041" max="12041" width="1.90625" style="122" customWidth="1"/>
    <col min="12042" max="12042" width="13" style="122" customWidth="1"/>
    <col min="12043" max="12282" width="8.81640625" style="122"/>
    <col min="12283" max="12283" width="6" style="122" customWidth="1"/>
    <col min="12284" max="12284" width="1.453125" style="122" customWidth="1"/>
    <col min="12285" max="12285" width="39.08984375" style="122" customWidth="1"/>
    <col min="12286" max="12286" width="12" style="122" customWidth="1"/>
    <col min="12287" max="12287" width="14.453125" style="122" customWidth="1"/>
    <col min="12288" max="12288" width="11.90625" style="122" customWidth="1"/>
    <col min="12289" max="12289" width="14.08984375" style="122" customWidth="1"/>
    <col min="12290" max="12290" width="13.90625" style="122" customWidth="1"/>
    <col min="12291" max="12292" width="12.81640625" style="122" customWidth="1"/>
    <col min="12293" max="12293" width="13.54296875" style="122" customWidth="1"/>
    <col min="12294" max="12294" width="15.36328125" style="122" customWidth="1"/>
    <col min="12295" max="12295" width="12.81640625" style="122" customWidth="1"/>
    <col min="12296" max="12296" width="13.90625" style="122" customWidth="1"/>
    <col min="12297" max="12297" width="1.90625" style="122" customWidth="1"/>
    <col min="12298" max="12298" width="13" style="122" customWidth="1"/>
    <col min="12299" max="12538" width="8.81640625" style="122"/>
    <col min="12539" max="12539" width="6" style="122" customWidth="1"/>
    <col min="12540" max="12540" width="1.453125" style="122" customWidth="1"/>
    <col min="12541" max="12541" width="39.08984375" style="122" customWidth="1"/>
    <col min="12542" max="12542" width="12" style="122" customWidth="1"/>
    <col min="12543" max="12543" width="14.453125" style="122" customWidth="1"/>
    <col min="12544" max="12544" width="11.90625" style="122" customWidth="1"/>
    <col min="12545" max="12545" width="14.08984375" style="122" customWidth="1"/>
    <col min="12546" max="12546" width="13.90625" style="122" customWidth="1"/>
    <col min="12547" max="12548" width="12.81640625" style="122" customWidth="1"/>
    <col min="12549" max="12549" width="13.54296875" style="122" customWidth="1"/>
    <col min="12550" max="12550" width="15.36328125" style="122" customWidth="1"/>
    <col min="12551" max="12551" width="12.81640625" style="122" customWidth="1"/>
    <col min="12552" max="12552" width="13.90625" style="122" customWidth="1"/>
    <col min="12553" max="12553" width="1.90625" style="122" customWidth="1"/>
    <col min="12554" max="12554" width="13" style="122" customWidth="1"/>
    <col min="12555" max="12794" width="8.81640625" style="122"/>
    <col min="12795" max="12795" width="6" style="122" customWidth="1"/>
    <col min="12796" max="12796" width="1.453125" style="122" customWidth="1"/>
    <col min="12797" max="12797" width="39.08984375" style="122" customWidth="1"/>
    <col min="12798" max="12798" width="12" style="122" customWidth="1"/>
    <col min="12799" max="12799" width="14.453125" style="122" customWidth="1"/>
    <col min="12800" max="12800" width="11.90625" style="122" customWidth="1"/>
    <col min="12801" max="12801" width="14.08984375" style="122" customWidth="1"/>
    <col min="12802" max="12802" width="13.90625" style="122" customWidth="1"/>
    <col min="12803" max="12804" width="12.81640625" style="122" customWidth="1"/>
    <col min="12805" max="12805" width="13.54296875" style="122" customWidth="1"/>
    <col min="12806" max="12806" width="15.36328125" style="122" customWidth="1"/>
    <col min="12807" max="12807" width="12.81640625" style="122" customWidth="1"/>
    <col min="12808" max="12808" width="13.90625" style="122" customWidth="1"/>
    <col min="12809" max="12809" width="1.90625" style="122" customWidth="1"/>
    <col min="12810" max="12810" width="13" style="122" customWidth="1"/>
    <col min="12811" max="13050" width="8.81640625" style="122"/>
    <col min="13051" max="13051" width="6" style="122" customWidth="1"/>
    <col min="13052" max="13052" width="1.453125" style="122" customWidth="1"/>
    <col min="13053" max="13053" width="39.08984375" style="122" customWidth="1"/>
    <col min="13054" max="13054" width="12" style="122" customWidth="1"/>
    <col min="13055" max="13055" width="14.453125" style="122" customWidth="1"/>
    <col min="13056" max="13056" width="11.90625" style="122" customWidth="1"/>
    <col min="13057" max="13057" width="14.08984375" style="122" customWidth="1"/>
    <col min="13058" max="13058" width="13.90625" style="122" customWidth="1"/>
    <col min="13059" max="13060" width="12.81640625" style="122" customWidth="1"/>
    <col min="13061" max="13061" width="13.54296875" style="122" customWidth="1"/>
    <col min="13062" max="13062" width="15.36328125" style="122" customWidth="1"/>
    <col min="13063" max="13063" width="12.81640625" style="122" customWidth="1"/>
    <col min="13064" max="13064" width="13.90625" style="122" customWidth="1"/>
    <col min="13065" max="13065" width="1.90625" style="122" customWidth="1"/>
    <col min="13066" max="13066" width="13" style="122" customWidth="1"/>
    <col min="13067" max="13306" width="8.81640625" style="122"/>
    <col min="13307" max="13307" width="6" style="122" customWidth="1"/>
    <col min="13308" max="13308" width="1.453125" style="122" customWidth="1"/>
    <col min="13309" max="13309" width="39.08984375" style="122" customWidth="1"/>
    <col min="13310" max="13310" width="12" style="122" customWidth="1"/>
    <col min="13311" max="13311" width="14.453125" style="122" customWidth="1"/>
    <col min="13312" max="13312" width="11.90625" style="122" customWidth="1"/>
    <col min="13313" max="13313" width="14.08984375" style="122" customWidth="1"/>
    <col min="13314" max="13314" width="13.90625" style="122" customWidth="1"/>
    <col min="13315" max="13316" width="12.81640625" style="122" customWidth="1"/>
    <col min="13317" max="13317" width="13.54296875" style="122" customWidth="1"/>
    <col min="13318" max="13318" width="15.36328125" style="122" customWidth="1"/>
    <col min="13319" max="13319" width="12.81640625" style="122" customWidth="1"/>
    <col min="13320" max="13320" width="13.90625" style="122" customWidth="1"/>
    <col min="13321" max="13321" width="1.90625" style="122" customWidth="1"/>
    <col min="13322" max="13322" width="13" style="122" customWidth="1"/>
    <col min="13323" max="13562" width="8.81640625" style="122"/>
    <col min="13563" max="13563" width="6" style="122" customWidth="1"/>
    <col min="13564" max="13564" width="1.453125" style="122" customWidth="1"/>
    <col min="13565" max="13565" width="39.08984375" style="122" customWidth="1"/>
    <col min="13566" max="13566" width="12" style="122" customWidth="1"/>
    <col min="13567" max="13567" width="14.453125" style="122" customWidth="1"/>
    <col min="13568" max="13568" width="11.90625" style="122" customWidth="1"/>
    <col min="13569" max="13569" width="14.08984375" style="122" customWidth="1"/>
    <col min="13570" max="13570" width="13.90625" style="122" customWidth="1"/>
    <col min="13571" max="13572" width="12.81640625" style="122" customWidth="1"/>
    <col min="13573" max="13573" width="13.54296875" style="122" customWidth="1"/>
    <col min="13574" max="13574" width="15.36328125" style="122" customWidth="1"/>
    <col min="13575" max="13575" width="12.81640625" style="122" customWidth="1"/>
    <col min="13576" max="13576" width="13.90625" style="122" customWidth="1"/>
    <col min="13577" max="13577" width="1.90625" style="122" customWidth="1"/>
    <col min="13578" max="13578" width="13" style="122" customWidth="1"/>
    <col min="13579" max="13818" width="8.81640625" style="122"/>
    <col min="13819" max="13819" width="6" style="122" customWidth="1"/>
    <col min="13820" max="13820" width="1.453125" style="122" customWidth="1"/>
    <col min="13821" max="13821" width="39.08984375" style="122" customWidth="1"/>
    <col min="13822" max="13822" width="12" style="122" customWidth="1"/>
    <col min="13823" max="13823" width="14.453125" style="122" customWidth="1"/>
    <col min="13824" max="13824" width="11.90625" style="122" customWidth="1"/>
    <col min="13825" max="13825" width="14.08984375" style="122" customWidth="1"/>
    <col min="13826" max="13826" width="13.90625" style="122" customWidth="1"/>
    <col min="13827" max="13828" width="12.81640625" style="122" customWidth="1"/>
    <col min="13829" max="13829" width="13.54296875" style="122" customWidth="1"/>
    <col min="13830" max="13830" width="15.36328125" style="122" customWidth="1"/>
    <col min="13831" max="13831" width="12.81640625" style="122" customWidth="1"/>
    <col min="13832" max="13832" width="13.90625" style="122" customWidth="1"/>
    <col min="13833" max="13833" width="1.90625" style="122" customWidth="1"/>
    <col min="13834" max="13834" width="13" style="122" customWidth="1"/>
    <col min="13835" max="14074" width="8.81640625" style="122"/>
    <col min="14075" max="14075" width="6" style="122" customWidth="1"/>
    <col min="14076" max="14076" width="1.453125" style="122" customWidth="1"/>
    <col min="14077" max="14077" width="39.08984375" style="122" customWidth="1"/>
    <col min="14078" max="14078" width="12" style="122" customWidth="1"/>
    <col min="14079" max="14079" width="14.453125" style="122" customWidth="1"/>
    <col min="14080" max="14080" width="11.90625" style="122" customWidth="1"/>
    <col min="14081" max="14081" width="14.08984375" style="122" customWidth="1"/>
    <col min="14082" max="14082" width="13.90625" style="122" customWidth="1"/>
    <col min="14083" max="14084" width="12.81640625" style="122" customWidth="1"/>
    <col min="14085" max="14085" width="13.54296875" style="122" customWidth="1"/>
    <col min="14086" max="14086" width="15.36328125" style="122" customWidth="1"/>
    <col min="14087" max="14087" width="12.81640625" style="122" customWidth="1"/>
    <col min="14088" max="14088" width="13.90625" style="122" customWidth="1"/>
    <col min="14089" max="14089" width="1.90625" style="122" customWidth="1"/>
    <col min="14090" max="14090" width="13" style="122" customWidth="1"/>
    <col min="14091" max="14330" width="8.81640625" style="122"/>
    <col min="14331" max="14331" width="6" style="122" customWidth="1"/>
    <col min="14332" max="14332" width="1.453125" style="122" customWidth="1"/>
    <col min="14333" max="14333" width="39.08984375" style="122" customWidth="1"/>
    <col min="14334" max="14334" width="12" style="122" customWidth="1"/>
    <col min="14335" max="14335" width="14.453125" style="122" customWidth="1"/>
    <col min="14336" max="14336" width="11.90625" style="122" customWidth="1"/>
    <col min="14337" max="14337" width="14.08984375" style="122" customWidth="1"/>
    <col min="14338" max="14338" width="13.90625" style="122" customWidth="1"/>
    <col min="14339" max="14340" width="12.81640625" style="122" customWidth="1"/>
    <col min="14341" max="14341" width="13.54296875" style="122" customWidth="1"/>
    <col min="14342" max="14342" width="15.36328125" style="122" customWidth="1"/>
    <col min="14343" max="14343" width="12.81640625" style="122" customWidth="1"/>
    <col min="14344" max="14344" width="13.90625" style="122" customWidth="1"/>
    <col min="14345" max="14345" width="1.90625" style="122" customWidth="1"/>
    <col min="14346" max="14346" width="13" style="122" customWidth="1"/>
    <col min="14347" max="14586" width="8.81640625" style="122"/>
    <col min="14587" max="14587" width="6" style="122" customWidth="1"/>
    <col min="14588" max="14588" width="1.453125" style="122" customWidth="1"/>
    <col min="14589" max="14589" width="39.08984375" style="122" customWidth="1"/>
    <col min="14590" max="14590" width="12" style="122" customWidth="1"/>
    <col min="14591" max="14591" width="14.453125" style="122" customWidth="1"/>
    <col min="14592" max="14592" width="11.90625" style="122" customWidth="1"/>
    <col min="14593" max="14593" width="14.08984375" style="122" customWidth="1"/>
    <col min="14594" max="14594" width="13.90625" style="122" customWidth="1"/>
    <col min="14595" max="14596" width="12.81640625" style="122" customWidth="1"/>
    <col min="14597" max="14597" width="13.54296875" style="122" customWidth="1"/>
    <col min="14598" max="14598" width="15.36328125" style="122" customWidth="1"/>
    <col min="14599" max="14599" width="12.81640625" style="122" customWidth="1"/>
    <col min="14600" max="14600" width="13.90625" style="122" customWidth="1"/>
    <col min="14601" max="14601" width="1.90625" style="122" customWidth="1"/>
    <col min="14602" max="14602" width="13" style="122" customWidth="1"/>
    <col min="14603" max="14842" width="8.81640625" style="122"/>
    <col min="14843" max="14843" width="6" style="122" customWidth="1"/>
    <col min="14844" max="14844" width="1.453125" style="122" customWidth="1"/>
    <col min="14845" max="14845" width="39.08984375" style="122" customWidth="1"/>
    <col min="14846" max="14846" width="12" style="122" customWidth="1"/>
    <col min="14847" max="14847" width="14.453125" style="122" customWidth="1"/>
    <col min="14848" max="14848" width="11.90625" style="122" customWidth="1"/>
    <col min="14849" max="14849" width="14.08984375" style="122" customWidth="1"/>
    <col min="14850" max="14850" width="13.90625" style="122" customWidth="1"/>
    <col min="14851" max="14852" width="12.81640625" style="122" customWidth="1"/>
    <col min="14853" max="14853" width="13.54296875" style="122" customWidth="1"/>
    <col min="14854" max="14854" width="15.36328125" style="122" customWidth="1"/>
    <col min="14855" max="14855" width="12.81640625" style="122" customWidth="1"/>
    <col min="14856" max="14856" width="13.90625" style="122" customWidth="1"/>
    <col min="14857" max="14857" width="1.90625" style="122" customWidth="1"/>
    <col min="14858" max="14858" width="13" style="122" customWidth="1"/>
    <col min="14859" max="15098" width="8.81640625" style="122"/>
    <col min="15099" max="15099" width="6" style="122" customWidth="1"/>
    <col min="15100" max="15100" width="1.453125" style="122" customWidth="1"/>
    <col min="15101" max="15101" width="39.08984375" style="122" customWidth="1"/>
    <col min="15102" max="15102" width="12" style="122" customWidth="1"/>
    <col min="15103" max="15103" width="14.453125" style="122" customWidth="1"/>
    <col min="15104" max="15104" width="11.90625" style="122" customWidth="1"/>
    <col min="15105" max="15105" width="14.08984375" style="122" customWidth="1"/>
    <col min="15106" max="15106" width="13.90625" style="122" customWidth="1"/>
    <col min="15107" max="15108" width="12.81640625" style="122" customWidth="1"/>
    <col min="15109" max="15109" width="13.54296875" style="122" customWidth="1"/>
    <col min="15110" max="15110" width="15.36328125" style="122" customWidth="1"/>
    <col min="15111" max="15111" width="12.81640625" style="122" customWidth="1"/>
    <col min="15112" max="15112" width="13.90625" style="122" customWidth="1"/>
    <col min="15113" max="15113" width="1.90625" style="122" customWidth="1"/>
    <col min="15114" max="15114" width="13" style="122" customWidth="1"/>
    <col min="15115" max="15354" width="8.81640625" style="122"/>
    <col min="15355" max="15355" width="6" style="122" customWidth="1"/>
    <col min="15356" max="15356" width="1.453125" style="122" customWidth="1"/>
    <col min="15357" max="15357" width="39.08984375" style="122" customWidth="1"/>
    <col min="15358" max="15358" width="12" style="122" customWidth="1"/>
    <col min="15359" max="15359" width="14.453125" style="122" customWidth="1"/>
    <col min="15360" max="15360" width="11.90625" style="122" customWidth="1"/>
    <col min="15361" max="15361" width="14.08984375" style="122" customWidth="1"/>
    <col min="15362" max="15362" width="13.90625" style="122" customWidth="1"/>
    <col min="15363" max="15364" width="12.81640625" style="122" customWidth="1"/>
    <col min="15365" max="15365" width="13.54296875" style="122" customWidth="1"/>
    <col min="15366" max="15366" width="15.36328125" style="122" customWidth="1"/>
    <col min="15367" max="15367" width="12.81640625" style="122" customWidth="1"/>
    <col min="15368" max="15368" width="13.90625" style="122" customWidth="1"/>
    <col min="15369" max="15369" width="1.90625" style="122" customWidth="1"/>
    <col min="15370" max="15370" width="13" style="122" customWidth="1"/>
    <col min="15371" max="15610" width="8.81640625" style="122"/>
    <col min="15611" max="15611" width="6" style="122" customWidth="1"/>
    <col min="15612" max="15612" width="1.453125" style="122" customWidth="1"/>
    <col min="15613" max="15613" width="39.08984375" style="122" customWidth="1"/>
    <col min="15614" max="15614" width="12" style="122" customWidth="1"/>
    <col min="15615" max="15615" width="14.453125" style="122" customWidth="1"/>
    <col min="15616" max="15616" width="11.90625" style="122" customWidth="1"/>
    <col min="15617" max="15617" width="14.08984375" style="122" customWidth="1"/>
    <col min="15618" max="15618" width="13.90625" style="122" customWidth="1"/>
    <col min="15619" max="15620" width="12.81640625" style="122" customWidth="1"/>
    <col min="15621" max="15621" width="13.54296875" style="122" customWidth="1"/>
    <col min="15622" max="15622" width="15.36328125" style="122" customWidth="1"/>
    <col min="15623" max="15623" width="12.81640625" style="122" customWidth="1"/>
    <col min="15624" max="15624" width="13.90625" style="122" customWidth="1"/>
    <col min="15625" max="15625" width="1.90625" style="122" customWidth="1"/>
    <col min="15626" max="15626" width="13" style="122" customWidth="1"/>
    <col min="15627" max="15866" width="8.81640625" style="122"/>
    <col min="15867" max="15867" width="6" style="122" customWidth="1"/>
    <col min="15868" max="15868" width="1.453125" style="122" customWidth="1"/>
    <col min="15869" max="15869" width="39.08984375" style="122" customWidth="1"/>
    <col min="15870" max="15870" width="12" style="122" customWidth="1"/>
    <col min="15871" max="15871" width="14.453125" style="122" customWidth="1"/>
    <col min="15872" max="15872" width="11.90625" style="122" customWidth="1"/>
    <col min="15873" max="15873" width="14.08984375" style="122" customWidth="1"/>
    <col min="15874" max="15874" width="13.90625" style="122" customWidth="1"/>
    <col min="15875" max="15876" width="12.81640625" style="122" customWidth="1"/>
    <col min="15877" max="15877" width="13.54296875" style="122" customWidth="1"/>
    <col min="15878" max="15878" width="15.36328125" style="122" customWidth="1"/>
    <col min="15879" max="15879" width="12.81640625" style="122" customWidth="1"/>
    <col min="15880" max="15880" width="13.90625" style="122" customWidth="1"/>
    <col min="15881" max="15881" width="1.90625" style="122" customWidth="1"/>
    <col min="15882" max="15882" width="13" style="122" customWidth="1"/>
    <col min="15883" max="16122" width="8.81640625" style="122"/>
    <col min="16123" max="16123" width="6" style="122" customWidth="1"/>
    <col min="16124" max="16124" width="1.453125" style="122" customWidth="1"/>
    <col min="16125" max="16125" width="39.08984375" style="122" customWidth="1"/>
    <col min="16126" max="16126" width="12" style="122" customWidth="1"/>
    <col min="16127" max="16127" width="14.453125" style="122" customWidth="1"/>
    <col min="16128" max="16128" width="11.90625" style="122" customWidth="1"/>
    <col min="16129" max="16129" width="14.08984375" style="122" customWidth="1"/>
    <col min="16130" max="16130" width="13.90625" style="122" customWidth="1"/>
    <col min="16131" max="16132" width="12.81640625" style="122" customWidth="1"/>
    <col min="16133" max="16133" width="13.54296875" style="122" customWidth="1"/>
    <col min="16134" max="16134" width="15.36328125" style="122" customWidth="1"/>
    <col min="16135" max="16135" width="12.81640625" style="122" customWidth="1"/>
    <col min="16136" max="16136" width="13.90625" style="122" customWidth="1"/>
    <col min="16137" max="16137" width="1.90625" style="122" customWidth="1"/>
    <col min="16138" max="16138" width="13" style="122" customWidth="1"/>
    <col min="16139" max="16378" width="8.81640625" style="122"/>
    <col min="16379" max="16384" width="8.81640625" style="122" customWidth="1"/>
  </cols>
  <sheetData>
    <row r="1" spans="1:59">
      <c r="I1" s="73" t="s">
        <v>306</v>
      </c>
      <c r="O1" s="409"/>
      <c r="P1" s="409"/>
    </row>
    <row r="2" spans="1:59">
      <c r="I2" s="73" t="s">
        <v>304</v>
      </c>
    </row>
    <row r="3" spans="1:59">
      <c r="I3" s="364" t="s">
        <v>197</v>
      </c>
    </row>
    <row r="4" spans="1:59">
      <c r="I4" s="261" t="str">
        <f>"For the 12 months ended: "&amp;TEXT(INPUT!B1,"mm/dd/yyyy")</f>
        <v>For the 12 months ended: 12/31/2018</v>
      </c>
    </row>
    <row r="5" spans="1:59">
      <c r="C5" s="100"/>
    </row>
    <row r="6" spans="1:59">
      <c r="A6" s="198" t="s">
        <v>263</v>
      </c>
      <c r="B6" s="249"/>
      <c r="C6" s="249"/>
      <c r="D6" s="198"/>
      <c r="E6" s="198"/>
      <c r="F6" s="198"/>
      <c r="G6" s="249"/>
      <c r="H6" s="198"/>
      <c r="I6" s="198"/>
      <c r="K6" s="124"/>
      <c r="L6" s="123"/>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row>
    <row r="7" spans="1:59">
      <c r="A7" s="199" t="s">
        <v>307</v>
      </c>
      <c r="B7" s="249"/>
      <c r="C7" s="249"/>
      <c r="D7" s="198"/>
      <c r="E7" s="198"/>
      <c r="F7" s="198"/>
      <c r="G7" s="249"/>
      <c r="H7" s="198"/>
      <c r="I7" s="198"/>
      <c r="K7" s="124"/>
      <c r="L7" s="123"/>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row>
    <row r="8" spans="1:59">
      <c r="A8" s="200"/>
      <c r="B8" s="249"/>
      <c r="C8" s="249"/>
      <c r="D8" s="200"/>
      <c r="E8" s="200"/>
      <c r="F8" s="200"/>
      <c r="G8" s="249"/>
      <c r="H8" s="200"/>
      <c r="I8" s="200"/>
      <c r="K8" s="124"/>
      <c r="L8" s="123"/>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row>
    <row r="9" spans="1:59">
      <c r="A9" s="374" t="str">
        <f>DEK!A11</f>
        <v>DUKE ENERGY KENTUCKY (DEK)</v>
      </c>
      <c r="B9" s="249"/>
      <c r="C9" s="249"/>
      <c r="D9" s="200"/>
      <c r="E9" s="200"/>
      <c r="F9" s="200"/>
      <c r="G9" s="249"/>
      <c r="H9" s="252"/>
      <c r="I9" s="200"/>
      <c r="K9" s="124"/>
      <c r="L9" s="123"/>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row>
    <row r="10" spans="1:59">
      <c r="A10" s="251" t="s">
        <v>637</v>
      </c>
      <c r="B10" s="249"/>
      <c r="C10" s="200"/>
      <c r="D10" s="200"/>
      <c r="E10" s="200"/>
      <c r="F10" s="200"/>
      <c r="G10" s="249"/>
      <c r="H10" s="252"/>
      <c r="I10" s="200"/>
      <c r="K10" s="124"/>
      <c r="L10" s="123"/>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row>
    <row r="11" spans="1:59">
      <c r="A11" s="363"/>
      <c r="B11" s="249"/>
      <c r="C11" s="200"/>
      <c r="D11" s="200"/>
      <c r="E11" s="200"/>
      <c r="F11" s="200"/>
      <c r="G11" s="252"/>
      <c r="H11" s="200"/>
      <c r="I11" s="200"/>
      <c r="K11" s="124"/>
      <c r="L11" s="123"/>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row>
    <row r="12" spans="1:59">
      <c r="A12" s="200" t="s">
        <v>918</v>
      </c>
      <c r="B12" s="249"/>
      <c r="C12" s="249"/>
      <c r="D12" s="200"/>
      <c r="E12" s="200"/>
      <c r="F12" s="200"/>
      <c r="G12" s="252"/>
      <c r="H12" s="200"/>
      <c r="I12" s="200"/>
      <c r="K12" s="124"/>
      <c r="L12" s="123"/>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row>
    <row r="13" spans="1:59">
      <c r="A13" s="126"/>
      <c r="C13" s="98"/>
      <c r="D13" s="98"/>
      <c r="E13" s="98"/>
      <c r="F13" s="98"/>
      <c r="G13" s="127"/>
      <c r="K13" s="123"/>
      <c r="L13" s="123"/>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row>
    <row r="14" spans="1:59">
      <c r="A14" s="126"/>
      <c r="C14" s="98"/>
      <c r="D14" s="98"/>
      <c r="E14" s="98"/>
      <c r="F14" s="98"/>
      <c r="G14" s="98"/>
      <c r="K14" s="123"/>
      <c r="L14" s="123"/>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row>
    <row r="15" spans="1:59">
      <c r="C15" s="96" t="s">
        <v>18</v>
      </c>
      <c r="D15" s="96"/>
      <c r="E15" s="96" t="s">
        <v>19</v>
      </c>
      <c r="F15" s="96"/>
      <c r="G15" s="96" t="s">
        <v>20</v>
      </c>
      <c r="I15" s="128" t="s">
        <v>21</v>
      </c>
      <c r="K15" s="129"/>
      <c r="L15" s="130"/>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row>
    <row r="16" spans="1:59">
      <c r="C16" s="95"/>
      <c r="D16" s="95"/>
      <c r="K16" s="132"/>
      <c r="L16" s="130"/>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row>
    <row r="17" spans="1:59">
      <c r="A17" s="328" t="s">
        <v>8</v>
      </c>
      <c r="B17" s="125"/>
      <c r="C17" s="95"/>
      <c r="D17" s="95"/>
      <c r="E17" s="137" t="s">
        <v>306</v>
      </c>
      <c r="F17" s="137"/>
      <c r="G17" s="99"/>
      <c r="H17" s="125"/>
      <c r="I17" s="125"/>
      <c r="K17" s="132"/>
      <c r="L17" s="130"/>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row>
    <row r="18" spans="1:59">
      <c r="A18" s="359" t="s">
        <v>10</v>
      </c>
      <c r="B18" s="360"/>
      <c r="C18" s="361"/>
      <c r="D18" s="361"/>
      <c r="E18" s="362" t="s">
        <v>25</v>
      </c>
      <c r="F18" s="362"/>
      <c r="G18" s="359" t="s">
        <v>24</v>
      </c>
      <c r="H18" s="360"/>
      <c r="I18" s="359" t="s">
        <v>13</v>
      </c>
      <c r="K18" s="129"/>
      <c r="L18" s="130"/>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row>
    <row r="19" spans="1:59" ht="15.6">
      <c r="A19" s="135"/>
      <c r="C19" s="95" t="s">
        <v>347</v>
      </c>
      <c r="D19" s="95"/>
      <c r="E19" s="99"/>
      <c r="F19" s="99"/>
      <c r="G19" s="99"/>
      <c r="I19" s="99"/>
      <c r="K19" s="129"/>
      <c r="L19" s="130"/>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row>
    <row r="20" spans="1:59">
      <c r="A20" s="136">
        <v>1</v>
      </c>
      <c r="C20" s="95" t="s">
        <v>220</v>
      </c>
      <c r="D20" s="95"/>
      <c r="E20" s="554" t="s">
        <v>709</v>
      </c>
      <c r="F20" s="137"/>
      <c r="G20" s="138">
        <f>DEK!J54</f>
        <v>41779310</v>
      </c>
      <c r="K20" s="129"/>
      <c r="L20" s="130"/>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row>
    <row r="21" spans="1:59">
      <c r="A21" s="136">
        <v>2</v>
      </c>
      <c r="C21" s="95" t="s">
        <v>221</v>
      </c>
      <c r="D21" s="95"/>
      <c r="E21" s="554" t="s">
        <v>710</v>
      </c>
      <c r="F21" s="137"/>
      <c r="G21" s="138">
        <f>DEK!J70</f>
        <v>27746879</v>
      </c>
      <c r="K21" s="129"/>
      <c r="L21" s="130"/>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row>
    <row r="22" spans="1:59">
      <c r="A22" s="136"/>
      <c r="E22" s="554"/>
      <c r="F22" s="137"/>
      <c r="K22" s="129"/>
      <c r="L22" s="130"/>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row>
    <row r="23" spans="1:59">
      <c r="A23" s="136"/>
      <c r="C23" s="95" t="s">
        <v>198</v>
      </c>
      <c r="D23" s="95"/>
      <c r="E23" s="554"/>
      <c r="F23" s="137"/>
      <c r="G23" s="99"/>
      <c r="I23" s="99"/>
      <c r="K23" s="129"/>
      <c r="L23" s="130"/>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row>
    <row r="24" spans="1:59">
      <c r="A24" s="136">
        <v>3</v>
      </c>
      <c r="C24" s="95" t="s">
        <v>222</v>
      </c>
      <c r="D24" s="95"/>
      <c r="E24" s="554" t="s">
        <v>708</v>
      </c>
      <c r="F24" s="137"/>
      <c r="G24" s="138">
        <f>DEK!J126</f>
        <v>1905678</v>
      </c>
      <c r="K24" s="129"/>
      <c r="L24" s="130"/>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row>
    <row r="25" spans="1:59">
      <c r="A25" s="136">
        <v>4</v>
      </c>
      <c r="C25" s="95" t="s">
        <v>223</v>
      </c>
      <c r="D25" s="95"/>
      <c r="E25" s="554" t="s">
        <v>715</v>
      </c>
      <c r="F25" s="137"/>
      <c r="G25" s="139">
        <f>ROUND(IF(G24=0,0,G24/G20),4)</f>
        <v>4.5600000000000002E-2</v>
      </c>
      <c r="I25" s="140">
        <f>G25</f>
        <v>4.5600000000000002E-2</v>
      </c>
      <c r="K25" s="129"/>
      <c r="L25" s="130"/>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row>
    <row r="26" spans="1:59">
      <c r="A26" s="136"/>
      <c r="E26" s="554"/>
      <c r="F26" s="137"/>
      <c r="K26" s="129"/>
      <c r="L26" s="130"/>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row>
    <row r="27" spans="1:59" ht="30">
      <c r="A27" s="136"/>
      <c r="C27" s="632" t="s">
        <v>604</v>
      </c>
      <c r="D27" s="95"/>
      <c r="E27" s="552"/>
      <c r="F27" s="137"/>
      <c r="K27" s="129"/>
      <c r="L27" s="130"/>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row>
    <row r="28" spans="1:59">
      <c r="A28" s="149" t="s">
        <v>224</v>
      </c>
      <c r="C28" s="95" t="s">
        <v>605</v>
      </c>
      <c r="D28" s="95"/>
      <c r="E28" s="554" t="s">
        <v>567</v>
      </c>
      <c r="F28" s="137"/>
      <c r="G28" s="138">
        <f>DEK!J130+DEK!J131</f>
        <v>101668</v>
      </c>
      <c r="K28" s="129"/>
      <c r="L28" s="130"/>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row>
    <row r="29" spans="1:59" ht="30">
      <c r="A29" s="633" t="s">
        <v>225</v>
      </c>
      <c r="C29" s="632" t="s">
        <v>606</v>
      </c>
      <c r="D29" s="95"/>
      <c r="E29" s="634" t="s">
        <v>712</v>
      </c>
      <c r="F29" s="634"/>
      <c r="G29" s="635">
        <f>ROUND(IF(G28=0,0,G28/G20),4)</f>
        <v>2.3999999999999998E-3</v>
      </c>
      <c r="H29" s="636"/>
      <c r="I29" s="637">
        <f>G29</f>
        <v>2.3999999999999998E-3</v>
      </c>
      <c r="K29" s="129"/>
      <c r="L29" s="130"/>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row>
    <row r="30" spans="1:59">
      <c r="A30" s="136"/>
      <c r="E30" s="554"/>
      <c r="F30" s="137"/>
      <c r="K30" s="129"/>
      <c r="L30" s="130"/>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row>
    <row r="31" spans="1:59">
      <c r="A31" s="143"/>
      <c r="C31" s="95" t="s">
        <v>201</v>
      </c>
      <c r="D31" s="95"/>
      <c r="E31" s="552"/>
      <c r="F31" s="101"/>
      <c r="G31" s="99"/>
      <c r="I31" s="99"/>
      <c r="K31" s="129"/>
      <c r="L31" s="130"/>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row>
    <row r="32" spans="1:59">
      <c r="A32" s="143" t="s">
        <v>227</v>
      </c>
      <c r="C32" s="95" t="s">
        <v>203</v>
      </c>
      <c r="D32" s="95"/>
      <c r="E32" s="554" t="s">
        <v>707</v>
      </c>
      <c r="F32" s="137"/>
      <c r="G32" s="138">
        <f>DEK!J143</f>
        <v>294608</v>
      </c>
      <c r="K32" s="132"/>
      <c r="L32" s="130"/>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row>
    <row r="33" spans="1:59">
      <c r="A33" s="143" t="s">
        <v>229</v>
      </c>
      <c r="C33" s="95" t="s">
        <v>226</v>
      </c>
      <c r="D33" s="95"/>
      <c r="E33" s="554" t="s">
        <v>713</v>
      </c>
      <c r="F33" s="137"/>
      <c r="G33" s="139">
        <f>ROUND(IF(G32=0,0,G32/G20),4)</f>
        <v>7.1000000000000004E-3</v>
      </c>
      <c r="I33" s="140">
        <f>G33</f>
        <v>7.1000000000000004E-3</v>
      </c>
      <c r="K33" s="132"/>
      <c r="L33" s="130"/>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row>
    <row r="34" spans="1:59">
      <c r="A34" s="143"/>
      <c r="C34" s="95"/>
      <c r="D34" s="95"/>
      <c r="E34" s="554"/>
      <c r="F34" s="137"/>
      <c r="G34" s="99"/>
      <c r="I34" s="99"/>
      <c r="K34" s="129"/>
      <c r="L34" s="130"/>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row>
    <row r="35" spans="1:59" ht="15.6">
      <c r="A35" s="145" t="s">
        <v>199</v>
      </c>
      <c r="B35" s="146"/>
      <c r="C35" s="134" t="s">
        <v>228</v>
      </c>
      <c r="D35" s="134"/>
      <c r="E35" s="553" t="s">
        <v>415</v>
      </c>
      <c r="F35" s="131"/>
      <c r="G35" s="147"/>
      <c r="I35" s="148">
        <f>I25+I29+I33</f>
        <v>5.5100000000000003E-2</v>
      </c>
      <c r="K35" s="129"/>
      <c r="L35" s="130"/>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row>
    <row r="36" spans="1:59">
      <c r="A36" s="324"/>
      <c r="C36" s="95"/>
      <c r="D36" s="95"/>
      <c r="E36" s="554"/>
      <c r="F36" s="137"/>
      <c r="G36" s="99"/>
      <c r="I36" s="99"/>
      <c r="K36" s="129"/>
      <c r="L36" s="130"/>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row>
    <row r="37" spans="1:59">
      <c r="A37" s="149"/>
      <c r="B37" s="150"/>
      <c r="C37" s="99" t="s">
        <v>205</v>
      </c>
      <c r="D37" s="99"/>
      <c r="E37" s="554"/>
      <c r="F37" s="137"/>
      <c r="G37" s="99"/>
      <c r="I37" s="99"/>
      <c r="K37" s="132"/>
      <c r="L37" s="129" t="s">
        <v>7</v>
      </c>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row>
    <row r="38" spans="1:59">
      <c r="A38" s="143" t="s">
        <v>200</v>
      </c>
      <c r="B38" s="150"/>
      <c r="C38" s="99" t="s">
        <v>127</v>
      </c>
      <c r="D38" s="99"/>
      <c r="E38" s="554" t="s">
        <v>706</v>
      </c>
      <c r="F38" s="137"/>
      <c r="G38" s="138">
        <f>DEK!J156</f>
        <v>418958</v>
      </c>
      <c r="I38" s="99"/>
      <c r="K38" s="132"/>
      <c r="L38" s="129"/>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row>
    <row r="39" spans="1:59">
      <c r="A39" s="143" t="s">
        <v>202</v>
      </c>
      <c r="B39" s="150"/>
      <c r="C39" s="99" t="s">
        <v>230</v>
      </c>
      <c r="D39" s="99"/>
      <c r="E39" s="554" t="s">
        <v>714</v>
      </c>
      <c r="F39" s="137"/>
      <c r="G39" s="139">
        <f>ROUND(IF(G38=0,0,G38/G21),4)</f>
        <v>1.5100000000000001E-2</v>
      </c>
      <c r="I39" s="140">
        <f>G39</f>
        <v>1.5100000000000001E-2</v>
      </c>
      <c r="K39" s="132"/>
      <c r="L39" s="129"/>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row>
    <row r="40" spans="1:59">
      <c r="A40" s="143"/>
      <c r="C40" s="99"/>
      <c r="D40" s="99"/>
      <c r="E40" s="554"/>
      <c r="F40" s="137"/>
      <c r="G40" s="99"/>
      <c r="I40" s="99"/>
      <c r="K40" s="123"/>
      <c r="L40" s="130"/>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row>
    <row r="41" spans="1:59">
      <c r="A41" s="143"/>
      <c r="C41" s="95" t="s">
        <v>59</v>
      </c>
      <c r="D41" s="95"/>
      <c r="E41" s="555"/>
      <c r="F41" s="151"/>
      <c r="K41" s="129"/>
      <c r="L41" s="130"/>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row>
    <row r="42" spans="1:59">
      <c r="A42" s="143" t="s">
        <v>204</v>
      </c>
      <c r="C42" s="95" t="s">
        <v>206</v>
      </c>
      <c r="D42" s="95"/>
      <c r="E42" s="554" t="s">
        <v>705</v>
      </c>
      <c r="F42" s="137"/>
      <c r="G42" s="138">
        <f>DEK!J158</f>
        <v>1624411</v>
      </c>
      <c r="I42" s="99"/>
      <c r="K42" s="129"/>
      <c r="L42" s="130"/>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row>
    <row r="43" spans="1:59">
      <c r="A43" s="143" t="s">
        <v>270</v>
      </c>
      <c r="B43" s="150"/>
      <c r="C43" s="99" t="s">
        <v>231</v>
      </c>
      <c r="D43" s="99"/>
      <c r="E43" s="554" t="s">
        <v>711</v>
      </c>
      <c r="F43" s="137"/>
      <c r="G43" s="152">
        <f>ROUND(IF(G42=0,0,G42/G21),4)</f>
        <v>5.8500000000000003E-2</v>
      </c>
      <c r="I43" s="140">
        <f>G43</f>
        <v>5.8500000000000003E-2</v>
      </c>
      <c r="K43" s="132"/>
      <c r="L43" s="129"/>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row>
    <row r="44" spans="1:59">
      <c r="A44" s="143"/>
      <c r="C44" s="95"/>
      <c r="D44" s="95"/>
      <c r="E44" s="554"/>
      <c r="F44" s="137"/>
      <c r="G44" s="99"/>
      <c r="I44" s="99"/>
      <c r="K44" s="129"/>
      <c r="L44" s="130"/>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row>
    <row r="45" spans="1:59" ht="15.6">
      <c r="A45" s="145" t="s">
        <v>271</v>
      </c>
      <c r="B45" s="146"/>
      <c r="C45" s="134" t="s">
        <v>232</v>
      </c>
      <c r="D45" s="134"/>
      <c r="E45" s="553" t="s">
        <v>349</v>
      </c>
      <c r="F45" s="131"/>
      <c r="G45" s="147"/>
      <c r="I45" s="148">
        <f>I39+I43</f>
        <v>7.3599999999999999E-2</v>
      </c>
      <c r="K45" s="129"/>
      <c r="L45" s="130"/>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row>
    <row r="46" spans="1:59">
      <c r="K46" s="129"/>
      <c r="L46" s="130"/>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row>
    <row r="47" spans="1:59">
      <c r="A47" s="155"/>
      <c r="B47" s="125"/>
      <c r="C47" s="149"/>
      <c r="D47" s="149"/>
      <c r="E47" s="101"/>
      <c r="F47" s="101"/>
      <c r="G47" s="99"/>
      <c r="H47" s="94"/>
      <c r="I47" s="94"/>
      <c r="J47" s="139"/>
      <c r="K47" s="144"/>
      <c r="L47" s="129"/>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row>
    <row r="48" spans="1:59">
      <c r="A48" s="126"/>
      <c r="C48" s="94"/>
      <c r="D48" s="94"/>
      <c r="E48" s="94"/>
      <c r="F48" s="94"/>
      <c r="G48" s="99"/>
      <c r="H48" s="94"/>
      <c r="I48" s="94"/>
      <c r="J48" s="94"/>
      <c r="K48" s="132"/>
      <c r="L48" s="129" t="s">
        <v>7</v>
      </c>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row>
    <row r="49" spans="11:59">
      <c r="X49" s="73" t="s">
        <v>306</v>
      </c>
    </row>
    <row r="50" spans="11:59">
      <c r="X50" s="73" t="s">
        <v>304</v>
      </c>
    </row>
    <row r="51" spans="11:59">
      <c r="X51" s="156" t="s">
        <v>207</v>
      </c>
    </row>
    <row r="52" spans="11:59">
      <c r="K52" s="126"/>
      <c r="M52" s="94"/>
      <c r="N52" s="94"/>
      <c r="O52" s="94"/>
      <c r="P52" s="94"/>
      <c r="Q52" s="99"/>
      <c r="R52" s="94"/>
      <c r="S52" s="94"/>
      <c r="T52" s="94"/>
      <c r="U52" s="94"/>
      <c r="W52" s="99"/>
      <c r="X52" s="156" t="str">
        <f>I4</f>
        <v>For the 12 months ended: 12/31/2018</v>
      </c>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row>
    <row r="53" spans="11:59">
      <c r="K53" s="126"/>
      <c r="M53" s="95"/>
      <c r="N53" s="94"/>
      <c r="O53" s="94"/>
      <c r="P53" s="94"/>
      <c r="Q53" s="99"/>
      <c r="R53" s="94"/>
      <c r="S53" s="94"/>
      <c r="T53" s="94"/>
      <c r="U53" s="94"/>
      <c r="W53" s="99"/>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row>
    <row r="54" spans="11:59">
      <c r="K54" s="201" t="str">
        <f>A6</f>
        <v>Rate Formula Template</v>
      </c>
      <c r="L54" s="249"/>
      <c r="M54" s="249"/>
      <c r="N54" s="200"/>
      <c r="O54" s="201"/>
      <c r="P54" s="201"/>
      <c r="Q54" s="249"/>
      <c r="R54" s="201"/>
      <c r="S54" s="201"/>
      <c r="T54" s="201"/>
      <c r="U54" s="201"/>
      <c r="V54" s="249"/>
      <c r="W54" s="199"/>
      <c r="X54" s="249"/>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row>
    <row r="55" spans="11:59">
      <c r="K55" s="201" t="str">
        <f>A7</f>
        <v>Utilizing Attachment H-22A Data</v>
      </c>
      <c r="L55" s="249"/>
      <c r="M55" s="200"/>
      <c r="N55" s="200"/>
      <c r="O55" s="201"/>
      <c r="P55" s="201"/>
      <c r="Q55" s="249"/>
      <c r="R55" s="201"/>
      <c r="S55" s="201"/>
      <c r="T55" s="201"/>
      <c r="U55" s="201"/>
      <c r="V55" s="199"/>
      <c r="W55" s="199"/>
      <c r="X55" s="249"/>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row>
    <row r="56" spans="11:59" ht="14.25" customHeight="1">
      <c r="K56" s="248"/>
      <c r="M56" s="94"/>
      <c r="N56" s="94"/>
      <c r="O56" s="94"/>
      <c r="P56" s="94"/>
      <c r="R56" s="201"/>
      <c r="S56" s="94"/>
      <c r="T56" s="94"/>
      <c r="U56" s="94"/>
      <c r="W56" s="99"/>
      <c r="X56" s="94"/>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row>
    <row r="57" spans="11:59">
      <c r="K57" s="201" t="str">
        <f>A9</f>
        <v>DUKE ENERGY KENTUCKY (DEK)</v>
      </c>
      <c r="L57" s="249"/>
      <c r="M57" s="249"/>
      <c r="N57" s="249"/>
      <c r="O57" s="201"/>
      <c r="P57" s="201"/>
      <c r="Q57" s="249"/>
      <c r="R57" s="201"/>
      <c r="S57" s="201"/>
      <c r="T57" s="201"/>
      <c r="U57" s="201"/>
      <c r="V57" s="201"/>
      <c r="W57" s="199"/>
      <c r="X57" s="199"/>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row>
    <row r="58" spans="11:59">
      <c r="K58" s="201" t="str">
        <f>A10</f>
        <v>MTEP - Transmission Enhancement Charges</v>
      </c>
      <c r="L58" s="249"/>
      <c r="M58" s="249"/>
      <c r="N58" s="249"/>
      <c r="O58" s="200"/>
      <c r="P58" s="200"/>
      <c r="Q58" s="200"/>
      <c r="R58" s="200"/>
      <c r="S58" s="200"/>
      <c r="T58" s="200"/>
      <c r="U58" s="200"/>
      <c r="V58" s="200"/>
      <c r="W58" s="200"/>
      <c r="X58" s="200"/>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row>
    <row r="59" spans="11:59">
      <c r="K59" s="126"/>
      <c r="O59" s="95"/>
      <c r="P59" s="95"/>
      <c r="Q59" s="95"/>
      <c r="R59" s="95"/>
      <c r="S59" s="95"/>
      <c r="T59" s="95"/>
      <c r="U59" s="95"/>
      <c r="V59" s="95"/>
      <c r="W59" s="95"/>
      <c r="X59" s="9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row>
    <row r="60" spans="11:59" ht="15.6">
      <c r="K60" s="250" t="s">
        <v>279</v>
      </c>
      <c r="L60" s="249"/>
      <c r="M60" s="201"/>
      <c r="N60" s="201"/>
      <c r="O60" s="249"/>
      <c r="P60" s="250"/>
      <c r="Q60" s="249"/>
      <c r="R60" s="200"/>
      <c r="S60" s="200"/>
      <c r="T60" s="200"/>
      <c r="U60" s="200"/>
      <c r="V60" s="200"/>
      <c r="W60" s="199"/>
      <c r="X60" s="199"/>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row>
    <row r="61" spans="11:59" ht="15.6">
      <c r="K61" s="126"/>
      <c r="M61" s="94"/>
      <c r="N61" s="94"/>
      <c r="O61" s="134"/>
      <c r="P61" s="134"/>
      <c r="R61" s="98"/>
      <c r="S61" s="98"/>
      <c r="T61" s="98"/>
      <c r="U61" s="98"/>
      <c r="V61" s="98"/>
      <c r="W61" s="99"/>
      <c r="X61" s="99"/>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row>
    <row r="62" spans="11:59" ht="15.6">
      <c r="K62" s="126"/>
      <c r="M62" s="157">
        <v>-1</v>
      </c>
      <c r="N62" s="157">
        <v>-2</v>
      </c>
      <c r="O62" s="157">
        <v>-3</v>
      </c>
      <c r="P62" s="157">
        <v>-4</v>
      </c>
      <c r="Q62" s="157">
        <v>-5</v>
      </c>
      <c r="R62" s="157">
        <v>-6</v>
      </c>
      <c r="S62" s="157">
        <v>-7</v>
      </c>
      <c r="T62" s="157">
        <v>-8</v>
      </c>
      <c r="U62" s="157">
        <v>-9</v>
      </c>
      <c r="V62" s="157">
        <v>-10</v>
      </c>
      <c r="W62" s="157">
        <v>-11</v>
      </c>
      <c r="X62" s="157">
        <v>-12</v>
      </c>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row>
    <row r="63" spans="11:59" ht="62.4">
      <c r="K63" s="158" t="s">
        <v>233</v>
      </c>
      <c r="L63" s="159"/>
      <c r="M63" s="159" t="s">
        <v>212</v>
      </c>
      <c r="N63" s="160" t="s">
        <v>234</v>
      </c>
      <c r="O63" s="161" t="s">
        <v>235</v>
      </c>
      <c r="P63" s="161" t="s">
        <v>228</v>
      </c>
      <c r="Q63" s="162" t="s">
        <v>236</v>
      </c>
      <c r="R63" s="161" t="s">
        <v>237</v>
      </c>
      <c r="S63" s="161" t="s">
        <v>232</v>
      </c>
      <c r="T63" s="162" t="s">
        <v>238</v>
      </c>
      <c r="U63" s="161" t="s">
        <v>239</v>
      </c>
      <c r="V63" s="163" t="s">
        <v>240</v>
      </c>
      <c r="W63" s="164" t="s">
        <v>241</v>
      </c>
      <c r="X63" s="163" t="s">
        <v>242</v>
      </c>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row>
    <row r="64" spans="11:59" ht="46.5" customHeight="1">
      <c r="K64" s="165"/>
      <c r="L64" s="166"/>
      <c r="M64" s="166"/>
      <c r="N64" s="166"/>
      <c r="O64" s="167" t="s">
        <v>16</v>
      </c>
      <c r="P64" s="556" t="s">
        <v>767</v>
      </c>
      <c r="Q64" s="168" t="s">
        <v>243</v>
      </c>
      <c r="R64" s="556" t="s">
        <v>17</v>
      </c>
      <c r="S64" s="556" t="s">
        <v>768</v>
      </c>
      <c r="T64" s="168" t="s">
        <v>244</v>
      </c>
      <c r="U64" s="556" t="s">
        <v>245</v>
      </c>
      <c r="V64" s="168" t="s">
        <v>246</v>
      </c>
      <c r="W64" s="169" t="s">
        <v>208</v>
      </c>
      <c r="X64" s="170" t="s">
        <v>247</v>
      </c>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row>
    <row r="65" spans="11:59">
      <c r="K65" s="171"/>
      <c r="L65" s="98"/>
      <c r="M65" s="98"/>
      <c r="N65" s="98"/>
      <c r="O65" s="98"/>
      <c r="P65" s="98"/>
      <c r="Q65" s="172"/>
      <c r="R65" s="98"/>
      <c r="S65" s="98"/>
      <c r="T65" s="172"/>
      <c r="U65" s="98"/>
      <c r="V65" s="172"/>
      <c r="W65" s="99"/>
      <c r="X65" s="173"/>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row>
    <row r="66" spans="11:59">
      <c r="K66" s="174" t="s">
        <v>1</v>
      </c>
      <c r="M66" s="370" t="s">
        <v>248</v>
      </c>
      <c r="N66" s="370" t="s">
        <v>249</v>
      </c>
      <c r="O66" s="225">
        <v>0</v>
      </c>
      <c r="P66" s="140">
        <f>$I$35</f>
        <v>5.5100000000000003E-2</v>
      </c>
      <c r="Q66" s="1108">
        <f>ROUND(O66*P66,0)</f>
        <v>0</v>
      </c>
      <c r="R66" s="175">
        <v>0</v>
      </c>
      <c r="S66" s="140">
        <f>$I$45</f>
        <v>7.3599999999999999E-2</v>
      </c>
      <c r="T66" s="1108">
        <f>ROUND(R66*S66,0)</f>
        <v>0</v>
      </c>
      <c r="U66" s="1109">
        <v>0</v>
      </c>
      <c r="V66" s="1108">
        <f>Q66+T66+U66</f>
        <v>0</v>
      </c>
      <c r="W66" s="177">
        <v>0</v>
      </c>
      <c r="X66" s="1108">
        <f>V66+W66</f>
        <v>0</v>
      </c>
    </row>
    <row r="67" spans="11:59">
      <c r="K67" s="174" t="s">
        <v>250</v>
      </c>
      <c r="M67" s="370" t="s">
        <v>251</v>
      </c>
      <c r="N67" s="370" t="s">
        <v>252</v>
      </c>
      <c r="O67" s="225">
        <v>0</v>
      </c>
      <c r="P67" s="140">
        <f>$I$35</f>
        <v>5.5100000000000003E-2</v>
      </c>
      <c r="Q67" s="1108">
        <f t="shared" ref="Q67:Q68" si="0">ROUND(O67*P67,0)</f>
        <v>0</v>
      </c>
      <c r="R67" s="175">
        <v>0</v>
      </c>
      <c r="S67" s="140">
        <f>$I$45</f>
        <v>7.3599999999999999E-2</v>
      </c>
      <c r="T67" s="1108">
        <f t="shared" ref="T67:T68" si="1">ROUND(R67*S67,0)</f>
        <v>0</v>
      </c>
      <c r="U67" s="1109">
        <v>0</v>
      </c>
      <c r="V67" s="1108">
        <f>Q67+T67+U67</f>
        <v>0</v>
      </c>
      <c r="W67" s="177">
        <v>0</v>
      </c>
      <c r="X67" s="1108">
        <f>V67+W67</f>
        <v>0</v>
      </c>
    </row>
    <row r="68" spans="11:59">
      <c r="K68" s="174" t="s">
        <v>253</v>
      </c>
      <c r="M68" s="370" t="s">
        <v>254</v>
      </c>
      <c r="N68" s="370" t="s">
        <v>255</v>
      </c>
      <c r="O68" s="225">
        <v>0</v>
      </c>
      <c r="P68" s="140">
        <f>$I$35</f>
        <v>5.5100000000000003E-2</v>
      </c>
      <c r="Q68" s="1108">
        <f t="shared" si="0"/>
        <v>0</v>
      </c>
      <c r="R68" s="175">
        <v>0</v>
      </c>
      <c r="S68" s="140">
        <f>$I$45</f>
        <v>7.3599999999999999E-2</v>
      </c>
      <c r="T68" s="1108">
        <f t="shared" si="1"/>
        <v>0</v>
      </c>
      <c r="U68" s="1109">
        <v>0</v>
      </c>
      <c r="V68" s="1108">
        <f>Q68+T68+U68</f>
        <v>0</v>
      </c>
      <c r="W68" s="175">
        <v>0</v>
      </c>
      <c r="X68" s="1108">
        <f>V68+W68</f>
        <v>0</v>
      </c>
    </row>
    <row r="69" spans="11:59">
      <c r="K69" s="174"/>
      <c r="Q69" s="176"/>
      <c r="T69" s="176"/>
      <c r="V69" s="176"/>
      <c r="X69" s="176"/>
    </row>
    <row r="70" spans="11:59">
      <c r="K70" s="174"/>
      <c r="Q70" s="176"/>
      <c r="T70" s="176"/>
      <c r="V70" s="176"/>
      <c r="X70" s="176"/>
    </row>
    <row r="71" spans="11:59">
      <c r="K71" s="174"/>
      <c r="Q71" s="176"/>
      <c r="T71" s="176"/>
      <c r="V71" s="176"/>
      <c r="X71" s="176"/>
    </row>
    <row r="72" spans="11:59">
      <c r="K72" s="174"/>
      <c r="Q72" s="176"/>
      <c r="T72" s="176"/>
      <c r="V72" s="176"/>
      <c r="X72" s="176"/>
    </row>
    <row r="73" spans="11:59">
      <c r="K73" s="174"/>
      <c r="Q73" s="176"/>
      <c r="T73" s="176"/>
      <c r="V73" s="176"/>
      <c r="X73" s="176"/>
    </row>
    <row r="74" spans="11:59">
      <c r="K74" s="174"/>
      <c r="M74" s="178"/>
      <c r="N74" s="178"/>
      <c r="O74" s="178"/>
      <c r="P74" s="178"/>
      <c r="Q74" s="179"/>
      <c r="R74" s="178"/>
      <c r="S74" s="178"/>
      <c r="T74" s="179"/>
      <c r="U74" s="178"/>
      <c r="V74" s="179"/>
      <c r="W74" s="178"/>
      <c r="X74" s="179"/>
    </row>
    <row r="75" spans="11:59">
      <c r="K75" s="174"/>
      <c r="M75" s="178"/>
      <c r="N75" s="178"/>
      <c r="O75" s="178"/>
      <c r="P75" s="178"/>
      <c r="Q75" s="179"/>
      <c r="R75" s="178"/>
      <c r="S75" s="178"/>
      <c r="T75" s="179"/>
      <c r="U75" s="178"/>
      <c r="V75" s="179"/>
      <c r="W75" s="178"/>
      <c r="X75" s="179"/>
    </row>
    <row r="76" spans="11:59">
      <c r="K76" s="174"/>
      <c r="M76" s="178"/>
      <c r="N76" s="178"/>
      <c r="O76" s="178"/>
      <c r="P76" s="178"/>
      <c r="Q76" s="179"/>
      <c r="R76" s="178"/>
      <c r="S76" s="178"/>
      <c r="T76" s="179"/>
      <c r="U76" s="178"/>
      <c r="V76" s="179"/>
      <c r="W76" s="178"/>
      <c r="X76" s="179"/>
    </row>
    <row r="77" spans="11:59">
      <c r="K77" s="174"/>
      <c r="M77" s="178"/>
      <c r="N77" s="178"/>
      <c r="O77" s="178"/>
      <c r="P77" s="178"/>
      <c r="Q77" s="179"/>
      <c r="R77" s="178"/>
      <c r="S77" s="178"/>
      <c r="T77" s="179"/>
      <c r="U77" s="178"/>
      <c r="V77" s="179"/>
      <c r="W77" s="178"/>
      <c r="X77" s="179"/>
    </row>
    <row r="78" spans="11:59">
      <c r="K78" s="174"/>
      <c r="M78" s="178"/>
      <c r="N78" s="178"/>
      <c r="O78" s="178"/>
      <c r="P78" s="178"/>
      <c r="Q78" s="179"/>
      <c r="R78" s="178"/>
      <c r="S78" s="178"/>
      <c r="T78" s="179"/>
      <c r="U78" s="178"/>
      <c r="V78" s="179"/>
      <c r="W78" s="178"/>
      <c r="X78" s="179"/>
    </row>
    <row r="79" spans="11:59">
      <c r="K79" s="174"/>
      <c r="M79" s="178"/>
      <c r="N79" s="178"/>
      <c r="O79" s="178"/>
      <c r="P79" s="178"/>
      <c r="Q79" s="179"/>
      <c r="R79" s="178"/>
      <c r="S79" s="178"/>
      <c r="T79" s="179"/>
      <c r="U79" s="178"/>
      <c r="V79" s="179"/>
      <c r="W79" s="178"/>
      <c r="X79" s="179"/>
    </row>
    <row r="80" spans="11:59">
      <c r="K80" s="174"/>
      <c r="M80" s="178"/>
      <c r="N80" s="178"/>
      <c r="O80" s="178"/>
      <c r="P80" s="178"/>
      <c r="Q80" s="179"/>
      <c r="R80" s="178"/>
      <c r="S80" s="178"/>
      <c r="T80" s="179"/>
      <c r="U80" s="178"/>
      <c r="V80" s="179"/>
      <c r="W80" s="178"/>
      <c r="X80" s="179"/>
    </row>
    <row r="81" spans="11:24">
      <c r="K81" s="174"/>
      <c r="M81" s="178"/>
      <c r="N81" s="178"/>
      <c r="O81" s="178"/>
      <c r="P81" s="178"/>
      <c r="Q81" s="179"/>
      <c r="R81" s="178"/>
      <c r="S81" s="178"/>
      <c r="T81" s="179"/>
      <c r="U81" s="178"/>
      <c r="V81" s="179"/>
      <c r="W81" s="178"/>
      <c r="X81" s="179"/>
    </row>
    <row r="82" spans="11:24">
      <c r="K82" s="174"/>
      <c r="M82" s="178"/>
      <c r="N82" s="178"/>
      <c r="O82" s="178"/>
      <c r="P82" s="178"/>
      <c r="Q82" s="179"/>
      <c r="R82" s="178"/>
      <c r="S82" s="178"/>
      <c r="T82" s="179"/>
      <c r="U82" s="178"/>
      <c r="V82" s="179"/>
      <c r="W82" s="178"/>
      <c r="X82" s="179"/>
    </row>
    <row r="83" spans="11:24">
      <c r="K83" s="174"/>
      <c r="M83" s="178"/>
      <c r="N83" s="178"/>
      <c r="O83" s="178"/>
      <c r="P83" s="178"/>
      <c r="Q83" s="179"/>
      <c r="R83" s="178"/>
      <c r="S83" s="178"/>
      <c r="T83" s="179"/>
      <c r="U83" s="178"/>
      <c r="V83" s="179"/>
      <c r="W83" s="178"/>
      <c r="X83" s="179"/>
    </row>
    <row r="84" spans="11:24">
      <c r="K84" s="174"/>
      <c r="M84" s="178"/>
      <c r="N84" s="178"/>
      <c r="O84" s="178"/>
      <c r="P84" s="178"/>
      <c r="Q84" s="179"/>
      <c r="R84" s="178"/>
      <c r="S84" s="178"/>
      <c r="T84" s="179"/>
      <c r="U84" s="178"/>
      <c r="V84" s="179"/>
      <c r="W84" s="178"/>
      <c r="X84" s="179"/>
    </row>
    <row r="85" spans="11:24">
      <c r="K85" s="180"/>
      <c r="L85" s="181"/>
      <c r="M85" s="182"/>
      <c r="N85" s="182"/>
      <c r="O85" s="182"/>
      <c r="P85" s="182"/>
      <c r="Q85" s="183"/>
      <c r="R85" s="182"/>
      <c r="S85" s="182"/>
      <c r="T85" s="183"/>
      <c r="U85" s="182"/>
      <c r="V85" s="183"/>
      <c r="W85" s="182"/>
      <c r="X85" s="183"/>
    </row>
    <row r="86" spans="11:24">
      <c r="K86" s="128" t="s">
        <v>256</v>
      </c>
      <c r="L86" s="150"/>
      <c r="M86" s="95" t="s">
        <v>257</v>
      </c>
      <c r="N86" s="95"/>
      <c r="O86" s="101"/>
      <c r="P86" s="101"/>
      <c r="Q86" s="99"/>
      <c r="R86" s="99"/>
      <c r="S86" s="99"/>
      <c r="T86" s="99"/>
      <c r="U86" s="99"/>
      <c r="V86" s="989">
        <f>SUM(V66:V85)</f>
        <v>0</v>
      </c>
      <c r="W86" s="989">
        <f>SUM(W66:W85)</f>
        <v>0</v>
      </c>
      <c r="X86" s="989">
        <f>SUM(X66:X85)</f>
        <v>0</v>
      </c>
    </row>
    <row r="87" spans="11:24">
      <c r="K87" s="89"/>
      <c r="L87" s="178"/>
      <c r="M87" s="178"/>
      <c r="N87" s="178"/>
      <c r="O87" s="178"/>
      <c r="P87" s="178"/>
      <c r="Q87" s="178"/>
      <c r="R87" s="178"/>
      <c r="S87" s="178"/>
      <c r="T87" s="178"/>
      <c r="U87" s="178"/>
      <c r="V87" s="1107"/>
      <c r="W87" s="1107"/>
      <c r="X87" s="1107"/>
    </row>
    <row r="88" spans="11:24">
      <c r="K88" s="184">
        <v>3</v>
      </c>
      <c r="L88" s="178"/>
      <c r="M88" s="559" t="str">
        <f>'Appx C - DEOK(MTEP)'!D40</f>
        <v>MTEP Transmission Enhancement Charges</v>
      </c>
      <c r="N88" s="178"/>
      <c r="O88" s="178"/>
      <c r="P88" s="178"/>
      <c r="Q88" s="178"/>
      <c r="R88" s="178"/>
      <c r="S88" s="178"/>
      <c r="T88" s="178"/>
      <c r="U88" s="178"/>
      <c r="V88" s="989"/>
      <c r="W88" s="1107"/>
      <c r="X88" s="989">
        <f>X86</f>
        <v>0</v>
      </c>
    </row>
    <row r="89" spans="11:24">
      <c r="K89" s="178"/>
      <c r="L89" s="178"/>
      <c r="M89" s="178"/>
      <c r="N89" s="178"/>
      <c r="O89" s="178"/>
      <c r="P89" s="178"/>
      <c r="Q89" s="178"/>
      <c r="R89" s="178"/>
      <c r="S89" s="178"/>
      <c r="T89" s="178"/>
      <c r="U89" s="178"/>
      <c r="V89" s="178"/>
      <c r="W89" s="178"/>
      <c r="X89" s="178"/>
    </row>
    <row r="90" spans="11:24">
      <c r="K90" s="178"/>
      <c r="L90" s="178"/>
      <c r="M90" s="178"/>
      <c r="N90" s="178"/>
      <c r="O90" s="178"/>
      <c r="P90" s="178"/>
      <c r="Q90" s="178"/>
      <c r="R90" s="178"/>
      <c r="S90" s="178"/>
      <c r="T90" s="178"/>
      <c r="U90" s="178"/>
      <c r="V90" s="178"/>
      <c r="W90" s="178"/>
      <c r="X90" s="178"/>
    </row>
    <row r="91" spans="11:24">
      <c r="K91" s="552" t="s">
        <v>94</v>
      </c>
      <c r="L91" s="178"/>
      <c r="M91" s="178"/>
      <c r="N91" s="178"/>
      <c r="O91" s="178"/>
      <c r="P91" s="178"/>
      <c r="Q91" s="178"/>
      <c r="R91" s="178"/>
      <c r="S91" s="178"/>
      <c r="T91" s="178"/>
      <c r="U91" s="178"/>
      <c r="V91" s="178"/>
      <c r="W91" s="178"/>
      <c r="X91" s="178"/>
    </row>
    <row r="92" spans="11:24" ht="15.6" thickBot="1">
      <c r="K92" s="970" t="s">
        <v>95</v>
      </c>
      <c r="L92" s="178"/>
      <c r="M92" s="178"/>
      <c r="N92" s="178"/>
      <c r="O92" s="178"/>
      <c r="P92" s="178"/>
      <c r="Q92" s="178"/>
      <c r="R92" s="178"/>
      <c r="S92" s="178"/>
      <c r="T92" s="178"/>
      <c r="U92" s="178"/>
      <c r="V92" s="178"/>
      <c r="W92" s="178"/>
      <c r="X92" s="178"/>
    </row>
    <row r="93" spans="11:24">
      <c r="K93" s="185" t="s">
        <v>96</v>
      </c>
      <c r="L93" s="97"/>
      <c r="M93" s="1189" t="s">
        <v>608</v>
      </c>
      <c r="N93" s="1190"/>
      <c r="O93" s="1190"/>
      <c r="P93" s="1190"/>
      <c r="Q93" s="1190"/>
      <c r="R93" s="1190"/>
      <c r="S93" s="1190"/>
      <c r="T93" s="1190"/>
      <c r="U93" s="1190"/>
      <c r="V93" s="1190"/>
      <c r="W93" s="1190"/>
      <c r="X93" s="1190"/>
    </row>
    <row r="94" spans="11:24">
      <c r="K94" s="185" t="s">
        <v>97</v>
      </c>
      <c r="L94" s="97"/>
      <c r="M94" s="1189" t="s">
        <v>609</v>
      </c>
      <c r="N94" s="1190"/>
      <c r="O94" s="1190"/>
      <c r="P94" s="1190"/>
      <c r="Q94" s="1190"/>
      <c r="R94" s="1190"/>
      <c r="S94" s="1190"/>
      <c r="T94" s="1190"/>
      <c r="U94" s="1190"/>
      <c r="V94" s="1190"/>
      <c r="W94" s="1190"/>
      <c r="X94" s="1190"/>
    </row>
    <row r="95" spans="11:24" ht="27.75" customHeight="1">
      <c r="K95" s="186" t="s">
        <v>98</v>
      </c>
      <c r="L95" s="97"/>
      <c r="M95" s="1191" t="s">
        <v>258</v>
      </c>
      <c r="N95" s="1191"/>
      <c r="O95" s="1191"/>
      <c r="P95" s="1191"/>
      <c r="Q95" s="1191"/>
      <c r="R95" s="1191"/>
      <c r="S95" s="1191"/>
      <c r="T95" s="1191"/>
      <c r="U95" s="1191"/>
      <c r="V95" s="1191"/>
      <c r="W95" s="1191"/>
      <c r="X95" s="1191"/>
    </row>
    <row r="96" spans="11:24" ht="15" customHeight="1">
      <c r="K96" s="186" t="s">
        <v>99</v>
      </c>
      <c r="L96" s="97"/>
      <c r="M96" s="1191" t="s">
        <v>259</v>
      </c>
      <c r="N96" s="1191"/>
      <c r="O96" s="1191"/>
      <c r="P96" s="1191"/>
      <c r="Q96" s="1191"/>
      <c r="R96" s="1191"/>
      <c r="S96" s="1191"/>
      <c r="T96" s="1191"/>
      <c r="U96" s="1191"/>
      <c r="V96" s="1191"/>
      <c r="W96" s="1191"/>
      <c r="X96" s="1191"/>
    </row>
    <row r="97" spans="11:24">
      <c r="K97" s="185" t="s">
        <v>100</v>
      </c>
      <c r="L97" s="97"/>
      <c r="M97" s="1190" t="s">
        <v>322</v>
      </c>
      <c r="N97" s="1190"/>
      <c r="O97" s="1190"/>
      <c r="P97" s="1190"/>
      <c r="Q97" s="1190"/>
      <c r="R97" s="1190"/>
      <c r="S97" s="1190"/>
      <c r="T97" s="1190"/>
      <c r="U97" s="1190"/>
      <c r="V97" s="1190"/>
      <c r="W97" s="1190"/>
      <c r="X97" s="1190"/>
    </row>
    <row r="98" spans="11:24">
      <c r="K98" s="185" t="s">
        <v>101</v>
      </c>
      <c r="L98" s="97"/>
      <c r="M98" s="1190" t="s">
        <v>260</v>
      </c>
      <c r="N98" s="1190"/>
      <c r="O98" s="1190"/>
      <c r="P98" s="1190"/>
      <c r="Q98" s="1190"/>
      <c r="R98" s="1190"/>
      <c r="S98" s="1190"/>
      <c r="T98" s="1190"/>
      <c r="U98" s="1190"/>
      <c r="V98" s="1190"/>
      <c r="W98" s="1190"/>
      <c r="X98" s="1190"/>
    </row>
    <row r="99" spans="11:24">
      <c r="K99" s="185" t="s">
        <v>102</v>
      </c>
      <c r="L99" s="97"/>
      <c r="M99" s="1190" t="s">
        <v>261</v>
      </c>
      <c r="N99" s="1190"/>
      <c r="O99" s="1190"/>
      <c r="P99" s="1190"/>
      <c r="Q99" s="1190"/>
      <c r="R99" s="1190"/>
      <c r="S99" s="1190"/>
      <c r="T99" s="1190"/>
      <c r="U99" s="1190"/>
      <c r="V99" s="1190"/>
      <c r="W99" s="1190"/>
      <c r="X99" s="1190"/>
    </row>
    <row r="100" spans="11:24">
      <c r="K100" s="358" t="s">
        <v>104</v>
      </c>
      <c r="L100" s="125"/>
      <c r="M100" s="1189" t="s">
        <v>346</v>
      </c>
      <c r="N100" s="1189"/>
      <c r="O100" s="1189"/>
      <c r="P100" s="1189"/>
      <c r="Q100" s="1189"/>
      <c r="R100" s="1189"/>
      <c r="S100" s="1189"/>
      <c r="T100" s="1189"/>
      <c r="U100" s="1189"/>
      <c r="V100" s="1189"/>
      <c r="W100" s="1189"/>
      <c r="X100" s="1189"/>
    </row>
    <row r="101" spans="11:24" ht="15.6">
      <c r="K101" s="153"/>
      <c r="L101" s="187"/>
      <c r="M101" s="188"/>
      <c r="N101" s="149"/>
      <c r="O101" s="101"/>
      <c r="P101" s="101"/>
      <c r="Q101" s="99"/>
      <c r="R101" s="94"/>
      <c r="S101" s="94"/>
      <c r="T101" s="139"/>
      <c r="U101" s="94"/>
      <c r="W101" s="99"/>
      <c r="X101" s="154"/>
    </row>
    <row r="102" spans="11:24" ht="15.6">
      <c r="K102" s="153"/>
      <c r="L102" s="187"/>
      <c r="M102" s="188"/>
      <c r="N102" s="149"/>
      <c r="O102" s="101"/>
      <c r="P102" s="101"/>
      <c r="Q102" s="99"/>
      <c r="R102" s="94"/>
      <c r="S102" s="94"/>
      <c r="T102" s="139"/>
      <c r="U102" s="94"/>
      <c r="W102" s="99"/>
      <c r="X102" s="141"/>
    </row>
    <row r="103" spans="11:24">
      <c r="M103" s="178"/>
      <c r="N103" s="178"/>
      <c r="O103" s="178"/>
      <c r="P103" s="178"/>
      <c r="Q103" s="178"/>
      <c r="R103" s="178"/>
      <c r="S103" s="178"/>
      <c r="T103" s="178"/>
      <c r="U103" s="178"/>
      <c r="V103" s="178"/>
      <c r="W103" s="178"/>
      <c r="X103" s="178"/>
    </row>
    <row r="104" spans="11:24">
      <c r="M104" s="178"/>
      <c r="N104" s="178"/>
      <c r="O104" s="178"/>
      <c r="P104" s="178"/>
      <c r="Q104" s="178"/>
      <c r="R104" s="178"/>
      <c r="S104" s="178"/>
      <c r="T104" s="178"/>
      <c r="U104" s="178"/>
      <c r="V104" s="178"/>
      <c r="W104" s="178"/>
      <c r="X104" s="178"/>
    </row>
    <row r="105" spans="11:24">
      <c r="M105" s="178"/>
      <c r="N105" s="178"/>
      <c r="O105" s="178"/>
      <c r="P105" s="178"/>
      <c r="Q105" s="178"/>
      <c r="R105" s="178"/>
      <c r="S105" s="178"/>
      <c r="T105" s="178"/>
      <c r="U105" s="178"/>
      <c r="V105" s="178"/>
      <c r="W105" s="178"/>
      <c r="X105" s="178"/>
    </row>
    <row r="106" spans="11:24">
      <c r="M106" s="178"/>
      <c r="N106" s="178"/>
      <c r="O106" s="178"/>
      <c r="P106" s="178"/>
      <c r="Q106" s="178"/>
      <c r="R106" s="178"/>
      <c r="S106" s="178"/>
      <c r="T106" s="178"/>
      <c r="U106" s="178"/>
      <c r="V106" s="178"/>
      <c r="W106" s="178"/>
      <c r="X106" s="178"/>
    </row>
    <row r="107" spans="11:24">
      <c r="M107" s="178"/>
      <c r="N107" s="178"/>
      <c r="O107" s="178"/>
      <c r="P107" s="178"/>
      <c r="Q107" s="178"/>
      <c r="R107" s="178"/>
      <c r="S107" s="178"/>
      <c r="T107" s="178"/>
      <c r="U107" s="178"/>
      <c r="V107" s="178"/>
      <c r="W107" s="178"/>
      <c r="X107" s="178"/>
    </row>
    <row r="108" spans="11:24">
      <c r="M108" s="178"/>
      <c r="N108" s="178"/>
      <c r="O108" s="178"/>
      <c r="P108" s="178"/>
      <c r="Q108" s="178"/>
      <c r="R108" s="178"/>
      <c r="S108" s="178"/>
      <c r="T108" s="178"/>
      <c r="U108" s="178"/>
      <c r="V108" s="178"/>
      <c r="W108" s="178"/>
      <c r="X108" s="178"/>
    </row>
    <row r="109" spans="11:24">
      <c r="M109" s="178"/>
      <c r="N109" s="178"/>
      <c r="O109" s="178"/>
      <c r="P109" s="178"/>
      <c r="Q109" s="178"/>
      <c r="R109" s="178"/>
      <c r="S109" s="178"/>
      <c r="T109" s="178"/>
      <c r="U109" s="178"/>
      <c r="V109" s="178"/>
      <c r="W109" s="178"/>
      <c r="X109" s="178"/>
    </row>
    <row r="110" spans="11:24">
      <c r="M110" s="178"/>
      <c r="N110" s="178"/>
      <c r="O110" s="178"/>
      <c r="P110" s="178"/>
      <c r="Q110" s="178"/>
      <c r="R110" s="178"/>
      <c r="S110" s="178"/>
      <c r="T110" s="178"/>
      <c r="U110" s="178"/>
      <c r="V110" s="178"/>
      <c r="W110" s="178"/>
      <c r="X110" s="178"/>
    </row>
    <row r="111" spans="11:24">
      <c r="M111" s="178"/>
      <c r="N111" s="178"/>
      <c r="O111" s="178"/>
      <c r="P111" s="178"/>
      <c r="Q111" s="178"/>
      <c r="R111" s="178"/>
      <c r="S111" s="178"/>
      <c r="T111" s="178"/>
      <c r="U111" s="178"/>
      <c r="V111" s="178"/>
      <c r="W111" s="178"/>
      <c r="X111" s="178"/>
    </row>
    <row r="112" spans="11:24">
      <c r="M112" s="178"/>
      <c r="N112" s="178"/>
      <c r="O112" s="178"/>
      <c r="P112" s="178"/>
      <c r="Q112" s="178"/>
      <c r="R112" s="178"/>
      <c r="S112" s="178"/>
      <c r="T112" s="178"/>
      <c r="U112" s="178"/>
      <c r="V112" s="178"/>
      <c r="W112" s="178"/>
      <c r="X112" s="178"/>
    </row>
    <row r="113" spans="13:24">
      <c r="M113" s="178"/>
      <c r="N113" s="178"/>
      <c r="O113" s="178"/>
      <c r="P113" s="178"/>
      <c r="Q113" s="178"/>
      <c r="R113" s="178"/>
      <c r="S113" s="178"/>
      <c r="T113" s="178"/>
      <c r="U113" s="178"/>
      <c r="V113" s="178"/>
      <c r="W113" s="178"/>
      <c r="X113" s="178"/>
    </row>
    <row r="114" spans="13:24">
      <c r="M114" s="178"/>
      <c r="N114" s="178"/>
      <c r="O114" s="178"/>
      <c r="P114" s="178"/>
      <c r="Q114" s="178"/>
      <c r="R114" s="178"/>
      <c r="S114" s="178"/>
      <c r="T114" s="178"/>
      <c r="U114" s="178"/>
      <c r="V114" s="178"/>
      <c r="W114" s="178"/>
      <c r="X114" s="178"/>
    </row>
    <row r="115" spans="13:24">
      <c r="M115" s="178"/>
      <c r="N115" s="178"/>
      <c r="O115" s="178"/>
      <c r="P115" s="178"/>
      <c r="Q115" s="178"/>
      <c r="R115" s="178"/>
      <c r="S115" s="178"/>
      <c r="T115" s="178"/>
      <c r="U115" s="178"/>
      <c r="V115" s="178"/>
      <c r="W115" s="178"/>
      <c r="X115" s="178"/>
    </row>
    <row r="116" spans="13:24">
      <c r="M116" s="178"/>
      <c r="N116" s="178"/>
      <c r="O116" s="178"/>
      <c r="P116" s="178"/>
      <c r="Q116" s="178"/>
      <c r="R116" s="178"/>
      <c r="S116" s="178"/>
      <c r="T116" s="178"/>
      <c r="U116" s="178"/>
      <c r="V116" s="178"/>
      <c r="W116" s="178"/>
      <c r="X116" s="178"/>
    </row>
    <row r="117" spans="13:24">
      <c r="M117" s="178"/>
      <c r="N117" s="178"/>
      <c r="O117" s="178"/>
      <c r="P117" s="178"/>
      <c r="Q117" s="178"/>
      <c r="R117" s="178"/>
      <c r="S117" s="178"/>
      <c r="T117" s="178"/>
      <c r="U117" s="178"/>
      <c r="V117" s="178"/>
      <c r="W117" s="178"/>
      <c r="X117" s="178"/>
    </row>
    <row r="118" spans="13:24">
      <c r="M118" s="178"/>
      <c r="N118" s="178"/>
      <c r="O118" s="178"/>
      <c r="P118" s="178"/>
      <c r="Q118" s="178"/>
      <c r="R118" s="178"/>
      <c r="S118" s="178"/>
      <c r="T118" s="178"/>
      <c r="U118" s="178"/>
      <c r="V118" s="178"/>
      <c r="W118" s="178"/>
      <c r="X118" s="178"/>
    </row>
    <row r="119" spans="13:24">
      <c r="M119" s="178"/>
      <c r="N119" s="178"/>
      <c r="O119" s="178"/>
      <c r="P119" s="178"/>
      <c r="Q119" s="178"/>
      <c r="R119" s="178"/>
      <c r="S119" s="178"/>
      <c r="T119" s="178"/>
      <c r="U119" s="178"/>
      <c r="V119" s="178"/>
      <c r="W119" s="178"/>
      <c r="X119" s="178"/>
    </row>
    <row r="120" spans="13:24">
      <c r="M120" s="178"/>
      <c r="N120" s="178"/>
      <c r="O120" s="178"/>
      <c r="P120" s="178"/>
      <c r="Q120" s="178"/>
      <c r="R120" s="178"/>
      <c r="S120" s="178"/>
      <c r="T120" s="178"/>
      <c r="U120" s="178"/>
      <c r="V120" s="178"/>
      <c r="W120" s="178"/>
      <c r="X120" s="178"/>
    </row>
    <row r="121" spans="13:24">
      <c r="M121" s="178"/>
      <c r="N121" s="178"/>
      <c r="O121" s="178"/>
      <c r="P121" s="178"/>
      <c r="Q121" s="178"/>
      <c r="R121" s="178"/>
      <c r="S121" s="178"/>
      <c r="T121" s="178"/>
      <c r="U121" s="178"/>
      <c r="V121" s="178"/>
      <c r="W121" s="178"/>
      <c r="X121" s="178"/>
    </row>
    <row r="122" spans="13:24">
      <c r="M122" s="178"/>
      <c r="N122" s="178"/>
      <c r="O122" s="178"/>
      <c r="P122" s="178"/>
      <c r="Q122" s="178"/>
      <c r="R122" s="178"/>
      <c r="S122" s="178"/>
      <c r="T122" s="178"/>
      <c r="U122" s="178"/>
      <c r="V122" s="178"/>
      <c r="W122" s="178"/>
      <c r="X122" s="178"/>
    </row>
    <row r="123" spans="13:24">
      <c r="M123" s="178"/>
      <c r="N123" s="178"/>
      <c r="O123" s="178"/>
      <c r="P123" s="178"/>
      <c r="Q123" s="178"/>
      <c r="R123" s="178"/>
      <c r="S123" s="178"/>
      <c r="T123" s="178"/>
      <c r="U123" s="178"/>
      <c r="V123" s="178"/>
      <c r="W123" s="178"/>
      <c r="X123" s="178"/>
    </row>
    <row r="124" spans="13:24">
      <c r="M124" s="178"/>
      <c r="N124" s="178"/>
      <c r="O124" s="178"/>
      <c r="P124" s="178"/>
      <c r="Q124" s="178"/>
      <c r="R124" s="178"/>
      <c r="S124" s="178"/>
      <c r="T124" s="178"/>
      <c r="U124" s="178"/>
      <c r="V124" s="178"/>
      <c r="W124" s="178"/>
      <c r="X124" s="178"/>
    </row>
    <row r="125" spans="13:24">
      <c r="M125" s="178"/>
      <c r="N125" s="178"/>
      <c r="O125" s="178"/>
      <c r="P125" s="178"/>
      <c r="Q125" s="178"/>
      <c r="R125" s="178"/>
      <c r="S125" s="178"/>
      <c r="T125" s="178"/>
      <c r="U125" s="178"/>
      <c r="V125" s="178"/>
      <c r="W125" s="178"/>
      <c r="X125" s="178"/>
    </row>
    <row r="126" spans="13:24">
      <c r="M126" s="178"/>
      <c r="N126" s="178"/>
      <c r="O126" s="178"/>
      <c r="P126" s="178"/>
      <c r="Q126" s="178"/>
      <c r="R126" s="178"/>
      <c r="S126" s="178"/>
      <c r="T126" s="178"/>
      <c r="U126" s="178"/>
      <c r="V126" s="178"/>
      <c r="W126" s="178"/>
      <c r="X126" s="178"/>
    </row>
    <row r="127" spans="13:24">
      <c r="M127" s="178"/>
      <c r="N127" s="178"/>
      <c r="O127" s="178"/>
      <c r="P127" s="178"/>
      <c r="Q127" s="178"/>
      <c r="R127" s="178"/>
      <c r="S127" s="178"/>
      <c r="T127" s="178"/>
      <c r="U127" s="178"/>
      <c r="V127" s="178"/>
      <c r="W127" s="178"/>
      <c r="X127" s="178"/>
    </row>
    <row r="128" spans="13:24">
      <c r="M128" s="178"/>
      <c r="N128" s="178"/>
      <c r="O128" s="178"/>
      <c r="P128" s="178"/>
      <c r="Q128" s="178"/>
      <c r="R128" s="178"/>
      <c r="S128" s="178"/>
      <c r="T128" s="178"/>
      <c r="U128" s="178"/>
      <c r="V128" s="178"/>
      <c r="W128" s="178"/>
      <c r="X128" s="178"/>
    </row>
    <row r="129" spans="3:24">
      <c r="M129" s="178"/>
      <c r="N129" s="178"/>
      <c r="O129" s="178"/>
      <c r="P129" s="178"/>
      <c r="Q129" s="178"/>
      <c r="R129" s="178"/>
      <c r="S129" s="178"/>
      <c r="T129" s="178"/>
      <c r="U129" s="178"/>
      <c r="V129" s="178"/>
      <c r="W129" s="178"/>
      <c r="X129" s="178"/>
    </row>
    <row r="130" spans="3:24">
      <c r="C130" s="178"/>
      <c r="D130" s="178"/>
      <c r="E130" s="178"/>
      <c r="F130" s="178"/>
      <c r="G130" s="178"/>
      <c r="H130" s="178"/>
      <c r="I130" s="178"/>
      <c r="J130" s="178"/>
      <c r="K130" s="178"/>
      <c r="L130" s="178"/>
      <c r="M130" s="178"/>
      <c r="N130" s="178"/>
      <c r="O130" s="178"/>
    </row>
    <row r="131" spans="3:24">
      <c r="C131" s="178"/>
      <c r="D131" s="178"/>
      <c r="E131" s="178"/>
      <c r="F131" s="178"/>
      <c r="G131" s="178"/>
      <c r="H131" s="178"/>
      <c r="I131" s="178"/>
      <c r="J131" s="178"/>
      <c r="K131" s="178"/>
      <c r="L131" s="178"/>
      <c r="M131" s="178"/>
      <c r="N131" s="178"/>
      <c r="O131" s="178"/>
    </row>
    <row r="132" spans="3:24">
      <c r="C132" s="178"/>
      <c r="D132" s="178"/>
      <c r="E132" s="178"/>
      <c r="F132" s="178"/>
      <c r="G132" s="178"/>
      <c r="H132" s="178"/>
      <c r="I132" s="178"/>
      <c r="J132" s="178"/>
      <c r="K132" s="178"/>
      <c r="L132" s="178"/>
      <c r="M132" s="178"/>
      <c r="N132" s="178"/>
      <c r="O132" s="178"/>
    </row>
    <row r="133" spans="3:24">
      <c r="C133" s="178"/>
      <c r="D133" s="178"/>
      <c r="E133" s="178"/>
      <c r="F133" s="178"/>
      <c r="G133" s="178"/>
      <c r="H133" s="178"/>
      <c r="I133" s="178"/>
      <c r="J133" s="178"/>
      <c r="K133" s="178"/>
      <c r="L133" s="178"/>
      <c r="M133" s="178"/>
      <c r="N133" s="178"/>
      <c r="O133" s="178"/>
    </row>
    <row r="134" spans="3:24">
      <c r="C134" s="178"/>
      <c r="D134" s="178"/>
      <c r="E134" s="178"/>
      <c r="F134" s="178"/>
      <c r="G134" s="178"/>
      <c r="H134" s="178"/>
      <c r="I134" s="178"/>
      <c r="J134" s="178"/>
      <c r="K134" s="178"/>
      <c r="L134" s="178"/>
      <c r="M134" s="178"/>
      <c r="N134" s="178"/>
      <c r="O134" s="178"/>
    </row>
    <row r="135" spans="3:24">
      <c r="C135" s="178"/>
      <c r="D135" s="178"/>
      <c r="E135" s="178"/>
      <c r="F135" s="178"/>
      <c r="G135" s="178"/>
      <c r="H135" s="178"/>
      <c r="I135" s="178"/>
      <c r="J135" s="178"/>
      <c r="K135" s="178"/>
      <c r="L135" s="178"/>
      <c r="M135" s="178"/>
      <c r="N135" s="178"/>
      <c r="O135" s="178"/>
    </row>
    <row r="136" spans="3:24">
      <c r="C136" s="178"/>
      <c r="D136" s="178"/>
      <c r="E136" s="178"/>
      <c r="F136" s="178"/>
      <c r="G136" s="178"/>
      <c r="H136" s="178"/>
      <c r="I136" s="178"/>
      <c r="J136" s="178"/>
      <c r="K136" s="178"/>
      <c r="L136" s="178"/>
      <c r="M136" s="178"/>
      <c r="N136" s="178"/>
      <c r="O136" s="178"/>
    </row>
    <row r="137" spans="3:24">
      <c r="C137" s="178"/>
      <c r="D137" s="178"/>
      <c r="E137" s="178"/>
      <c r="F137" s="178"/>
      <c r="G137" s="178"/>
      <c r="H137" s="178"/>
      <c r="I137" s="178"/>
      <c r="J137" s="178"/>
      <c r="K137" s="178"/>
      <c r="L137" s="178"/>
      <c r="M137" s="178"/>
      <c r="N137" s="178"/>
      <c r="O137" s="178"/>
    </row>
    <row r="138" spans="3:24">
      <c r="C138" s="178"/>
      <c r="D138" s="178"/>
      <c r="E138" s="178"/>
      <c r="F138" s="178"/>
      <c r="G138" s="178"/>
      <c r="H138" s="178"/>
      <c r="I138" s="178"/>
      <c r="J138" s="178"/>
      <c r="K138" s="178"/>
      <c r="L138" s="178"/>
      <c r="M138" s="178"/>
      <c r="N138" s="178"/>
      <c r="O138" s="178"/>
    </row>
    <row r="139" spans="3:24">
      <c r="C139" s="178"/>
      <c r="D139" s="178"/>
      <c r="E139" s="178"/>
      <c r="F139" s="178"/>
      <c r="G139" s="178"/>
      <c r="H139" s="178"/>
      <c r="I139" s="178"/>
      <c r="J139" s="178"/>
      <c r="K139" s="178"/>
      <c r="L139" s="178"/>
      <c r="M139" s="178"/>
      <c r="N139" s="178"/>
      <c r="O139" s="178"/>
    </row>
    <row r="140" spans="3:24">
      <c r="C140" s="178"/>
      <c r="D140" s="178"/>
      <c r="E140" s="178"/>
      <c r="F140" s="178"/>
      <c r="G140" s="178"/>
      <c r="H140" s="178"/>
      <c r="I140" s="178"/>
      <c r="J140" s="178"/>
      <c r="K140" s="178"/>
      <c r="L140" s="178"/>
      <c r="M140" s="178"/>
      <c r="N140" s="178"/>
      <c r="O140" s="178"/>
    </row>
    <row r="141" spans="3:24">
      <c r="C141" s="178"/>
      <c r="D141" s="178"/>
      <c r="E141" s="178"/>
      <c r="F141" s="178"/>
      <c r="G141" s="178"/>
      <c r="H141" s="178"/>
      <c r="I141" s="178"/>
      <c r="J141" s="178"/>
      <c r="K141" s="178"/>
      <c r="L141" s="178"/>
      <c r="M141" s="178"/>
      <c r="N141" s="178"/>
      <c r="O141" s="178"/>
    </row>
    <row r="142" spans="3:24">
      <c r="C142" s="178"/>
      <c r="D142" s="178"/>
      <c r="E142" s="178"/>
      <c r="F142" s="178"/>
      <c r="G142" s="178"/>
      <c r="H142" s="178"/>
      <c r="I142" s="178"/>
      <c r="J142" s="178"/>
      <c r="K142" s="178"/>
      <c r="L142" s="178"/>
      <c r="M142" s="178"/>
      <c r="N142" s="178"/>
      <c r="O142" s="178"/>
    </row>
    <row r="143" spans="3:24">
      <c r="C143" s="178"/>
      <c r="D143" s="178"/>
      <c r="E143" s="178"/>
      <c r="F143" s="178"/>
      <c r="G143" s="178"/>
      <c r="H143" s="178"/>
      <c r="I143" s="178"/>
      <c r="J143" s="178"/>
      <c r="K143" s="178"/>
      <c r="L143" s="178"/>
      <c r="M143" s="178"/>
      <c r="N143" s="178"/>
      <c r="O143" s="178"/>
    </row>
    <row r="144" spans="3:24">
      <c r="C144" s="178"/>
      <c r="D144" s="178"/>
      <c r="E144" s="178"/>
      <c r="F144" s="178"/>
      <c r="G144" s="178"/>
      <c r="H144" s="178"/>
      <c r="I144" s="178"/>
      <c r="J144" s="178"/>
      <c r="K144" s="178"/>
      <c r="L144" s="178"/>
      <c r="M144" s="178"/>
      <c r="N144" s="178"/>
      <c r="O144" s="178"/>
    </row>
    <row r="145" spans="3:15">
      <c r="C145" s="178"/>
      <c r="D145" s="178"/>
      <c r="E145" s="178"/>
      <c r="F145" s="178"/>
      <c r="G145" s="178"/>
      <c r="H145" s="178"/>
      <c r="I145" s="178"/>
      <c r="J145" s="178"/>
      <c r="K145" s="178"/>
      <c r="L145" s="178"/>
      <c r="M145" s="178"/>
      <c r="N145" s="178"/>
      <c r="O145" s="178"/>
    </row>
    <row r="146" spans="3:15">
      <c r="C146" s="178"/>
      <c r="D146" s="178"/>
      <c r="E146" s="178"/>
      <c r="F146" s="178"/>
      <c r="G146" s="178"/>
      <c r="H146" s="178"/>
      <c r="I146" s="178"/>
      <c r="J146" s="178"/>
      <c r="K146" s="178"/>
      <c r="L146" s="178"/>
      <c r="M146" s="178"/>
      <c r="N146" s="178"/>
      <c r="O146" s="178"/>
    </row>
    <row r="147" spans="3:15">
      <c r="C147" s="178"/>
      <c r="D147" s="178"/>
      <c r="E147" s="178"/>
      <c r="F147" s="178"/>
      <c r="G147" s="178"/>
      <c r="H147" s="178"/>
      <c r="I147" s="178"/>
      <c r="J147" s="178"/>
      <c r="K147" s="178"/>
      <c r="L147" s="178"/>
      <c r="M147" s="178"/>
      <c r="N147" s="178"/>
      <c r="O147" s="178"/>
    </row>
    <row r="148" spans="3:15">
      <c r="C148" s="178"/>
      <c r="D148" s="178"/>
      <c r="E148" s="178"/>
      <c r="F148" s="178"/>
      <c r="G148" s="178"/>
      <c r="H148" s="178"/>
      <c r="I148" s="178"/>
      <c r="J148" s="178"/>
      <c r="K148" s="178"/>
      <c r="L148" s="178"/>
      <c r="M148" s="178"/>
      <c r="N148" s="178"/>
      <c r="O148" s="178"/>
    </row>
    <row r="149" spans="3:15">
      <c r="C149" s="178"/>
      <c r="D149" s="178"/>
      <c r="E149" s="178"/>
      <c r="F149" s="178"/>
      <c r="G149" s="178"/>
      <c r="H149" s="178"/>
      <c r="I149" s="178"/>
      <c r="J149" s="178"/>
      <c r="K149" s="178"/>
      <c r="L149" s="178"/>
      <c r="M149" s="178"/>
      <c r="N149" s="178"/>
      <c r="O149" s="178"/>
    </row>
    <row r="150" spans="3:15">
      <c r="C150" s="178"/>
      <c r="D150" s="178"/>
      <c r="E150" s="178"/>
      <c r="F150" s="178"/>
      <c r="G150" s="178"/>
      <c r="H150" s="178"/>
      <c r="I150" s="178"/>
      <c r="J150" s="178"/>
      <c r="K150" s="178"/>
      <c r="L150" s="178"/>
      <c r="M150" s="178"/>
      <c r="N150" s="178"/>
      <c r="O150" s="178"/>
    </row>
    <row r="151" spans="3:15">
      <c r="C151" s="178"/>
      <c r="D151" s="178"/>
      <c r="E151" s="178"/>
      <c r="F151" s="178"/>
      <c r="G151" s="178"/>
      <c r="H151" s="178"/>
      <c r="I151" s="178"/>
      <c r="J151" s="178"/>
      <c r="K151" s="178"/>
      <c r="L151" s="178"/>
      <c r="M151" s="178"/>
      <c r="N151" s="178"/>
      <c r="O151" s="178"/>
    </row>
    <row r="152" spans="3:15">
      <c r="C152" s="178"/>
      <c r="D152" s="178"/>
      <c r="E152" s="178"/>
      <c r="F152" s="178"/>
      <c r="G152" s="178"/>
      <c r="H152" s="178"/>
      <c r="I152" s="178"/>
      <c r="J152" s="178"/>
      <c r="K152" s="178"/>
      <c r="L152" s="178"/>
      <c r="M152" s="178"/>
      <c r="N152" s="178"/>
      <c r="O152" s="178"/>
    </row>
    <row r="153" spans="3:15">
      <c r="C153" s="178"/>
      <c r="D153" s="178"/>
      <c r="E153" s="178"/>
      <c r="F153" s="178"/>
      <c r="G153" s="178"/>
      <c r="H153" s="178"/>
      <c r="I153" s="178"/>
      <c r="J153" s="178"/>
      <c r="K153" s="178"/>
      <c r="L153" s="178"/>
      <c r="M153" s="178"/>
      <c r="N153" s="178"/>
      <c r="O153" s="178"/>
    </row>
    <row r="154" spans="3:15">
      <c r="C154" s="178"/>
      <c r="D154" s="178"/>
      <c r="E154" s="178"/>
      <c r="F154" s="178"/>
      <c r="G154" s="178"/>
      <c r="H154" s="178"/>
      <c r="I154" s="178"/>
      <c r="J154" s="178"/>
      <c r="K154" s="178"/>
      <c r="L154" s="178"/>
      <c r="M154" s="178"/>
      <c r="N154" s="178"/>
      <c r="O154" s="178"/>
    </row>
    <row r="155" spans="3:15">
      <c r="C155" s="178"/>
      <c r="D155" s="178"/>
      <c r="E155" s="178"/>
      <c r="F155" s="178"/>
      <c r="G155" s="178"/>
      <c r="H155" s="178"/>
      <c r="I155" s="178"/>
      <c r="J155" s="178"/>
      <c r="K155" s="178"/>
      <c r="L155" s="178"/>
      <c r="M155" s="178"/>
      <c r="N155" s="178"/>
      <c r="O155" s="178"/>
    </row>
    <row r="156" spans="3:15">
      <c r="C156" s="178"/>
      <c r="D156" s="178"/>
      <c r="E156" s="178"/>
      <c r="F156" s="178"/>
      <c r="G156" s="178"/>
      <c r="H156" s="178"/>
      <c r="I156" s="178"/>
      <c r="J156" s="178"/>
      <c r="K156" s="178"/>
      <c r="L156" s="178"/>
      <c r="M156" s="178"/>
      <c r="N156" s="178"/>
      <c r="O156" s="178"/>
    </row>
    <row r="157" spans="3:15">
      <c r="C157" s="178"/>
      <c r="D157" s="178"/>
      <c r="E157" s="178"/>
      <c r="F157" s="178"/>
      <c r="G157" s="178"/>
      <c r="H157" s="178"/>
      <c r="I157" s="178"/>
      <c r="J157" s="178"/>
      <c r="K157" s="178"/>
      <c r="L157" s="178"/>
      <c r="M157" s="178"/>
      <c r="N157" s="178"/>
      <c r="O157" s="178"/>
    </row>
    <row r="158" spans="3:15">
      <c r="C158" s="178"/>
      <c r="D158" s="178"/>
      <c r="E158" s="178"/>
      <c r="F158" s="178"/>
      <c r="G158" s="178"/>
      <c r="H158" s="178"/>
      <c r="I158" s="178"/>
      <c r="J158" s="178"/>
      <c r="K158" s="178"/>
      <c r="L158" s="178"/>
      <c r="M158" s="178"/>
      <c r="N158" s="178"/>
      <c r="O158" s="178"/>
    </row>
    <row r="159" spans="3:15">
      <c r="C159" s="178"/>
      <c r="D159" s="178"/>
      <c r="E159" s="178"/>
      <c r="F159" s="178"/>
      <c r="G159" s="178"/>
      <c r="H159" s="178"/>
      <c r="I159" s="178"/>
      <c r="J159" s="178"/>
      <c r="K159" s="178"/>
      <c r="L159" s="178"/>
      <c r="M159" s="178"/>
      <c r="N159" s="178"/>
      <c r="O159" s="178"/>
    </row>
    <row r="160" spans="3:15">
      <c r="C160" s="178"/>
      <c r="D160" s="178"/>
      <c r="E160" s="178"/>
      <c r="F160" s="178"/>
      <c r="G160" s="178"/>
      <c r="H160" s="178"/>
      <c r="I160" s="178"/>
      <c r="J160" s="178"/>
      <c r="K160" s="178"/>
      <c r="L160" s="178"/>
      <c r="M160" s="178"/>
      <c r="N160" s="178"/>
      <c r="O160" s="178"/>
    </row>
    <row r="161" spans="3:15">
      <c r="C161" s="178"/>
      <c r="D161" s="178"/>
      <c r="E161" s="178"/>
      <c r="F161" s="178"/>
      <c r="G161" s="178"/>
      <c r="H161" s="178"/>
      <c r="I161" s="178"/>
      <c r="J161" s="178"/>
      <c r="K161" s="178"/>
      <c r="L161" s="178"/>
      <c r="M161" s="178"/>
      <c r="N161" s="178"/>
      <c r="O161" s="178"/>
    </row>
    <row r="162" spans="3:15">
      <c r="C162" s="178"/>
      <c r="D162" s="178"/>
      <c r="E162" s="178"/>
      <c r="F162" s="178"/>
      <c r="G162" s="178"/>
      <c r="H162" s="178"/>
      <c r="I162" s="178"/>
      <c r="J162" s="178"/>
      <c r="K162" s="178"/>
      <c r="L162" s="178"/>
      <c r="M162" s="178"/>
      <c r="N162" s="178"/>
      <c r="O162" s="178"/>
    </row>
    <row r="163" spans="3:15">
      <c r="C163" s="178"/>
      <c r="D163" s="178"/>
      <c r="E163" s="178"/>
      <c r="F163" s="178"/>
      <c r="G163" s="178"/>
      <c r="H163" s="178"/>
      <c r="I163" s="178"/>
      <c r="J163" s="178"/>
      <c r="K163" s="178"/>
      <c r="L163" s="178"/>
      <c r="M163" s="178"/>
      <c r="N163" s="178"/>
      <c r="O163" s="178"/>
    </row>
    <row r="164" spans="3:15">
      <c r="C164" s="178"/>
      <c r="D164" s="178"/>
      <c r="E164" s="178"/>
      <c r="F164" s="178"/>
      <c r="G164" s="178"/>
      <c r="H164" s="178"/>
      <c r="I164" s="178"/>
      <c r="J164" s="178"/>
      <c r="K164" s="178"/>
      <c r="L164" s="178"/>
      <c r="M164" s="178"/>
      <c r="N164" s="178"/>
      <c r="O164" s="178"/>
    </row>
    <row r="165" spans="3:15">
      <c r="C165" s="178"/>
      <c r="D165" s="178"/>
      <c r="E165" s="178"/>
      <c r="F165" s="178"/>
      <c r="G165" s="178"/>
      <c r="H165" s="178"/>
      <c r="I165" s="178"/>
      <c r="J165" s="178"/>
      <c r="K165" s="178"/>
      <c r="L165" s="178"/>
      <c r="M165" s="178"/>
      <c r="N165" s="178"/>
      <c r="O165" s="178"/>
    </row>
    <row r="166" spans="3:15">
      <c r="C166" s="178"/>
      <c r="D166" s="178"/>
      <c r="E166" s="178"/>
      <c r="F166" s="178"/>
      <c r="G166" s="178"/>
      <c r="H166" s="178"/>
      <c r="I166" s="178"/>
      <c r="J166" s="178"/>
      <c r="K166" s="178"/>
      <c r="L166" s="178"/>
      <c r="M166" s="178"/>
      <c r="N166" s="178"/>
      <c r="O166" s="178"/>
    </row>
    <row r="167" spans="3:15">
      <c r="C167" s="178"/>
      <c r="D167" s="178"/>
      <c r="E167" s="178"/>
      <c r="F167" s="178"/>
      <c r="G167" s="178"/>
      <c r="H167" s="178"/>
      <c r="I167" s="178"/>
      <c r="J167" s="178"/>
      <c r="K167" s="178"/>
      <c r="L167" s="178"/>
      <c r="M167" s="178"/>
      <c r="N167" s="178"/>
      <c r="O167" s="178"/>
    </row>
    <row r="168" spans="3:15">
      <c r="C168" s="178"/>
      <c r="D168" s="178"/>
      <c r="E168" s="178"/>
      <c r="F168" s="178"/>
      <c r="G168" s="178"/>
      <c r="H168" s="178"/>
      <c r="I168" s="178"/>
      <c r="J168" s="178"/>
      <c r="K168" s="178"/>
      <c r="L168" s="178"/>
      <c r="M168" s="178"/>
      <c r="N168" s="178"/>
      <c r="O168" s="178"/>
    </row>
    <row r="169" spans="3:15">
      <c r="C169" s="178"/>
      <c r="D169" s="178"/>
      <c r="E169" s="178"/>
      <c r="F169" s="178"/>
      <c r="G169" s="178"/>
      <c r="H169" s="178"/>
      <c r="I169" s="178"/>
      <c r="J169" s="178"/>
      <c r="K169" s="178"/>
      <c r="L169" s="178"/>
      <c r="M169" s="178"/>
      <c r="N169" s="178"/>
      <c r="O169" s="178"/>
    </row>
    <row r="170" spans="3:15">
      <c r="C170" s="178"/>
      <c r="D170" s="178"/>
      <c r="E170" s="178"/>
      <c r="F170" s="178"/>
      <c r="G170" s="178"/>
      <c r="H170" s="178"/>
      <c r="I170" s="178"/>
      <c r="J170" s="178"/>
      <c r="K170" s="178"/>
      <c r="L170" s="178"/>
      <c r="M170" s="178"/>
      <c r="N170" s="178"/>
      <c r="O170" s="178"/>
    </row>
    <row r="171" spans="3:15">
      <c r="C171" s="178"/>
      <c r="D171" s="178"/>
      <c r="E171" s="178"/>
      <c r="F171" s="178"/>
      <c r="G171" s="178"/>
      <c r="H171" s="178"/>
      <c r="I171" s="178"/>
      <c r="J171" s="178"/>
      <c r="K171" s="178"/>
      <c r="L171" s="178"/>
      <c r="M171" s="178"/>
      <c r="N171" s="178"/>
      <c r="O171" s="178"/>
    </row>
    <row r="172" spans="3:15">
      <c r="C172" s="178"/>
      <c r="D172" s="178"/>
      <c r="E172" s="178"/>
      <c r="F172" s="178"/>
      <c r="G172" s="178"/>
      <c r="H172" s="178"/>
      <c r="I172" s="178"/>
      <c r="J172" s="178"/>
      <c r="K172" s="178"/>
      <c r="L172" s="178"/>
      <c r="M172" s="178"/>
      <c r="N172" s="178"/>
      <c r="O172" s="178"/>
    </row>
    <row r="173" spans="3:15">
      <c r="C173" s="178"/>
      <c r="D173" s="178"/>
      <c r="E173" s="178"/>
      <c r="F173" s="178"/>
      <c r="G173" s="178"/>
      <c r="H173" s="178"/>
      <c r="I173" s="178"/>
      <c r="J173" s="178"/>
      <c r="K173" s="178"/>
      <c r="L173" s="178"/>
      <c r="M173" s="178"/>
      <c r="N173" s="178"/>
      <c r="O173" s="178"/>
    </row>
    <row r="174" spans="3:15">
      <c r="C174" s="178"/>
      <c r="D174" s="178"/>
      <c r="E174" s="178"/>
      <c r="F174" s="178"/>
      <c r="G174" s="178"/>
      <c r="H174" s="178"/>
      <c r="I174" s="178"/>
      <c r="J174" s="178"/>
      <c r="K174" s="178"/>
      <c r="L174" s="178"/>
      <c r="M174" s="178"/>
      <c r="N174" s="178"/>
      <c r="O174" s="178"/>
    </row>
    <row r="175" spans="3:15">
      <c r="C175" s="178"/>
      <c r="D175" s="178"/>
      <c r="E175" s="178"/>
      <c r="F175" s="178"/>
      <c r="G175" s="178"/>
      <c r="H175" s="178"/>
      <c r="I175" s="178"/>
      <c r="J175" s="178"/>
      <c r="K175" s="178"/>
      <c r="L175" s="178"/>
      <c r="M175" s="178"/>
      <c r="N175" s="178"/>
      <c r="O175" s="178"/>
    </row>
    <row r="176" spans="3:15">
      <c r="C176" s="178"/>
      <c r="D176" s="178"/>
      <c r="E176" s="178"/>
      <c r="F176" s="178"/>
      <c r="G176" s="178"/>
      <c r="H176" s="178"/>
      <c r="I176" s="178"/>
      <c r="J176" s="178"/>
      <c r="K176" s="178"/>
      <c r="L176" s="178"/>
      <c r="M176" s="178"/>
      <c r="N176" s="178"/>
      <c r="O176" s="178"/>
    </row>
    <row r="177" spans="3:15">
      <c r="C177" s="178"/>
      <c r="D177" s="178"/>
      <c r="E177" s="178"/>
      <c r="F177" s="178"/>
      <c r="G177" s="178"/>
      <c r="H177" s="178"/>
      <c r="I177" s="178"/>
      <c r="J177" s="178"/>
      <c r="K177" s="178"/>
      <c r="L177" s="178"/>
      <c r="M177" s="178"/>
      <c r="N177" s="178"/>
      <c r="O177" s="178"/>
    </row>
    <row r="178" spans="3:15">
      <c r="C178" s="178"/>
      <c r="D178" s="178"/>
      <c r="E178" s="178"/>
      <c r="F178" s="178"/>
      <c r="G178" s="178"/>
      <c r="H178" s="178"/>
      <c r="I178" s="178"/>
      <c r="J178" s="178"/>
      <c r="K178" s="178"/>
      <c r="L178" s="178"/>
      <c r="M178" s="178"/>
      <c r="N178" s="178"/>
      <c r="O178" s="178"/>
    </row>
    <row r="179" spans="3:15">
      <c r="C179" s="178"/>
      <c r="D179" s="178"/>
      <c r="E179" s="178"/>
      <c r="F179" s="178"/>
      <c r="G179" s="178"/>
      <c r="H179" s="178"/>
      <c r="I179" s="178"/>
      <c r="J179" s="178"/>
      <c r="K179" s="178"/>
      <c r="L179" s="178"/>
      <c r="M179" s="178"/>
      <c r="N179" s="178"/>
      <c r="O179" s="178"/>
    </row>
    <row r="180" spans="3:15">
      <c r="C180" s="178"/>
      <c r="D180" s="178"/>
      <c r="E180" s="178"/>
      <c r="F180" s="178"/>
      <c r="G180" s="178"/>
      <c r="H180" s="178"/>
      <c r="I180" s="178"/>
      <c r="J180" s="178"/>
      <c r="K180" s="178"/>
      <c r="L180" s="178"/>
      <c r="M180" s="178"/>
      <c r="N180" s="178"/>
      <c r="O180" s="178"/>
    </row>
    <row r="181" spans="3:15">
      <c r="C181" s="178"/>
      <c r="D181" s="178"/>
      <c r="E181" s="178"/>
      <c r="F181" s="178"/>
      <c r="G181" s="178"/>
      <c r="H181" s="178"/>
      <c r="I181" s="178"/>
      <c r="J181" s="178"/>
      <c r="K181" s="178"/>
      <c r="L181" s="178"/>
      <c r="M181" s="178"/>
      <c r="N181" s="178"/>
      <c r="O181" s="178"/>
    </row>
    <row r="182" spans="3:15">
      <c r="C182" s="178"/>
      <c r="D182" s="178"/>
      <c r="E182" s="178"/>
      <c r="F182" s="178"/>
      <c r="G182" s="178"/>
      <c r="H182" s="178"/>
      <c r="I182" s="178"/>
      <c r="J182" s="178"/>
      <c r="K182" s="178"/>
      <c r="L182" s="178"/>
      <c r="M182" s="178"/>
      <c r="N182" s="178"/>
      <c r="O182" s="178"/>
    </row>
    <row r="183" spans="3:15">
      <c r="C183" s="178"/>
      <c r="D183" s="178"/>
      <c r="E183" s="178"/>
      <c r="F183" s="178"/>
      <c r="G183" s="178"/>
      <c r="H183" s="178"/>
      <c r="I183" s="178"/>
      <c r="J183" s="178"/>
      <c r="K183" s="178"/>
      <c r="L183" s="178"/>
      <c r="M183" s="178"/>
      <c r="N183" s="178"/>
      <c r="O183" s="178"/>
    </row>
    <row r="184" spans="3:15">
      <c r="C184" s="178"/>
      <c r="D184" s="178"/>
      <c r="E184" s="178"/>
      <c r="F184" s="178"/>
      <c r="G184" s="178"/>
      <c r="H184" s="178"/>
      <c r="I184" s="178"/>
      <c r="J184" s="178"/>
      <c r="K184" s="178"/>
      <c r="L184" s="178"/>
      <c r="M184" s="178"/>
      <c r="N184" s="178"/>
      <c r="O184" s="178"/>
    </row>
    <row r="185" spans="3:15">
      <c r="C185" s="178"/>
      <c r="D185" s="178"/>
      <c r="E185" s="178"/>
      <c r="F185" s="178"/>
      <c r="G185" s="178"/>
      <c r="H185" s="178"/>
      <c r="I185" s="178"/>
      <c r="J185" s="178"/>
      <c r="K185" s="178"/>
      <c r="L185" s="178"/>
      <c r="M185" s="178"/>
      <c r="N185" s="178"/>
      <c r="O185" s="178"/>
    </row>
    <row r="186" spans="3:15">
      <c r="C186" s="178"/>
      <c r="D186" s="178"/>
      <c r="E186" s="178"/>
      <c r="F186" s="178"/>
      <c r="G186" s="178"/>
      <c r="H186" s="178"/>
      <c r="I186" s="178"/>
      <c r="J186" s="178"/>
      <c r="K186" s="178"/>
      <c r="L186" s="178"/>
      <c r="M186" s="178"/>
      <c r="N186" s="178"/>
      <c r="O186" s="178"/>
    </row>
    <row r="187" spans="3:15">
      <c r="C187" s="178"/>
      <c r="D187" s="178"/>
      <c r="E187" s="178"/>
      <c r="F187" s="178"/>
      <c r="G187" s="178"/>
      <c r="H187" s="178"/>
      <c r="I187" s="178"/>
      <c r="J187" s="178"/>
      <c r="K187" s="178"/>
      <c r="L187" s="178"/>
      <c r="M187" s="178"/>
      <c r="N187" s="178"/>
      <c r="O187" s="178"/>
    </row>
    <row r="188" spans="3:15">
      <c r="C188" s="178"/>
      <c r="D188" s="178"/>
      <c r="E188" s="178"/>
      <c r="F188" s="178"/>
      <c r="G188" s="178"/>
      <c r="H188" s="178"/>
      <c r="I188" s="178"/>
      <c r="J188" s="178"/>
      <c r="K188" s="178"/>
      <c r="L188" s="178"/>
      <c r="M188" s="178"/>
      <c r="N188" s="178"/>
      <c r="O188" s="178"/>
    </row>
    <row r="189" spans="3:15">
      <c r="C189" s="178"/>
      <c r="D189" s="178"/>
      <c r="E189" s="178"/>
      <c r="F189" s="178"/>
      <c r="G189" s="178"/>
      <c r="H189" s="178"/>
      <c r="I189" s="178"/>
      <c r="J189" s="178"/>
      <c r="K189" s="178"/>
      <c r="L189" s="178"/>
      <c r="M189" s="178"/>
      <c r="N189" s="178"/>
      <c r="O189" s="178"/>
    </row>
    <row r="190" spans="3:15">
      <c r="C190" s="178"/>
      <c r="D190" s="178"/>
      <c r="E190" s="178"/>
      <c r="F190" s="178"/>
      <c r="G190" s="178"/>
      <c r="H190" s="178"/>
      <c r="I190" s="178"/>
      <c r="J190" s="178"/>
      <c r="K190" s="178"/>
      <c r="L190" s="178"/>
      <c r="M190" s="178"/>
      <c r="N190" s="178"/>
      <c r="O190" s="178"/>
    </row>
    <row r="191" spans="3:15">
      <c r="C191" s="178"/>
      <c r="D191" s="178"/>
      <c r="E191" s="178"/>
      <c r="F191" s="178"/>
      <c r="G191" s="178"/>
      <c r="H191" s="178"/>
      <c r="I191" s="178"/>
      <c r="J191" s="178"/>
      <c r="K191" s="178"/>
      <c r="L191" s="178"/>
      <c r="M191" s="178"/>
      <c r="N191" s="178"/>
      <c r="O191" s="178"/>
    </row>
    <row r="192" spans="3:15">
      <c r="C192" s="178"/>
      <c r="D192" s="178"/>
      <c r="E192" s="178"/>
      <c r="F192" s="178"/>
      <c r="G192" s="178"/>
      <c r="H192" s="178"/>
      <c r="I192" s="178"/>
      <c r="J192" s="178"/>
      <c r="K192" s="178"/>
      <c r="L192" s="178"/>
      <c r="M192" s="178"/>
      <c r="N192" s="178"/>
      <c r="O192" s="178"/>
    </row>
    <row r="193" spans="3:15">
      <c r="C193" s="178"/>
      <c r="D193" s="178"/>
      <c r="E193" s="178"/>
      <c r="F193" s="178"/>
      <c r="G193" s="178"/>
      <c r="H193" s="178"/>
      <c r="I193" s="178"/>
      <c r="J193" s="178"/>
      <c r="K193" s="178"/>
      <c r="L193" s="178"/>
      <c r="M193" s="178"/>
      <c r="N193" s="178"/>
      <c r="O193" s="178"/>
    </row>
    <row r="194" spans="3:15">
      <c r="C194" s="178"/>
      <c r="D194" s="178"/>
      <c r="E194" s="178"/>
      <c r="F194" s="178"/>
      <c r="G194" s="178"/>
      <c r="H194" s="178"/>
      <c r="I194" s="178"/>
      <c r="J194" s="178"/>
      <c r="K194" s="178"/>
      <c r="L194" s="178"/>
      <c r="M194" s="178"/>
      <c r="N194" s="178"/>
      <c r="O194" s="178"/>
    </row>
    <row r="195" spans="3:15">
      <c r="C195" s="178"/>
      <c r="D195" s="178"/>
      <c r="E195" s="178"/>
      <c r="F195" s="178"/>
      <c r="G195" s="178"/>
      <c r="H195" s="178"/>
      <c r="I195" s="178"/>
      <c r="J195" s="178"/>
      <c r="K195" s="178"/>
      <c r="L195" s="178"/>
      <c r="M195" s="178"/>
      <c r="N195" s="178"/>
      <c r="O195" s="178"/>
    </row>
    <row r="196" spans="3:15">
      <c r="C196" s="178"/>
      <c r="D196" s="178"/>
      <c r="E196" s="178"/>
      <c r="F196" s="178"/>
      <c r="G196" s="178"/>
      <c r="H196" s="178"/>
      <c r="I196" s="178"/>
      <c r="J196" s="178"/>
      <c r="K196" s="178"/>
      <c r="L196" s="178"/>
      <c r="M196" s="178"/>
      <c r="N196" s="178"/>
      <c r="O196" s="178"/>
    </row>
    <row r="197" spans="3:15">
      <c r="C197" s="178"/>
      <c r="D197" s="178"/>
      <c r="E197" s="178"/>
      <c r="F197" s="178"/>
      <c r="G197" s="178"/>
      <c r="H197" s="178"/>
      <c r="I197" s="178"/>
      <c r="J197" s="178"/>
      <c r="K197" s="178"/>
      <c r="L197" s="178"/>
      <c r="M197" s="178"/>
      <c r="N197" s="178"/>
      <c r="O197" s="178"/>
    </row>
    <row r="198" spans="3:15">
      <c r="C198" s="178"/>
      <c r="D198" s="178"/>
      <c r="E198" s="178"/>
      <c r="F198" s="178"/>
      <c r="G198" s="178"/>
      <c r="H198" s="178"/>
      <c r="I198" s="178"/>
      <c r="J198" s="178"/>
      <c r="K198" s="178"/>
      <c r="L198" s="178"/>
      <c r="M198" s="178"/>
      <c r="N198" s="178"/>
      <c r="O198" s="178"/>
    </row>
    <row r="199" spans="3:15">
      <c r="C199" s="178"/>
      <c r="D199" s="178"/>
      <c r="E199" s="178"/>
      <c r="F199" s="178"/>
      <c r="G199" s="178"/>
      <c r="H199" s="178"/>
      <c r="I199" s="178"/>
      <c r="J199" s="178"/>
      <c r="K199" s="178"/>
      <c r="L199" s="178"/>
      <c r="M199" s="178"/>
      <c r="N199" s="178"/>
      <c r="O199" s="178"/>
    </row>
    <row r="200" spans="3:15">
      <c r="C200" s="178"/>
      <c r="D200" s="178"/>
      <c r="E200" s="178"/>
      <c r="F200" s="178"/>
      <c r="G200" s="178"/>
      <c r="H200" s="178"/>
      <c r="I200" s="178"/>
      <c r="J200" s="178"/>
      <c r="K200" s="178"/>
      <c r="L200" s="178"/>
      <c r="M200" s="178"/>
      <c r="N200" s="178"/>
      <c r="O200" s="178"/>
    </row>
    <row r="201" spans="3:15">
      <c r="C201" s="178"/>
      <c r="D201" s="178"/>
      <c r="E201" s="178"/>
      <c r="F201" s="178"/>
      <c r="G201" s="178"/>
      <c r="H201" s="178"/>
      <c r="I201" s="178"/>
      <c r="J201" s="178"/>
      <c r="K201" s="178"/>
      <c r="L201" s="178"/>
      <c r="M201" s="178"/>
      <c r="N201" s="178"/>
      <c r="O201" s="178"/>
    </row>
    <row r="202" spans="3:15">
      <c r="C202" s="178"/>
      <c r="D202" s="178"/>
      <c r="E202" s="178"/>
      <c r="F202" s="178"/>
      <c r="G202" s="178"/>
      <c r="H202" s="178"/>
      <c r="I202" s="178"/>
      <c r="J202" s="178"/>
      <c r="K202" s="178"/>
      <c r="L202" s="178"/>
      <c r="M202" s="178"/>
      <c r="N202" s="178"/>
      <c r="O202" s="178"/>
    </row>
    <row r="203" spans="3:15">
      <c r="C203" s="178"/>
      <c r="D203" s="178"/>
      <c r="E203" s="178"/>
      <c r="F203" s="178"/>
      <c r="G203" s="178"/>
      <c r="H203" s="178"/>
      <c r="I203" s="178"/>
      <c r="J203" s="178"/>
      <c r="K203" s="178"/>
      <c r="L203" s="178"/>
      <c r="M203" s="178"/>
      <c r="N203" s="178"/>
      <c r="O203" s="178"/>
    </row>
    <row r="204" spans="3:15">
      <c r="C204" s="178"/>
      <c r="D204" s="178"/>
      <c r="E204" s="178"/>
      <c r="F204" s="178"/>
      <c r="G204" s="178"/>
      <c r="H204" s="178"/>
      <c r="I204" s="178"/>
      <c r="J204" s="178"/>
      <c r="K204" s="178"/>
      <c r="L204" s="178"/>
      <c r="M204" s="178"/>
      <c r="N204" s="178"/>
      <c r="O204" s="178"/>
    </row>
    <row r="205" spans="3:15">
      <c r="C205" s="178"/>
      <c r="D205" s="178"/>
      <c r="E205" s="178"/>
      <c r="F205" s="178"/>
      <c r="G205" s="178"/>
      <c r="H205" s="178"/>
      <c r="I205" s="178"/>
      <c r="J205" s="178"/>
      <c r="K205" s="178"/>
      <c r="L205" s="178"/>
      <c r="M205" s="178"/>
      <c r="N205" s="178"/>
      <c r="O205" s="178"/>
    </row>
    <row r="206" spans="3:15">
      <c r="C206" s="178"/>
      <c r="D206" s="178"/>
      <c r="E206" s="178"/>
      <c r="F206" s="178"/>
      <c r="G206" s="178"/>
      <c r="H206" s="178"/>
      <c r="I206" s="178"/>
      <c r="J206" s="178"/>
      <c r="K206" s="178"/>
      <c r="L206" s="178"/>
      <c r="M206" s="178"/>
      <c r="N206" s="178"/>
      <c r="O206" s="178"/>
    </row>
    <row r="207" spans="3:15">
      <c r="C207" s="178"/>
      <c r="D207" s="178"/>
      <c r="E207" s="178"/>
      <c r="F207" s="178"/>
      <c r="G207" s="178"/>
      <c r="H207" s="178"/>
      <c r="I207" s="178"/>
      <c r="J207" s="178"/>
      <c r="K207" s="178"/>
      <c r="L207" s="178"/>
      <c r="M207" s="178"/>
      <c r="N207" s="178"/>
      <c r="O207" s="178"/>
    </row>
    <row r="208" spans="3:15">
      <c r="C208" s="178"/>
      <c r="D208" s="178"/>
      <c r="E208" s="178"/>
      <c r="F208" s="178"/>
      <c r="G208" s="178"/>
      <c r="H208" s="178"/>
      <c r="I208" s="178"/>
      <c r="J208" s="178"/>
      <c r="K208" s="178"/>
      <c r="L208" s="178"/>
      <c r="M208" s="178"/>
      <c r="N208" s="178"/>
      <c r="O208" s="178"/>
    </row>
    <row r="209" spans="3:15">
      <c r="C209" s="178"/>
      <c r="D209" s="178"/>
      <c r="E209" s="178"/>
      <c r="F209" s="178"/>
      <c r="G209" s="178"/>
      <c r="H209" s="178"/>
      <c r="I209" s="178"/>
      <c r="J209" s="178"/>
      <c r="K209" s="178"/>
      <c r="L209" s="178"/>
      <c r="M209" s="178"/>
      <c r="N209" s="178"/>
      <c r="O209" s="178"/>
    </row>
    <row r="210" spans="3:15">
      <c r="C210" s="178"/>
      <c r="D210" s="178"/>
      <c r="E210" s="178"/>
      <c r="F210" s="178"/>
      <c r="G210" s="178"/>
      <c r="H210" s="178"/>
      <c r="I210" s="178"/>
      <c r="J210" s="178"/>
      <c r="K210" s="178"/>
      <c r="L210" s="178"/>
      <c r="M210" s="178"/>
      <c r="N210" s="178"/>
      <c r="O210" s="178"/>
    </row>
    <row r="211" spans="3:15">
      <c r="C211" s="178"/>
      <c r="D211" s="178"/>
      <c r="E211" s="178"/>
      <c r="F211" s="178"/>
      <c r="G211" s="178"/>
      <c r="H211" s="178"/>
      <c r="I211" s="178"/>
      <c r="J211" s="178"/>
      <c r="K211" s="178"/>
      <c r="L211" s="178"/>
      <c r="M211" s="178"/>
      <c r="N211" s="178"/>
      <c r="O211" s="178"/>
    </row>
    <row r="212" spans="3:15">
      <c r="C212" s="178"/>
      <c r="D212" s="178"/>
      <c r="E212" s="178"/>
      <c r="F212" s="178"/>
      <c r="G212" s="178"/>
      <c r="H212" s="178"/>
      <c r="I212" s="178"/>
      <c r="J212" s="178"/>
      <c r="K212" s="178"/>
      <c r="L212" s="178"/>
      <c r="M212" s="178"/>
      <c r="N212" s="178"/>
      <c r="O212" s="178"/>
    </row>
    <row r="213" spans="3:15">
      <c r="C213" s="178"/>
      <c r="D213" s="178"/>
      <c r="E213" s="178"/>
      <c r="F213" s="178"/>
      <c r="G213" s="178"/>
      <c r="H213" s="178"/>
      <c r="I213" s="178"/>
      <c r="J213" s="178"/>
      <c r="K213" s="178"/>
      <c r="L213" s="178"/>
      <c r="M213" s="178"/>
      <c r="N213" s="178"/>
      <c r="O213" s="178"/>
    </row>
    <row r="214" spans="3:15">
      <c r="C214" s="178"/>
      <c r="D214" s="178"/>
      <c r="E214" s="178"/>
      <c r="F214" s="178"/>
      <c r="G214" s="178"/>
      <c r="H214" s="178"/>
      <c r="I214" s="178"/>
      <c r="J214" s="178"/>
      <c r="K214" s="178"/>
      <c r="L214" s="178"/>
      <c r="M214" s="178"/>
      <c r="N214" s="178"/>
      <c r="O214" s="178"/>
    </row>
    <row r="215" spans="3:15">
      <c r="C215" s="178"/>
      <c r="D215" s="178"/>
      <c r="E215" s="178"/>
      <c r="F215" s="178"/>
      <c r="G215" s="178"/>
      <c r="H215" s="178"/>
      <c r="I215" s="178"/>
      <c r="J215" s="178"/>
      <c r="K215" s="178"/>
      <c r="L215" s="178"/>
      <c r="M215" s="178"/>
      <c r="N215" s="178"/>
      <c r="O215" s="178"/>
    </row>
    <row r="216" spans="3:15">
      <c r="C216" s="178"/>
      <c r="D216" s="178"/>
      <c r="E216" s="178"/>
      <c r="F216" s="178"/>
      <c r="G216" s="178"/>
      <c r="H216" s="178"/>
      <c r="I216" s="178"/>
      <c r="J216" s="178"/>
      <c r="K216" s="178"/>
      <c r="L216" s="178"/>
      <c r="M216" s="178"/>
      <c r="N216" s="178"/>
      <c r="O216" s="178"/>
    </row>
    <row r="217" spans="3:15">
      <c r="C217" s="178"/>
      <c r="D217" s="178"/>
      <c r="E217" s="178"/>
      <c r="F217" s="178"/>
      <c r="G217" s="178"/>
      <c r="H217" s="178"/>
      <c r="I217" s="178"/>
      <c r="J217" s="178"/>
      <c r="K217" s="178"/>
      <c r="L217" s="178"/>
      <c r="M217" s="178"/>
      <c r="N217" s="178"/>
      <c r="O217" s="178"/>
    </row>
    <row r="218" spans="3:15">
      <c r="C218" s="178"/>
      <c r="D218" s="178"/>
      <c r="E218" s="178"/>
      <c r="F218" s="178"/>
      <c r="G218" s="178"/>
      <c r="H218" s="178"/>
      <c r="I218" s="178"/>
      <c r="J218" s="178"/>
      <c r="K218" s="178"/>
      <c r="L218" s="178"/>
      <c r="M218" s="178"/>
      <c r="N218" s="178"/>
      <c r="O218" s="178"/>
    </row>
    <row r="219" spans="3:15">
      <c r="C219" s="178"/>
      <c r="D219" s="178"/>
      <c r="E219" s="178"/>
      <c r="F219" s="178"/>
      <c r="G219" s="178"/>
      <c r="H219" s="178"/>
      <c r="I219" s="178"/>
      <c r="J219" s="178"/>
      <c r="K219" s="178"/>
      <c r="L219" s="178"/>
      <c r="M219" s="178"/>
      <c r="N219" s="178"/>
      <c r="O219" s="178"/>
    </row>
    <row r="220" spans="3:15">
      <c r="C220" s="178"/>
      <c r="D220" s="178"/>
      <c r="E220" s="178"/>
      <c r="F220" s="178"/>
      <c r="G220" s="178"/>
      <c r="H220" s="178"/>
      <c r="I220" s="178"/>
      <c r="J220" s="178"/>
      <c r="K220" s="178"/>
      <c r="L220" s="178"/>
      <c r="M220" s="178"/>
      <c r="N220" s="178"/>
      <c r="O220" s="178"/>
    </row>
    <row r="221" spans="3:15">
      <c r="C221" s="178"/>
      <c r="D221" s="178"/>
      <c r="E221" s="178"/>
      <c r="F221" s="178"/>
      <c r="G221" s="178"/>
      <c r="H221" s="178"/>
      <c r="I221" s="178"/>
      <c r="J221" s="178"/>
      <c r="K221" s="178"/>
      <c r="L221" s="178"/>
      <c r="M221" s="178"/>
      <c r="N221" s="178"/>
      <c r="O221" s="178"/>
    </row>
    <row r="222" spans="3:15">
      <c r="C222" s="178"/>
      <c r="D222" s="178"/>
      <c r="E222" s="178"/>
      <c r="F222" s="178"/>
      <c r="G222" s="178"/>
      <c r="H222" s="178"/>
      <c r="I222" s="178"/>
      <c r="J222" s="178"/>
      <c r="K222" s="178"/>
      <c r="L222" s="178"/>
      <c r="M222" s="178"/>
      <c r="N222" s="178"/>
      <c r="O222" s="178"/>
    </row>
    <row r="223" spans="3:15">
      <c r="C223" s="178"/>
      <c r="D223" s="178"/>
      <c r="E223" s="178"/>
      <c r="F223" s="178"/>
      <c r="G223" s="178"/>
      <c r="H223" s="178"/>
      <c r="I223" s="178"/>
      <c r="J223" s="178"/>
      <c r="K223" s="178"/>
      <c r="L223" s="178"/>
      <c r="M223" s="178"/>
      <c r="N223" s="178"/>
      <c r="O223" s="178"/>
    </row>
    <row r="224" spans="3:15">
      <c r="C224" s="178"/>
      <c r="D224" s="178"/>
      <c r="E224" s="178"/>
      <c r="F224" s="178"/>
      <c r="G224" s="178"/>
      <c r="H224" s="178"/>
      <c r="I224" s="178"/>
      <c r="J224" s="178"/>
      <c r="K224" s="178"/>
      <c r="L224" s="178"/>
      <c r="M224" s="178"/>
      <c r="N224" s="178"/>
      <c r="O224" s="178"/>
    </row>
    <row r="225" spans="3:15">
      <c r="C225" s="178"/>
      <c r="D225" s="178"/>
      <c r="E225" s="178"/>
      <c r="F225" s="178"/>
      <c r="G225" s="178"/>
      <c r="H225" s="178"/>
      <c r="I225" s="178"/>
      <c r="J225" s="178"/>
      <c r="K225" s="178"/>
      <c r="L225" s="178"/>
      <c r="M225" s="178"/>
      <c r="N225" s="178"/>
      <c r="O225" s="178"/>
    </row>
    <row r="226" spans="3:15">
      <c r="C226" s="178"/>
      <c r="D226" s="178"/>
      <c r="E226" s="178"/>
      <c r="F226" s="178"/>
      <c r="G226" s="178"/>
      <c r="H226" s="178"/>
      <c r="I226" s="178"/>
      <c r="J226" s="178"/>
      <c r="K226" s="178"/>
      <c r="L226" s="178"/>
      <c r="M226" s="178"/>
      <c r="N226" s="178"/>
      <c r="O226" s="178"/>
    </row>
    <row r="227" spans="3:15">
      <c r="C227" s="178"/>
      <c r="D227" s="178"/>
      <c r="E227" s="178"/>
      <c r="F227" s="178"/>
      <c r="G227" s="178"/>
      <c r="H227" s="178"/>
      <c r="I227" s="178"/>
      <c r="J227" s="178"/>
      <c r="K227" s="178"/>
      <c r="L227" s="178"/>
      <c r="M227" s="178"/>
      <c r="N227" s="178"/>
      <c r="O227" s="178"/>
    </row>
    <row r="228" spans="3:15">
      <c r="C228" s="178"/>
      <c r="D228" s="178"/>
      <c r="E228" s="178"/>
      <c r="F228" s="178"/>
      <c r="G228" s="178"/>
      <c r="H228" s="178"/>
      <c r="I228" s="178"/>
      <c r="J228" s="178"/>
      <c r="K228" s="178"/>
      <c r="L228" s="178"/>
      <c r="M228" s="178"/>
      <c r="N228" s="178"/>
      <c r="O228" s="178"/>
    </row>
    <row r="229" spans="3:15">
      <c r="C229" s="178"/>
      <c r="D229" s="178"/>
      <c r="E229" s="178"/>
      <c r="F229" s="178"/>
      <c r="G229" s="178"/>
      <c r="H229" s="178"/>
      <c r="I229" s="178"/>
      <c r="J229" s="178"/>
      <c r="K229" s="178"/>
      <c r="L229" s="178"/>
      <c r="M229" s="178"/>
      <c r="N229" s="178"/>
      <c r="O229" s="178"/>
    </row>
    <row r="230" spans="3:15">
      <c r="C230" s="178"/>
      <c r="D230" s="178"/>
      <c r="E230" s="178"/>
      <c r="F230" s="178"/>
      <c r="G230" s="178"/>
      <c r="H230" s="178"/>
      <c r="I230" s="178"/>
      <c r="J230" s="178"/>
      <c r="K230" s="178"/>
      <c r="L230" s="178"/>
      <c r="M230" s="178"/>
      <c r="N230" s="178"/>
      <c r="O230" s="178"/>
    </row>
    <row r="231" spans="3:15">
      <c r="C231" s="178"/>
      <c r="D231" s="178"/>
      <c r="E231" s="178"/>
      <c r="F231" s="178"/>
      <c r="G231" s="178"/>
      <c r="H231" s="178"/>
      <c r="I231" s="178"/>
      <c r="J231" s="178"/>
      <c r="K231" s="178"/>
      <c r="L231" s="178"/>
      <c r="M231" s="178"/>
      <c r="N231" s="178"/>
      <c r="O231" s="178"/>
    </row>
    <row r="232" spans="3:15">
      <c r="C232" s="178"/>
      <c r="D232" s="178"/>
      <c r="E232" s="178"/>
      <c r="F232" s="178"/>
      <c r="G232" s="178"/>
      <c r="H232" s="178"/>
      <c r="I232" s="178"/>
      <c r="J232" s="178"/>
      <c r="K232" s="178"/>
      <c r="L232" s="178"/>
      <c r="M232" s="178"/>
      <c r="N232" s="178"/>
      <c r="O232" s="178"/>
    </row>
    <row r="233" spans="3:15">
      <c r="C233" s="178"/>
      <c r="D233" s="178"/>
      <c r="E233" s="178"/>
      <c r="F233" s="178"/>
      <c r="G233" s="178"/>
      <c r="H233" s="178"/>
      <c r="I233" s="178"/>
      <c r="J233" s="178"/>
      <c r="K233" s="178"/>
      <c r="L233" s="178"/>
      <c r="M233" s="178"/>
      <c r="N233" s="178"/>
      <c r="O233" s="178"/>
    </row>
    <row r="234" spans="3:15">
      <c r="C234" s="178"/>
      <c r="D234" s="178"/>
      <c r="E234" s="178"/>
      <c r="F234" s="178"/>
      <c r="G234" s="178"/>
      <c r="H234" s="178"/>
      <c r="I234" s="178"/>
      <c r="J234" s="178"/>
      <c r="K234" s="178"/>
      <c r="L234" s="178"/>
      <c r="M234" s="178"/>
      <c r="N234" s="178"/>
      <c r="O234" s="178"/>
    </row>
    <row r="235" spans="3:15">
      <c r="C235" s="178"/>
      <c r="D235" s="178"/>
      <c r="E235" s="178"/>
      <c r="F235" s="178"/>
      <c r="G235" s="178"/>
      <c r="H235" s="178"/>
      <c r="I235" s="178"/>
      <c r="J235" s="178"/>
      <c r="K235" s="178"/>
      <c r="L235" s="178"/>
      <c r="M235" s="178"/>
      <c r="N235" s="178"/>
      <c r="O235" s="178"/>
    </row>
    <row r="236" spans="3:15">
      <c r="C236" s="178"/>
      <c r="D236" s="178"/>
      <c r="E236" s="178"/>
      <c r="F236" s="178"/>
      <c r="G236" s="178"/>
      <c r="H236" s="178"/>
      <c r="I236" s="178"/>
      <c r="J236" s="178"/>
      <c r="K236" s="178"/>
      <c r="L236" s="178"/>
      <c r="M236" s="178"/>
      <c r="N236" s="178"/>
      <c r="O236" s="178"/>
    </row>
    <row r="237" spans="3:15">
      <c r="C237" s="178"/>
      <c r="D237" s="178"/>
      <c r="E237" s="178"/>
      <c r="F237" s="178"/>
      <c r="G237" s="178"/>
      <c r="H237" s="178"/>
      <c r="I237" s="178"/>
      <c r="J237" s="178"/>
      <c r="K237" s="178"/>
      <c r="L237" s="178"/>
      <c r="M237" s="178"/>
      <c r="N237" s="178"/>
      <c r="O237" s="178"/>
    </row>
    <row r="238" spans="3:15">
      <c r="C238" s="178"/>
      <c r="D238" s="178"/>
      <c r="E238" s="178"/>
      <c r="F238" s="178"/>
      <c r="G238" s="178"/>
      <c r="H238" s="178"/>
      <c r="I238" s="178"/>
      <c r="J238" s="178"/>
      <c r="K238" s="178"/>
      <c r="L238" s="178"/>
      <c r="M238" s="178"/>
      <c r="N238" s="178"/>
      <c r="O238" s="178"/>
    </row>
    <row r="239" spans="3:15">
      <c r="C239" s="178"/>
      <c r="D239" s="178"/>
      <c r="E239" s="178"/>
      <c r="F239" s="178"/>
      <c r="G239" s="178"/>
      <c r="H239" s="178"/>
      <c r="I239" s="178"/>
      <c r="J239" s="178"/>
      <c r="K239" s="178"/>
      <c r="L239" s="178"/>
      <c r="M239" s="178"/>
      <c r="N239" s="178"/>
      <c r="O239" s="178"/>
    </row>
    <row r="240" spans="3:15">
      <c r="C240" s="178"/>
      <c r="D240" s="178"/>
      <c r="E240" s="178"/>
      <c r="F240" s="178"/>
      <c r="G240" s="178"/>
      <c r="H240" s="178"/>
      <c r="I240" s="178"/>
      <c r="J240" s="178"/>
      <c r="K240" s="178"/>
      <c r="L240" s="178"/>
      <c r="M240" s="178"/>
      <c r="N240" s="178"/>
      <c r="O240" s="178"/>
    </row>
    <row r="241" spans="3:15">
      <c r="C241" s="178"/>
      <c r="D241" s="178"/>
      <c r="E241" s="178"/>
      <c r="F241" s="178"/>
      <c r="G241" s="178"/>
      <c r="H241" s="178"/>
      <c r="I241" s="178"/>
      <c r="J241" s="178"/>
      <c r="K241" s="178"/>
      <c r="L241" s="178"/>
      <c r="M241" s="178"/>
      <c r="N241" s="178"/>
      <c r="O241" s="178"/>
    </row>
    <row r="242" spans="3:15">
      <c r="C242" s="178"/>
      <c r="D242" s="178"/>
      <c r="E242" s="178"/>
      <c r="F242" s="178"/>
      <c r="G242" s="178"/>
      <c r="H242" s="178"/>
      <c r="I242" s="178"/>
      <c r="J242" s="178"/>
      <c r="K242" s="178"/>
      <c r="L242" s="178"/>
      <c r="M242" s="178"/>
      <c r="N242" s="178"/>
      <c r="O242" s="178"/>
    </row>
    <row r="243" spans="3:15">
      <c r="C243" s="178"/>
      <c r="D243" s="178"/>
      <c r="E243" s="178"/>
      <c r="F243" s="178"/>
      <c r="G243" s="178"/>
      <c r="H243" s="178"/>
      <c r="I243" s="178"/>
      <c r="J243" s="178"/>
      <c r="K243" s="178"/>
      <c r="L243" s="178"/>
      <c r="M243" s="178"/>
      <c r="N243" s="178"/>
      <c r="O243" s="178"/>
    </row>
    <row r="244" spans="3:15">
      <c r="C244" s="178"/>
      <c r="D244" s="178"/>
      <c r="E244" s="178"/>
      <c r="F244" s="178"/>
      <c r="G244" s="178"/>
      <c r="H244" s="178"/>
      <c r="I244" s="178"/>
      <c r="J244" s="178"/>
      <c r="K244" s="178"/>
      <c r="L244" s="178"/>
      <c r="M244" s="178"/>
      <c r="N244" s="178"/>
      <c r="O244" s="178"/>
    </row>
    <row r="245" spans="3:15">
      <c r="C245" s="178"/>
      <c r="D245" s="178"/>
      <c r="E245" s="178"/>
      <c r="F245" s="178"/>
      <c r="G245" s="178"/>
      <c r="H245" s="178"/>
      <c r="I245" s="178"/>
      <c r="J245" s="178"/>
      <c r="K245" s="178"/>
      <c r="L245" s="178"/>
      <c r="M245" s="178"/>
      <c r="N245" s="178"/>
      <c r="O245" s="178"/>
    </row>
    <row r="246" spans="3:15">
      <c r="C246" s="178"/>
      <c r="D246" s="178"/>
      <c r="E246" s="178"/>
      <c r="F246" s="178"/>
      <c r="G246" s="178"/>
      <c r="H246" s="178"/>
      <c r="I246" s="178"/>
      <c r="J246" s="178"/>
      <c r="K246" s="178"/>
      <c r="L246" s="178"/>
      <c r="M246" s="178"/>
      <c r="N246" s="178"/>
      <c r="O246" s="178"/>
    </row>
    <row r="247" spans="3:15">
      <c r="C247" s="178"/>
      <c r="D247" s="178"/>
      <c r="E247" s="178"/>
      <c r="F247" s="178"/>
      <c r="G247" s="178"/>
      <c r="H247" s="178"/>
      <c r="I247" s="178"/>
      <c r="J247" s="178"/>
      <c r="K247" s="178"/>
      <c r="L247" s="178"/>
      <c r="M247" s="178"/>
      <c r="N247" s="178"/>
      <c r="O247" s="178"/>
    </row>
    <row r="248" spans="3:15">
      <c r="C248" s="178"/>
      <c r="D248" s="178"/>
      <c r="E248" s="178"/>
      <c r="F248" s="178"/>
      <c r="G248" s="178"/>
      <c r="H248" s="178"/>
      <c r="I248" s="178"/>
      <c r="J248" s="178"/>
      <c r="K248" s="178"/>
      <c r="L248" s="178"/>
      <c r="M248" s="178"/>
      <c r="N248" s="178"/>
      <c r="O248" s="178"/>
    </row>
    <row r="249" spans="3:15">
      <c r="C249" s="178"/>
      <c r="D249" s="178"/>
      <c r="E249" s="178"/>
      <c r="F249" s="178"/>
      <c r="G249" s="178"/>
      <c r="H249" s="178"/>
      <c r="I249" s="178"/>
      <c r="J249" s="178"/>
      <c r="K249" s="178"/>
      <c r="L249" s="178"/>
      <c r="M249" s="178"/>
      <c r="N249" s="178"/>
      <c r="O249" s="178"/>
    </row>
    <row r="250" spans="3:15">
      <c r="C250" s="178"/>
      <c r="D250" s="178"/>
      <c r="E250" s="178"/>
      <c r="F250" s="178"/>
      <c r="G250" s="178"/>
      <c r="H250" s="178"/>
      <c r="I250" s="178"/>
      <c r="J250" s="178"/>
      <c r="K250" s="178"/>
      <c r="L250" s="178"/>
      <c r="M250" s="178"/>
      <c r="N250" s="178"/>
      <c r="O250" s="178"/>
    </row>
    <row r="251" spans="3:15">
      <c r="C251" s="178"/>
      <c r="D251" s="178"/>
      <c r="E251" s="178"/>
      <c r="F251" s="178"/>
      <c r="G251" s="178"/>
      <c r="H251" s="178"/>
      <c r="I251" s="178"/>
      <c r="J251" s="178"/>
      <c r="K251" s="178"/>
      <c r="L251" s="178"/>
      <c r="M251" s="178"/>
      <c r="N251" s="178"/>
      <c r="O251" s="178"/>
    </row>
    <row r="252" spans="3:15">
      <c r="C252" s="178"/>
      <c r="D252" s="178"/>
      <c r="E252" s="178"/>
      <c r="F252" s="178"/>
      <c r="G252" s="178"/>
      <c r="H252" s="178"/>
      <c r="I252" s="178"/>
      <c r="J252" s="178"/>
      <c r="K252" s="178"/>
      <c r="L252" s="178"/>
      <c r="M252" s="178"/>
      <c r="N252" s="178"/>
      <c r="O252" s="178"/>
    </row>
    <row r="253" spans="3:15">
      <c r="C253" s="178"/>
      <c r="D253" s="178"/>
      <c r="E253" s="178"/>
      <c r="F253" s="178"/>
      <c r="G253" s="178"/>
      <c r="H253" s="178"/>
      <c r="I253" s="178"/>
      <c r="J253" s="178"/>
      <c r="K253" s="178"/>
      <c r="L253" s="178"/>
      <c r="M253" s="178"/>
      <c r="N253" s="178"/>
      <c r="O253" s="178"/>
    </row>
    <row r="254" spans="3:15">
      <c r="C254" s="178"/>
      <c r="D254" s="178"/>
      <c r="E254" s="178"/>
      <c r="F254" s="178"/>
      <c r="G254" s="178"/>
      <c r="H254" s="178"/>
      <c r="I254" s="178"/>
      <c r="J254" s="178"/>
      <c r="K254" s="178"/>
      <c r="L254" s="178"/>
      <c r="M254" s="178"/>
      <c r="N254" s="178"/>
      <c r="O254" s="178"/>
    </row>
    <row r="255" spans="3:15">
      <c r="C255" s="178"/>
      <c r="D255" s="178"/>
      <c r="E255" s="178"/>
      <c r="F255" s="178"/>
      <c r="G255" s="178"/>
      <c r="H255" s="178"/>
      <c r="I255" s="178"/>
      <c r="J255" s="178"/>
      <c r="K255" s="178"/>
      <c r="L255" s="178"/>
      <c r="M255" s="178"/>
      <c r="N255" s="178"/>
      <c r="O255" s="178"/>
    </row>
    <row r="256" spans="3:15">
      <c r="C256" s="178"/>
      <c r="D256" s="178"/>
      <c r="E256" s="178"/>
      <c r="F256" s="178"/>
      <c r="G256" s="178"/>
      <c r="H256" s="178"/>
      <c r="I256" s="178"/>
      <c r="J256" s="178"/>
      <c r="K256" s="178"/>
      <c r="L256" s="178"/>
      <c r="M256" s="178"/>
      <c r="N256" s="178"/>
      <c r="O256" s="178"/>
    </row>
    <row r="257" spans="3:15">
      <c r="C257" s="178"/>
      <c r="D257" s="178"/>
      <c r="E257" s="178"/>
      <c r="F257" s="178"/>
      <c r="G257" s="178"/>
      <c r="H257" s="178"/>
      <c r="I257" s="178"/>
      <c r="J257" s="178"/>
      <c r="K257" s="178"/>
      <c r="L257" s="178"/>
      <c r="M257" s="178"/>
      <c r="N257" s="178"/>
      <c r="O257" s="178"/>
    </row>
    <row r="258" spans="3:15">
      <c r="C258" s="178"/>
      <c r="D258" s="178"/>
      <c r="E258" s="178"/>
      <c r="F258" s="178"/>
      <c r="G258" s="178"/>
      <c r="H258" s="178"/>
      <c r="I258" s="178"/>
      <c r="J258" s="178"/>
      <c r="K258" s="178"/>
      <c r="L258" s="178"/>
      <c r="M258" s="178"/>
      <c r="N258" s="178"/>
      <c r="O258" s="178"/>
    </row>
    <row r="259" spans="3:15">
      <c r="C259" s="178"/>
      <c r="D259" s="178"/>
      <c r="E259" s="178"/>
      <c r="F259" s="178"/>
      <c r="G259" s="178"/>
      <c r="H259" s="178"/>
      <c r="I259" s="178"/>
      <c r="J259" s="178"/>
      <c r="K259" s="178"/>
      <c r="L259" s="178"/>
      <c r="M259" s="178"/>
      <c r="N259" s="178"/>
      <c r="O259" s="178"/>
    </row>
    <row r="260" spans="3:15">
      <c r="C260" s="178"/>
      <c r="D260" s="178"/>
      <c r="E260" s="178"/>
      <c r="F260" s="178"/>
      <c r="G260" s="178"/>
      <c r="H260" s="178"/>
      <c r="I260" s="178"/>
      <c r="J260" s="178"/>
      <c r="K260" s="178"/>
      <c r="L260" s="178"/>
      <c r="M260" s="178"/>
      <c r="N260" s="178"/>
      <c r="O260" s="178"/>
    </row>
    <row r="261" spans="3:15">
      <c r="C261" s="178"/>
      <c r="D261" s="178"/>
      <c r="E261" s="178"/>
      <c r="F261" s="178"/>
      <c r="G261" s="178"/>
      <c r="H261" s="178"/>
      <c r="I261" s="178"/>
      <c r="J261" s="178"/>
      <c r="K261" s="178"/>
      <c r="L261" s="178"/>
      <c r="M261" s="178"/>
      <c r="N261" s="178"/>
      <c r="O261" s="178"/>
    </row>
    <row r="262" spans="3:15">
      <c r="C262" s="178"/>
      <c r="D262" s="178"/>
      <c r="E262" s="178"/>
      <c r="F262" s="178"/>
      <c r="G262" s="178"/>
      <c r="H262" s="178"/>
      <c r="I262" s="178"/>
      <c r="J262" s="178"/>
      <c r="K262" s="178"/>
      <c r="L262" s="178"/>
      <c r="M262" s="178"/>
      <c r="N262" s="178"/>
      <c r="O262" s="178"/>
    </row>
    <row r="263" spans="3:15">
      <c r="C263" s="178"/>
      <c r="D263" s="178"/>
      <c r="E263" s="178"/>
      <c r="F263" s="178"/>
      <c r="G263" s="178"/>
      <c r="H263" s="178"/>
      <c r="I263" s="178"/>
      <c r="J263" s="178"/>
      <c r="K263" s="178"/>
      <c r="L263" s="178"/>
      <c r="M263" s="178"/>
      <c r="N263" s="178"/>
      <c r="O263" s="178"/>
    </row>
    <row r="264" spans="3:15">
      <c r="C264" s="178"/>
      <c r="D264" s="178"/>
      <c r="E264" s="178"/>
      <c r="F264" s="178"/>
      <c r="G264" s="178"/>
      <c r="H264" s="178"/>
      <c r="I264" s="178"/>
      <c r="J264" s="178"/>
      <c r="K264" s="178"/>
      <c r="L264" s="178"/>
      <c r="M264" s="178"/>
      <c r="N264" s="178"/>
      <c r="O264" s="178"/>
    </row>
    <row r="265" spans="3:15">
      <c r="C265" s="178"/>
      <c r="D265" s="178"/>
      <c r="E265" s="178"/>
      <c r="F265" s="178"/>
      <c r="G265" s="178"/>
      <c r="H265" s="178"/>
      <c r="I265" s="178"/>
      <c r="J265" s="178"/>
      <c r="K265" s="178"/>
      <c r="L265" s="178"/>
      <c r="M265" s="178"/>
      <c r="N265" s="178"/>
      <c r="O265" s="178"/>
    </row>
    <row r="266" spans="3:15">
      <c r="C266" s="178"/>
      <c r="D266" s="178"/>
      <c r="E266" s="178"/>
      <c r="F266" s="178"/>
      <c r="G266" s="178"/>
      <c r="H266" s="178"/>
      <c r="I266" s="178"/>
      <c r="J266" s="178"/>
      <c r="K266" s="178"/>
      <c r="L266" s="178"/>
      <c r="M266" s="178"/>
      <c r="N266" s="178"/>
      <c r="O266" s="178"/>
    </row>
    <row r="267" spans="3:15">
      <c r="C267" s="178"/>
      <c r="D267" s="178"/>
      <c r="E267" s="178"/>
      <c r="F267" s="178"/>
      <c r="G267" s="178"/>
      <c r="H267" s="178"/>
      <c r="I267" s="178"/>
      <c r="J267" s="178"/>
      <c r="K267" s="178"/>
      <c r="L267" s="178"/>
      <c r="M267" s="178"/>
      <c r="N267" s="178"/>
      <c r="O267" s="178"/>
    </row>
    <row r="268" spans="3:15">
      <c r="C268" s="178"/>
      <c r="D268" s="178"/>
      <c r="E268" s="178"/>
      <c r="F268" s="178"/>
      <c r="G268" s="178"/>
      <c r="H268" s="178"/>
      <c r="I268" s="178"/>
      <c r="J268" s="178"/>
      <c r="K268" s="178"/>
      <c r="L268" s="178"/>
      <c r="M268" s="178"/>
      <c r="N268" s="178"/>
      <c r="O268" s="178"/>
    </row>
    <row r="269" spans="3:15">
      <c r="C269" s="178"/>
      <c r="D269" s="178"/>
      <c r="E269" s="178"/>
      <c r="F269" s="178"/>
      <c r="G269" s="178"/>
      <c r="H269" s="178"/>
      <c r="I269" s="178"/>
      <c r="J269" s="178"/>
      <c r="K269" s="178"/>
      <c r="L269" s="178"/>
      <c r="M269" s="178"/>
      <c r="N269" s="178"/>
      <c r="O269" s="178"/>
    </row>
    <row r="270" spans="3:15">
      <c r="C270" s="178"/>
      <c r="D270" s="178"/>
      <c r="E270" s="178"/>
      <c r="F270" s="178"/>
      <c r="G270" s="178"/>
      <c r="H270" s="178"/>
      <c r="I270" s="178"/>
      <c r="J270" s="178"/>
      <c r="K270" s="178"/>
      <c r="L270" s="178"/>
      <c r="M270" s="178"/>
      <c r="N270" s="178"/>
      <c r="O270" s="178"/>
    </row>
    <row r="271" spans="3:15">
      <c r="C271" s="178"/>
      <c r="D271" s="178"/>
      <c r="E271" s="178"/>
      <c r="F271" s="178"/>
      <c r="G271" s="178"/>
      <c r="H271" s="178"/>
      <c r="I271" s="178"/>
      <c r="J271" s="178"/>
      <c r="K271" s="178"/>
      <c r="L271" s="178"/>
      <c r="M271" s="178"/>
      <c r="N271" s="178"/>
      <c r="O271" s="178"/>
    </row>
    <row r="272" spans="3:15">
      <c r="C272" s="178"/>
      <c r="D272" s="178"/>
      <c r="E272" s="178"/>
      <c r="F272" s="178"/>
      <c r="G272" s="178"/>
      <c r="H272" s="178"/>
      <c r="I272" s="178"/>
      <c r="J272" s="178"/>
      <c r="K272" s="178"/>
      <c r="L272" s="178"/>
      <c r="M272" s="178"/>
      <c r="N272" s="178"/>
      <c r="O272" s="178"/>
    </row>
    <row r="273" spans="3:15">
      <c r="C273" s="178"/>
      <c r="D273" s="178"/>
      <c r="E273" s="178"/>
      <c r="F273" s="178"/>
      <c r="G273" s="178"/>
      <c r="H273" s="178"/>
      <c r="I273" s="178"/>
      <c r="J273" s="178"/>
      <c r="K273" s="178"/>
      <c r="L273" s="178"/>
      <c r="M273" s="178"/>
      <c r="N273" s="178"/>
      <c r="O273" s="178"/>
    </row>
    <row r="274" spans="3:15">
      <c r="C274" s="178"/>
      <c r="D274" s="178"/>
      <c r="E274" s="178"/>
      <c r="F274" s="178"/>
      <c r="G274" s="178"/>
      <c r="H274" s="178"/>
      <c r="I274" s="178"/>
      <c r="J274" s="178"/>
      <c r="K274" s="178"/>
      <c r="L274" s="178"/>
      <c r="M274" s="178"/>
      <c r="N274" s="178"/>
      <c r="O274" s="178"/>
    </row>
    <row r="275" spans="3:15">
      <c r="C275" s="178"/>
      <c r="D275" s="178"/>
      <c r="E275" s="178"/>
      <c r="F275" s="178"/>
      <c r="G275" s="178"/>
      <c r="H275" s="178"/>
      <c r="I275" s="178"/>
      <c r="J275" s="178"/>
      <c r="K275" s="178"/>
      <c r="L275" s="178"/>
      <c r="M275" s="178"/>
      <c r="N275" s="178"/>
      <c r="O275" s="178"/>
    </row>
    <row r="276" spans="3:15">
      <c r="C276" s="178"/>
      <c r="D276" s="178"/>
      <c r="E276" s="178"/>
      <c r="F276" s="178"/>
      <c r="G276" s="178"/>
      <c r="H276" s="178"/>
      <c r="I276" s="178"/>
      <c r="J276" s="178"/>
      <c r="K276" s="178"/>
      <c r="L276" s="178"/>
      <c r="M276" s="178"/>
      <c r="N276" s="178"/>
      <c r="O276" s="178"/>
    </row>
    <row r="277" spans="3:15">
      <c r="C277" s="178"/>
      <c r="D277" s="178"/>
      <c r="E277" s="178"/>
      <c r="F277" s="178"/>
      <c r="G277" s="178"/>
      <c r="H277" s="178"/>
      <c r="I277" s="178"/>
      <c r="J277" s="178"/>
      <c r="K277" s="178"/>
      <c r="L277" s="178"/>
      <c r="M277" s="178"/>
      <c r="N277" s="178"/>
      <c r="O277" s="178"/>
    </row>
    <row r="278" spans="3:15">
      <c r="C278" s="178"/>
      <c r="D278" s="178"/>
      <c r="E278" s="178"/>
      <c r="F278" s="178"/>
      <c r="G278" s="178"/>
      <c r="H278" s="178"/>
      <c r="I278" s="178"/>
      <c r="J278" s="178"/>
      <c r="K278" s="178"/>
      <c r="L278" s="178"/>
      <c r="M278" s="178"/>
      <c r="N278" s="178"/>
      <c r="O278" s="178"/>
    </row>
    <row r="279" spans="3:15">
      <c r="C279" s="178"/>
      <c r="D279" s="178"/>
      <c r="E279" s="178"/>
      <c r="F279" s="178"/>
      <c r="G279" s="178"/>
      <c r="H279" s="178"/>
      <c r="I279" s="178"/>
      <c r="J279" s="178"/>
      <c r="K279" s="178"/>
      <c r="L279" s="178"/>
      <c r="M279" s="178"/>
      <c r="N279" s="178"/>
      <c r="O279" s="178"/>
    </row>
    <row r="280" spans="3:15">
      <c r="C280" s="178"/>
      <c r="D280" s="178"/>
      <c r="E280" s="178"/>
      <c r="F280" s="178"/>
      <c r="G280" s="178"/>
      <c r="H280" s="178"/>
      <c r="I280" s="178"/>
      <c r="J280" s="178"/>
      <c r="K280" s="178"/>
      <c r="L280" s="178"/>
      <c r="M280" s="178"/>
      <c r="N280" s="178"/>
      <c r="O280" s="178"/>
    </row>
    <row r="281" spans="3:15">
      <c r="C281" s="178"/>
      <c r="D281" s="178"/>
      <c r="E281" s="178"/>
      <c r="F281" s="178"/>
      <c r="G281" s="178"/>
      <c r="H281" s="178"/>
      <c r="I281" s="178"/>
      <c r="J281" s="178"/>
      <c r="K281" s="178"/>
      <c r="L281" s="178"/>
      <c r="M281" s="178"/>
      <c r="N281" s="178"/>
      <c r="O281" s="178"/>
    </row>
    <row r="282" spans="3:15">
      <c r="C282" s="178"/>
      <c r="D282" s="178"/>
      <c r="E282" s="178"/>
      <c r="F282" s="178"/>
      <c r="G282" s="178"/>
      <c r="H282" s="178"/>
      <c r="I282" s="178"/>
      <c r="J282" s="178"/>
      <c r="K282" s="178"/>
      <c r="L282" s="178"/>
      <c r="M282" s="178"/>
      <c r="N282" s="178"/>
      <c r="O282" s="178"/>
    </row>
    <row r="283" spans="3:15">
      <c r="C283" s="178"/>
      <c r="D283" s="178"/>
      <c r="E283" s="178"/>
      <c r="F283" s="178"/>
      <c r="G283" s="178"/>
      <c r="H283" s="178"/>
      <c r="I283" s="178"/>
      <c r="J283" s="178"/>
      <c r="K283" s="178"/>
      <c r="L283" s="178"/>
      <c r="M283" s="178"/>
      <c r="N283" s="178"/>
      <c r="O283" s="178"/>
    </row>
    <row r="284" spans="3:15">
      <c r="C284" s="178"/>
      <c r="D284" s="178"/>
      <c r="E284" s="178"/>
      <c r="F284" s="178"/>
      <c r="G284" s="178"/>
      <c r="H284" s="178"/>
      <c r="I284" s="178"/>
      <c r="J284" s="178"/>
      <c r="K284" s="178"/>
      <c r="L284" s="178"/>
      <c r="M284" s="178"/>
      <c r="N284" s="178"/>
      <c r="O284" s="178"/>
    </row>
    <row r="285" spans="3:15">
      <c r="C285" s="178"/>
      <c r="D285" s="178"/>
      <c r="E285" s="178"/>
      <c r="F285" s="178"/>
      <c r="G285" s="178"/>
      <c r="H285" s="178"/>
      <c r="I285" s="178"/>
      <c r="J285" s="178"/>
      <c r="K285" s="178"/>
      <c r="L285" s="178"/>
      <c r="M285" s="178"/>
      <c r="N285" s="178"/>
      <c r="O285" s="178"/>
    </row>
    <row r="286" spans="3:15">
      <c r="C286" s="178"/>
      <c r="D286" s="178"/>
      <c r="E286" s="178"/>
      <c r="F286" s="178"/>
      <c r="G286" s="178"/>
      <c r="H286" s="178"/>
      <c r="I286" s="178"/>
      <c r="J286" s="178"/>
      <c r="K286" s="178"/>
      <c r="L286" s="178"/>
      <c r="M286" s="178"/>
      <c r="N286" s="178"/>
      <c r="O286" s="178"/>
    </row>
    <row r="287" spans="3:15">
      <c r="C287" s="178"/>
      <c r="D287" s="178"/>
      <c r="E287" s="178"/>
      <c r="F287" s="178"/>
      <c r="G287" s="178"/>
      <c r="H287" s="178"/>
      <c r="I287" s="178"/>
      <c r="J287" s="178"/>
      <c r="K287" s="178"/>
      <c r="L287" s="178"/>
      <c r="M287" s="178"/>
      <c r="N287" s="178"/>
      <c r="O287" s="178"/>
    </row>
    <row r="288" spans="3:15">
      <c r="C288" s="178"/>
      <c r="D288" s="178"/>
      <c r="E288" s="178"/>
      <c r="F288" s="178"/>
      <c r="G288" s="178"/>
      <c r="H288" s="178"/>
      <c r="I288" s="178"/>
      <c r="J288" s="178"/>
      <c r="K288" s="178"/>
      <c r="L288" s="178"/>
      <c r="M288" s="178"/>
      <c r="N288" s="178"/>
      <c r="O288" s="178"/>
    </row>
    <row r="289" spans="3:15">
      <c r="C289" s="178"/>
      <c r="D289" s="178"/>
      <c r="E289" s="178"/>
      <c r="F289" s="178"/>
      <c r="G289" s="178"/>
      <c r="H289" s="178"/>
      <c r="I289" s="178"/>
      <c r="J289" s="178"/>
      <c r="K289" s="178"/>
      <c r="L289" s="178"/>
      <c r="M289" s="178"/>
      <c r="N289" s="178"/>
      <c r="O289" s="178"/>
    </row>
    <row r="290" spans="3:15">
      <c r="C290" s="178"/>
      <c r="D290" s="178"/>
      <c r="E290" s="178"/>
      <c r="F290" s="178"/>
      <c r="G290" s="178"/>
      <c r="H290" s="178"/>
      <c r="I290" s="178"/>
      <c r="J290" s="178"/>
      <c r="K290" s="178"/>
      <c r="L290" s="178"/>
      <c r="M290" s="178"/>
      <c r="N290" s="178"/>
      <c r="O290" s="178"/>
    </row>
    <row r="291" spans="3:15">
      <c r="C291" s="178"/>
      <c r="D291" s="178"/>
      <c r="E291" s="178"/>
      <c r="F291" s="178"/>
      <c r="G291" s="178"/>
      <c r="H291" s="178"/>
      <c r="I291" s="178"/>
      <c r="J291" s="178"/>
    </row>
    <row r="292" spans="3:15">
      <c r="C292" s="178"/>
      <c r="D292" s="178"/>
      <c r="E292" s="178"/>
      <c r="F292" s="178"/>
      <c r="G292" s="178"/>
      <c r="H292" s="178"/>
      <c r="I292" s="178"/>
      <c r="J292" s="178"/>
    </row>
    <row r="293" spans="3:15">
      <c r="C293" s="178"/>
      <c r="D293" s="178"/>
      <c r="E293" s="178"/>
      <c r="F293" s="178"/>
      <c r="G293" s="178"/>
      <c r="H293" s="178"/>
      <c r="I293" s="178"/>
      <c r="J293" s="178"/>
    </row>
    <row r="294" spans="3:15">
      <c r="C294" s="178"/>
      <c r="D294" s="178"/>
      <c r="E294" s="178"/>
      <c r="F294" s="178"/>
      <c r="G294" s="178"/>
      <c r="H294" s="178"/>
      <c r="I294" s="178"/>
      <c r="J294" s="178"/>
    </row>
    <row r="295" spans="3:15">
      <c r="C295" s="178"/>
      <c r="D295" s="178"/>
      <c r="E295" s="178"/>
      <c r="F295" s="178"/>
      <c r="G295" s="178"/>
      <c r="H295" s="178"/>
      <c r="I295" s="178"/>
      <c r="J295" s="178"/>
    </row>
    <row r="296" spans="3:15">
      <c r="C296" s="178"/>
      <c r="D296" s="178"/>
      <c r="E296" s="178"/>
      <c r="F296" s="178"/>
      <c r="G296" s="178"/>
      <c r="H296" s="178"/>
      <c r="I296" s="178"/>
      <c r="J296" s="178"/>
    </row>
    <row r="297" spans="3:15">
      <c r="C297" s="178"/>
      <c r="D297" s="178"/>
      <c r="E297" s="178"/>
      <c r="F297" s="178"/>
      <c r="G297" s="178"/>
      <c r="H297" s="178"/>
      <c r="I297" s="178"/>
      <c r="J297" s="178"/>
    </row>
    <row r="298" spans="3:15">
      <c r="C298" s="178"/>
      <c r="D298" s="178"/>
      <c r="E298" s="178"/>
      <c r="F298" s="178"/>
      <c r="G298" s="178"/>
      <c r="H298" s="178"/>
      <c r="I298" s="178"/>
      <c r="J298" s="178"/>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32" orientation="landscape" horizontalDpi="300" verticalDpi="300" r:id="rId1"/>
  <headerFooter alignWithMargins="0"/>
  <rowBreaks count="1" manualBreakCount="1">
    <brk id="48" min="10" max="2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tabColor rgb="FF00B050"/>
    <pageSetUpPr fitToPage="1"/>
  </sheetPr>
  <dimension ref="A1:M156"/>
  <sheetViews>
    <sheetView zoomScale="90" zoomScaleNormal="90" workbookViewId="0"/>
  </sheetViews>
  <sheetFormatPr defaultColWidth="8.81640625" defaultRowHeight="13.2"/>
  <cols>
    <col min="1" max="1" width="8.81640625" style="402"/>
    <col min="2" max="2" width="0.90625" style="402" customWidth="1"/>
    <col min="3" max="3" width="8.81640625" style="402"/>
    <col min="4" max="4" width="1.54296875" style="402" customWidth="1"/>
    <col min="5" max="5" width="46.08984375" style="402" customWidth="1"/>
    <col min="6" max="6" width="6" style="402" customWidth="1"/>
    <col min="7" max="7" width="9.6328125" style="409" customWidth="1"/>
    <col min="8" max="16384" width="8.81640625" style="402"/>
  </cols>
  <sheetData>
    <row r="1" spans="1:13">
      <c r="F1" s="907" t="s">
        <v>306</v>
      </c>
      <c r="I1" s="1020"/>
      <c r="J1" s="409"/>
      <c r="K1" s="409"/>
      <c r="L1" s="409"/>
      <c r="M1" s="409"/>
    </row>
    <row r="2" spans="1:13">
      <c r="F2" s="907" t="s">
        <v>790</v>
      </c>
      <c r="I2" s="1020"/>
      <c r="J2" s="409"/>
      <c r="K2" s="409"/>
      <c r="L2" s="409"/>
      <c r="M2" s="409"/>
    </row>
    <row r="3" spans="1:13">
      <c r="F3" s="907" t="s">
        <v>792</v>
      </c>
      <c r="I3" s="1020"/>
      <c r="J3" s="409"/>
      <c r="K3" s="409"/>
      <c r="L3" s="409"/>
      <c r="M3" s="409"/>
    </row>
    <row r="4" spans="1:13">
      <c r="I4" s="1020"/>
      <c r="J4" s="409"/>
      <c r="K4" s="409"/>
      <c r="L4" s="409"/>
      <c r="M4" s="409"/>
    </row>
    <row r="6" spans="1:13" ht="15.6">
      <c r="A6" s="954" t="s">
        <v>422</v>
      </c>
      <c r="B6" s="400"/>
      <c r="C6" s="400"/>
      <c r="D6" s="400"/>
      <c r="E6" s="400"/>
      <c r="F6" s="400"/>
      <c r="G6" s="401"/>
    </row>
    <row r="7" spans="1:13" ht="15.6">
      <c r="A7" s="954" t="s">
        <v>423</v>
      </c>
      <c r="B7" s="400"/>
      <c r="C7" s="400"/>
      <c r="D7" s="400"/>
      <c r="E7" s="400"/>
      <c r="F7" s="400"/>
      <c r="G7" s="401"/>
    </row>
    <row r="10" spans="1:13">
      <c r="A10" s="944" t="s">
        <v>424</v>
      </c>
      <c r="B10" s="403"/>
      <c r="C10" s="944" t="s">
        <v>425</v>
      </c>
      <c r="D10" s="403"/>
      <c r="E10" s="403"/>
      <c r="F10" s="403"/>
      <c r="G10" s="947" t="s">
        <v>268</v>
      </c>
    </row>
    <row r="11" spans="1:13">
      <c r="A11" s="944" t="s">
        <v>426</v>
      </c>
      <c r="B11" s="403"/>
      <c r="C11" s="944" t="s">
        <v>426</v>
      </c>
      <c r="D11" s="403"/>
      <c r="E11" s="403"/>
      <c r="F11" s="403"/>
      <c r="G11" s="947" t="s">
        <v>427</v>
      </c>
    </row>
    <row r="12" spans="1:13">
      <c r="A12" s="945" t="s">
        <v>428</v>
      </c>
      <c r="B12" s="405"/>
      <c r="C12" s="945" t="s">
        <v>428</v>
      </c>
      <c r="D12" s="405"/>
      <c r="E12" s="945" t="s">
        <v>429</v>
      </c>
      <c r="F12" s="405"/>
      <c r="G12" s="948" t="s">
        <v>430</v>
      </c>
    </row>
    <row r="13" spans="1:13">
      <c r="A13" s="946" t="s">
        <v>398</v>
      </c>
      <c r="B13" s="403"/>
      <c r="C13" s="946" t="s">
        <v>399</v>
      </c>
      <c r="D13" s="403"/>
      <c r="E13" s="944" t="s">
        <v>400</v>
      </c>
      <c r="F13" s="403"/>
      <c r="G13" s="949" t="s">
        <v>431</v>
      </c>
    </row>
    <row r="14" spans="1:13">
      <c r="A14" s="406"/>
      <c r="B14" s="403"/>
      <c r="C14" s="406"/>
      <c r="D14" s="403"/>
      <c r="E14" s="403"/>
      <c r="F14" s="403"/>
      <c r="G14" s="947" t="s">
        <v>84</v>
      </c>
    </row>
    <row r="15" spans="1:13">
      <c r="A15" s="407" t="s">
        <v>432</v>
      </c>
      <c r="B15" s="407"/>
      <c r="C15" s="400"/>
      <c r="D15" s="400"/>
      <c r="E15" s="400"/>
      <c r="F15" s="400"/>
      <c r="G15" s="401"/>
    </row>
    <row r="16" spans="1:13">
      <c r="G16" s="408"/>
    </row>
    <row r="17" spans="1:7">
      <c r="A17" s="757">
        <v>350</v>
      </c>
      <c r="B17" s="757"/>
      <c r="C17" s="757">
        <v>3403</v>
      </c>
      <c r="E17" s="402" t="s">
        <v>433</v>
      </c>
      <c r="G17" s="950">
        <v>1.54</v>
      </c>
    </row>
    <row r="18" spans="1:7">
      <c r="A18" s="757">
        <v>352</v>
      </c>
      <c r="B18" s="757"/>
      <c r="C18" s="757">
        <v>3420</v>
      </c>
      <c r="E18" s="402" t="s">
        <v>434</v>
      </c>
      <c r="G18" s="950">
        <v>1.9</v>
      </c>
    </row>
    <row r="19" spans="1:7">
      <c r="A19" s="757">
        <v>352</v>
      </c>
      <c r="B19" s="757"/>
      <c r="C19" s="757">
        <v>3424</v>
      </c>
      <c r="E19" s="402" t="s">
        <v>435</v>
      </c>
      <c r="G19" s="950">
        <v>1.9</v>
      </c>
    </row>
    <row r="20" spans="1:7">
      <c r="A20" s="757">
        <v>353</v>
      </c>
      <c r="B20" s="757"/>
      <c r="C20" s="757">
        <v>3430</v>
      </c>
      <c r="E20" s="402" t="s">
        <v>436</v>
      </c>
      <c r="G20" s="950">
        <v>1.68</v>
      </c>
    </row>
    <row r="21" spans="1:7">
      <c r="A21" s="757">
        <v>353</v>
      </c>
      <c r="B21" s="757"/>
      <c r="C21" s="757">
        <v>3434</v>
      </c>
      <c r="E21" s="402" t="s">
        <v>437</v>
      </c>
      <c r="G21" s="950">
        <v>1.68</v>
      </c>
    </row>
    <row r="22" spans="1:7">
      <c r="A22" s="757">
        <v>354</v>
      </c>
      <c r="B22" s="757"/>
      <c r="C22" s="757">
        <v>3440</v>
      </c>
      <c r="E22" s="402" t="s">
        <v>438</v>
      </c>
      <c r="G22" s="950">
        <v>1.85</v>
      </c>
    </row>
    <row r="23" spans="1:7">
      <c r="A23" s="757">
        <v>354</v>
      </c>
      <c r="B23" s="757"/>
      <c r="C23" s="757">
        <v>3444</v>
      </c>
      <c r="E23" s="402" t="s">
        <v>439</v>
      </c>
      <c r="G23" s="950">
        <v>1.85</v>
      </c>
    </row>
    <row r="24" spans="1:7">
      <c r="A24" s="757">
        <v>355</v>
      </c>
      <c r="B24" s="757"/>
      <c r="C24" s="757">
        <v>3450</v>
      </c>
      <c r="E24" s="402" t="s">
        <v>440</v>
      </c>
      <c r="G24" s="950">
        <v>2.31</v>
      </c>
    </row>
    <row r="25" spans="1:7">
      <c r="A25" s="757">
        <v>355</v>
      </c>
      <c r="B25" s="757"/>
      <c r="C25" s="757">
        <v>3454</v>
      </c>
      <c r="E25" s="402" t="s">
        <v>441</v>
      </c>
      <c r="G25" s="950">
        <v>2.31</v>
      </c>
    </row>
    <row r="26" spans="1:7">
      <c r="A26" s="757">
        <v>356</v>
      </c>
      <c r="B26" s="757"/>
      <c r="C26" s="757">
        <v>3460</v>
      </c>
      <c r="E26" s="402" t="s">
        <v>442</v>
      </c>
      <c r="G26" s="950">
        <v>1.91</v>
      </c>
    </row>
    <row r="27" spans="1:7">
      <c r="A27" s="757">
        <v>356</v>
      </c>
      <c r="B27" s="757"/>
      <c r="C27" s="757">
        <v>3464</v>
      </c>
      <c r="E27" s="402" t="s">
        <v>443</v>
      </c>
      <c r="G27" s="950">
        <v>1.91</v>
      </c>
    </row>
    <row r="28" spans="1:7">
      <c r="A28" s="757">
        <v>357</v>
      </c>
      <c r="B28" s="757"/>
      <c r="C28" s="757">
        <v>3470</v>
      </c>
      <c r="E28" s="402" t="s">
        <v>444</v>
      </c>
      <c r="G28" s="950">
        <v>1.43</v>
      </c>
    </row>
    <row r="29" spans="1:7">
      <c r="A29" s="757">
        <v>358</v>
      </c>
      <c r="B29" s="757"/>
      <c r="C29" s="757">
        <v>3480</v>
      </c>
      <c r="E29" s="402" t="s">
        <v>445</v>
      </c>
      <c r="G29" s="950">
        <v>2.37</v>
      </c>
    </row>
    <row r="30" spans="1:7">
      <c r="A30" s="757"/>
      <c r="B30" s="757"/>
      <c r="C30" s="757"/>
      <c r="G30" s="950"/>
    </row>
    <row r="31" spans="1:7">
      <c r="A31" s="758" t="s">
        <v>446</v>
      </c>
      <c r="B31" s="759"/>
      <c r="C31" s="759"/>
      <c r="D31" s="400"/>
      <c r="E31" s="400"/>
      <c r="F31" s="400"/>
      <c r="G31" s="972"/>
    </row>
    <row r="32" spans="1:7">
      <c r="A32" s="757"/>
      <c r="B32" s="757"/>
      <c r="C32" s="757"/>
      <c r="G32" s="950"/>
    </row>
    <row r="33" spans="1:7">
      <c r="A33" s="757">
        <v>352</v>
      </c>
      <c r="B33" s="757"/>
      <c r="C33" s="757">
        <v>3421</v>
      </c>
      <c r="E33" s="402" t="s">
        <v>447</v>
      </c>
      <c r="G33" s="950">
        <v>2.5</v>
      </c>
    </row>
    <row r="34" spans="1:7">
      <c r="A34" s="757">
        <v>352</v>
      </c>
      <c r="B34" s="757"/>
      <c r="C34" s="757">
        <v>3425</v>
      </c>
      <c r="E34" s="402" t="s">
        <v>447</v>
      </c>
      <c r="G34" s="950">
        <v>2.5</v>
      </c>
    </row>
    <row r="35" spans="1:7">
      <c r="A35" s="757">
        <v>353</v>
      </c>
      <c r="B35" s="757"/>
      <c r="C35" s="757">
        <v>3431</v>
      </c>
      <c r="E35" s="402" t="s">
        <v>448</v>
      </c>
      <c r="G35" s="950">
        <v>2.86</v>
      </c>
    </row>
    <row r="36" spans="1:7">
      <c r="A36" s="757">
        <v>353</v>
      </c>
      <c r="B36" s="757"/>
      <c r="C36" s="757">
        <v>3432</v>
      </c>
      <c r="E36" s="402" t="s">
        <v>448</v>
      </c>
      <c r="G36" s="950">
        <v>2.86</v>
      </c>
    </row>
    <row r="37" spans="1:7">
      <c r="A37" s="757">
        <v>353</v>
      </c>
      <c r="B37" s="757"/>
      <c r="C37" s="757">
        <v>3435</v>
      </c>
      <c r="E37" s="402" t="s">
        <v>448</v>
      </c>
      <c r="G37" s="950">
        <v>2.86</v>
      </c>
    </row>
    <row r="38" spans="1:7">
      <c r="A38" s="757">
        <v>353</v>
      </c>
      <c r="B38" s="757"/>
      <c r="C38" s="757">
        <v>3437</v>
      </c>
      <c r="E38" s="402" t="s">
        <v>448</v>
      </c>
      <c r="G38" s="950">
        <v>2.86</v>
      </c>
    </row>
    <row r="39" spans="1:7">
      <c r="A39" s="757">
        <v>354</v>
      </c>
      <c r="B39" s="757"/>
      <c r="C39" s="757">
        <v>3441</v>
      </c>
      <c r="E39" s="402" t="s">
        <v>449</v>
      </c>
      <c r="G39" s="950">
        <v>3</v>
      </c>
    </row>
    <row r="40" spans="1:7">
      <c r="A40" s="757">
        <v>354</v>
      </c>
      <c r="B40" s="757"/>
      <c r="C40" s="757">
        <v>3442</v>
      </c>
      <c r="E40" s="402" t="s">
        <v>449</v>
      </c>
      <c r="G40" s="950">
        <v>3</v>
      </c>
    </row>
    <row r="41" spans="1:7">
      <c r="A41" s="757">
        <v>354</v>
      </c>
      <c r="B41" s="757"/>
      <c r="C41" s="757">
        <v>3445</v>
      </c>
      <c r="E41" s="402" t="s">
        <v>449</v>
      </c>
      <c r="G41" s="950">
        <v>3</v>
      </c>
    </row>
    <row r="42" spans="1:7">
      <c r="A42" s="757">
        <v>354</v>
      </c>
      <c r="B42" s="757"/>
      <c r="C42" s="757">
        <v>3446</v>
      </c>
      <c r="E42" s="402" t="s">
        <v>450</v>
      </c>
      <c r="G42" s="950">
        <v>3</v>
      </c>
    </row>
    <row r="43" spans="1:7">
      <c r="A43" s="757">
        <v>354</v>
      </c>
      <c r="B43" s="757"/>
      <c r="C43" s="757">
        <v>3448</v>
      </c>
      <c r="E43" s="402" t="s">
        <v>449</v>
      </c>
      <c r="G43" s="950">
        <v>3</v>
      </c>
    </row>
    <row r="44" spans="1:7">
      <c r="A44" s="757">
        <v>355</v>
      </c>
      <c r="B44" s="757"/>
      <c r="C44" s="757">
        <v>3451</v>
      </c>
      <c r="E44" s="402" t="s">
        <v>451</v>
      </c>
      <c r="G44" s="950">
        <v>3</v>
      </c>
    </row>
    <row r="45" spans="1:7">
      <c r="A45" s="757">
        <v>355</v>
      </c>
      <c r="B45" s="757"/>
      <c r="C45" s="757">
        <v>3455</v>
      </c>
      <c r="E45" s="402" t="s">
        <v>451</v>
      </c>
      <c r="G45" s="950">
        <v>3</v>
      </c>
    </row>
    <row r="46" spans="1:7">
      <c r="A46" s="757">
        <v>356</v>
      </c>
      <c r="B46" s="757"/>
      <c r="C46" s="757">
        <v>3461</v>
      </c>
      <c r="E46" s="402" t="s">
        <v>452</v>
      </c>
      <c r="G46" s="950">
        <v>2.5</v>
      </c>
    </row>
    <row r="47" spans="1:7">
      <c r="A47" s="757">
        <v>356</v>
      </c>
      <c r="B47" s="757"/>
      <c r="C47" s="757">
        <v>3462</v>
      </c>
      <c r="E47" s="402" t="s">
        <v>452</v>
      </c>
      <c r="G47" s="950">
        <v>2.5</v>
      </c>
    </row>
    <row r="48" spans="1:7">
      <c r="A48" s="757">
        <v>356</v>
      </c>
      <c r="B48" s="757"/>
      <c r="C48" s="757">
        <v>3465</v>
      </c>
      <c r="E48" s="402" t="s">
        <v>452</v>
      </c>
      <c r="G48" s="950">
        <v>2.5</v>
      </c>
    </row>
    <row r="49" spans="1:7">
      <c r="A49" s="757">
        <v>356</v>
      </c>
      <c r="B49" s="757"/>
      <c r="C49" s="757">
        <v>3466</v>
      </c>
      <c r="E49" s="402" t="s">
        <v>453</v>
      </c>
      <c r="G49" s="950">
        <v>2.5</v>
      </c>
    </row>
    <row r="50" spans="1:7">
      <c r="A50" s="757"/>
      <c r="B50" s="757"/>
      <c r="C50" s="757"/>
      <c r="G50" s="950"/>
    </row>
    <row r="51" spans="1:7">
      <c r="A51" s="758" t="s">
        <v>454</v>
      </c>
      <c r="B51" s="759"/>
      <c r="C51" s="759"/>
      <c r="D51" s="400"/>
      <c r="E51" s="400"/>
      <c r="F51" s="400"/>
      <c r="G51" s="972"/>
    </row>
    <row r="52" spans="1:7">
      <c r="A52" s="757"/>
      <c r="B52" s="757"/>
      <c r="C52" s="757"/>
      <c r="G52" s="950"/>
    </row>
    <row r="53" spans="1:7">
      <c r="A53" s="757">
        <v>352</v>
      </c>
      <c r="B53" s="757"/>
      <c r="C53" s="757">
        <v>3423</v>
      </c>
      <c r="E53" s="402" t="s">
        <v>455</v>
      </c>
      <c r="G53" s="950">
        <v>2.5</v>
      </c>
    </row>
    <row r="54" spans="1:7">
      <c r="A54" s="757">
        <v>353</v>
      </c>
      <c r="B54" s="757"/>
      <c r="C54" s="757">
        <v>3433</v>
      </c>
      <c r="E54" s="402" t="s">
        <v>456</v>
      </c>
      <c r="G54" s="950">
        <v>2.86</v>
      </c>
    </row>
    <row r="55" spans="1:7">
      <c r="A55" s="757">
        <v>353</v>
      </c>
      <c r="B55" s="757"/>
      <c r="C55" s="757">
        <v>3438</v>
      </c>
      <c r="E55" s="402" t="s">
        <v>456</v>
      </c>
      <c r="G55" s="950">
        <v>2.86</v>
      </c>
    </row>
    <row r="56" spans="1:7">
      <c r="A56" s="757">
        <v>354</v>
      </c>
      <c r="B56" s="757"/>
      <c r="C56" s="757">
        <v>3447</v>
      </c>
      <c r="E56" s="402" t="s">
        <v>457</v>
      </c>
      <c r="G56" s="950">
        <v>3</v>
      </c>
    </row>
    <row r="57" spans="1:7">
      <c r="A57" s="757">
        <v>356</v>
      </c>
      <c r="B57" s="757"/>
      <c r="C57" s="757">
        <v>3467</v>
      </c>
      <c r="E57" s="402" t="s">
        <v>458</v>
      </c>
      <c r="G57" s="950">
        <v>2.5</v>
      </c>
    </row>
    <row r="58" spans="1:7">
      <c r="A58" s="757"/>
      <c r="B58" s="757"/>
      <c r="C58" s="757"/>
      <c r="G58" s="850"/>
    </row>
    <row r="59" spans="1:7">
      <c r="A59" s="908"/>
      <c r="B59" s="908"/>
      <c r="C59" s="908"/>
      <c r="D59" s="909"/>
      <c r="E59" s="909"/>
      <c r="F59" s="909"/>
      <c r="G59" s="910"/>
    </row>
    <row r="60" spans="1:7">
      <c r="F60" s="907" t="s">
        <v>306</v>
      </c>
    </row>
    <row r="61" spans="1:7">
      <c r="F61" s="907" t="s">
        <v>790</v>
      </c>
    </row>
    <row r="62" spans="1:7">
      <c r="F62" s="907" t="s">
        <v>793</v>
      </c>
    </row>
    <row r="65" spans="1:7" ht="15.6">
      <c r="A65" s="954" t="str">
        <f>A6</f>
        <v>DUKE ENERGY OHIO, INC.</v>
      </c>
      <c r="B65" s="400"/>
      <c r="C65" s="400"/>
      <c r="D65" s="400"/>
      <c r="E65" s="400"/>
      <c r="F65" s="400"/>
      <c r="G65" s="401"/>
    </row>
    <row r="66" spans="1:7" ht="15.6">
      <c r="A66" s="954" t="str">
        <f>A7</f>
        <v>DEPRECIATION RATES</v>
      </c>
      <c r="B66" s="400"/>
      <c r="C66" s="400"/>
      <c r="D66" s="400"/>
      <c r="E66" s="400"/>
      <c r="F66" s="400"/>
      <c r="G66" s="401"/>
    </row>
    <row r="69" spans="1:7">
      <c r="A69" s="944" t="s">
        <v>424</v>
      </c>
      <c r="B69" s="944"/>
      <c r="C69" s="944" t="s">
        <v>425</v>
      </c>
      <c r="D69" s="944"/>
      <c r="E69" s="944"/>
      <c r="F69" s="944"/>
      <c r="G69" s="947" t="s">
        <v>268</v>
      </c>
    </row>
    <row r="70" spans="1:7">
      <c r="A70" s="944" t="s">
        <v>426</v>
      </c>
      <c r="B70" s="944"/>
      <c r="C70" s="944" t="s">
        <v>426</v>
      </c>
      <c r="D70" s="944"/>
      <c r="E70" s="944"/>
      <c r="F70" s="944"/>
      <c r="G70" s="947" t="s">
        <v>427</v>
      </c>
    </row>
    <row r="71" spans="1:7">
      <c r="A71" s="945" t="s">
        <v>428</v>
      </c>
      <c r="B71" s="945"/>
      <c r="C71" s="945" t="s">
        <v>428</v>
      </c>
      <c r="D71" s="945"/>
      <c r="E71" s="945" t="s">
        <v>429</v>
      </c>
      <c r="F71" s="945"/>
      <c r="G71" s="948" t="s">
        <v>430</v>
      </c>
    </row>
    <row r="72" spans="1:7">
      <c r="A72" s="946" t="s">
        <v>398</v>
      </c>
      <c r="B72" s="944"/>
      <c r="C72" s="946" t="s">
        <v>399</v>
      </c>
      <c r="D72" s="944"/>
      <c r="E72" s="944" t="s">
        <v>400</v>
      </c>
      <c r="F72" s="944"/>
      <c r="G72" s="949" t="s">
        <v>431</v>
      </c>
    </row>
    <row r="73" spans="1:7">
      <c r="A73" s="406"/>
      <c r="B73" s="403"/>
      <c r="C73" s="406"/>
      <c r="D73" s="403"/>
      <c r="E73" s="403"/>
      <c r="F73" s="403"/>
      <c r="G73" s="947" t="s">
        <v>84</v>
      </c>
    </row>
    <row r="74" spans="1:7">
      <c r="A74" s="758" t="s">
        <v>510</v>
      </c>
      <c r="B74" s="759"/>
      <c r="C74" s="759"/>
      <c r="D74" s="400"/>
      <c r="E74" s="400"/>
      <c r="F74" s="400"/>
      <c r="G74" s="401"/>
    </row>
    <row r="75" spans="1:7">
      <c r="A75" s="757"/>
      <c r="B75" s="757"/>
      <c r="C75" s="757"/>
      <c r="G75" s="850"/>
    </row>
    <row r="76" spans="1:7">
      <c r="A76" s="760">
        <v>303</v>
      </c>
      <c r="B76" s="761">
        <v>3030</v>
      </c>
      <c r="C76" s="757">
        <v>3030</v>
      </c>
      <c r="E76" s="402" t="s">
        <v>459</v>
      </c>
      <c r="G76" s="950">
        <v>20</v>
      </c>
    </row>
    <row r="77" spans="1:7">
      <c r="A77" s="760">
        <v>389</v>
      </c>
      <c r="B77" s="761">
        <v>3890</v>
      </c>
      <c r="C77" s="757">
        <v>3890</v>
      </c>
      <c r="E77" s="402" t="s">
        <v>460</v>
      </c>
      <c r="G77" s="951" t="s">
        <v>461</v>
      </c>
    </row>
    <row r="78" spans="1:7">
      <c r="A78" s="760">
        <v>390</v>
      </c>
      <c r="B78" s="761">
        <v>3900</v>
      </c>
      <c r="C78" s="757">
        <v>3900</v>
      </c>
      <c r="E78" s="402" t="s">
        <v>462</v>
      </c>
      <c r="G78" s="950">
        <v>2.9</v>
      </c>
    </row>
    <row r="79" spans="1:7">
      <c r="A79" s="760">
        <v>391</v>
      </c>
      <c r="B79" s="761">
        <v>3910</v>
      </c>
      <c r="C79" s="757">
        <v>3910</v>
      </c>
      <c r="E79" s="402" t="s">
        <v>463</v>
      </c>
      <c r="G79" s="950">
        <v>5</v>
      </c>
    </row>
    <row r="80" spans="1:7">
      <c r="A80" s="760">
        <v>391</v>
      </c>
      <c r="B80" s="761">
        <v>3911</v>
      </c>
      <c r="C80" s="757">
        <v>3911</v>
      </c>
      <c r="E80" s="402" t="s">
        <v>464</v>
      </c>
      <c r="G80" s="950">
        <v>20</v>
      </c>
    </row>
    <row r="81" spans="1:7">
      <c r="A81" s="760">
        <v>392</v>
      </c>
      <c r="B81" s="761">
        <v>3920</v>
      </c>
      <c r="C81" s="757">
        <v>3920</v>
      </c>
      <c r="E81" s="402" t="s">
        <v>465</v>
      </c>
      <c r="G81" s="950">
        <v>7.5</v>
      </c>
    </row>
    <row r="82" spans="1:7">
      <c r="A82" s="760">
        <v>392</v>
      </c>
      <c r="B82" s="761">
        <v>3921</v>
      </c>
      <c r="C82" s="757">
        <v>3921</v>
      </c>
      <c r="E82" s="402" t="s">
        <v>466</v>
      </c>
      <c r="G82" s="950">
        <v>4.05</v>
      </c>
    </row>
    <row r="83" spans="1:7">
      <c r="A83" s="760">
        <v>394</v>
      </c>
      <c r="B83" s="761">
        <v>3940</v>
      </c>
      <c r="C83" s="757">
        <v>3940</v>
      </c>
      <c r="E83" s="402" t="s">
        <v>467</v>
      </c>
      <c r="G83" s="950">
        <v>4</v>
      </c>
    </row>
    <row r="84" spans="1:7">
      <c r="A84" s="760">
        <v>395</v>
      </c>
      <c r="B84" s="761">
        <v>3950</v>
      </c>
      <c r="C84" s="757">
        <v>3950</v>
      </c>
      <c r="E84" s="402" t="s">
        <v>468</v>
      </c>
      <c r="G84" s="950">
        <v>6.67</v>
      </c>
    </row>
    <row r="85" spans="1:7">
      <c r="A85" s="760">
        <v>396</v>
      </c>
      <c r="B85" s="761">
        <v>3960</v>
      </c>
      <c r="C85" s="757">
        <v>3960</v>
      </c>
      <c r="E85" s="402" t="s">
        <v>469</v>
      </c>
      <c r="G85" s="950">
        <v>4.45</v>
      </c>
    </row>
    <row r="86" spans="1:7">
      <c r="A86" s="760">
        <v>397</v>
      </c>
      <c r="B86" s="761">
        <v>3970</v>
      </c>
      <c r="C86" s="757">
        <v>3970</v>
      </c>
      <c r="E86" s="402" t="s">
        <v>470</v>
      </c>
      <c r="G86" s="950">
        <v>6.67</v>
      </c>
    </row>
    <row r="87" spans="1:7">
      <c r="A87" s="760">
        <v>398</v>
      </c>
      <c r="B87" s="761">
        <v>3980</v>
      </c>
      <c r="C87" s="757">
        <v>3980</v>
      </c>
      <c r="E87" s="402" t="s">
        <v>471</v>
      </c>
      <c r="G87" s="950">
        <v>5</v>
      </c>
    </row>
    <row r="88" spans="1:7">
      <c r="A88" s="403"/>
      <c r="B88" s="403"/>
      <c r="C88" s="403"/>
      <c r="G88" s="950"/>
    </row>
    <row r="89" spans="1:7">
      <c r="B89" s="403"/>
      <c r="C89" s="403"/>
      <c r="G89" s="951"/>
    </row>
    <row r="90" spans="1:7" hidden="1">
      <c r="A90" s="407" t="s">
        <v>788</v>
      </c>
      <c r="B90" s="400"/>
      <c r="C90" s="400"/>
      <c r="D90" s="400"/>
      <c r="E90" s="400"/>
      <c r="F90" s="400"/>
      <c r="G90" s="971"/>
    </row>
    <row r="91" spans="1:7" hidden="1">
      <c r="A91" s="403"/>
      <c r="B91" s="403"/>
      <c r="C91" s="403"/>
      <c r="G91" s="951"/>
    </row>
    <row r="92" spans="1:7" ht="15" hidden="1">
      <c r="A92" s="757"/>
      <c r="B92" s="763"/>
      <c r="C92" s="757">
        <v>1030</v>
      </c>
      <c r="E92" s="402" t="s">
        <v>476</v>
      </c>
      <c r="G92" s="951"/>
    </row>
    <row r="93" spans="1:7" ht="15" hidden="1">
      <c r="A93" s="757"/>
      <c r="B93" s="763"/>
      <c r="C93" s="757">
        <v>1900</v>
      </c>
      <c r="E93" s="402" t="s">
        <v>462</v>
      </c>
      <c r="G93" s="951"/>
    </row>
    <row r="94" spans="1:7" ht="15" hidden="1">
      <c r="A94" s="757"/>
      <c r="B94" s="763"/>
      <c r="C94" s="757">
        <v>1910</v>
      </c>
      <c r="E94" s="402" t="s">
        <v>463</v>
      </c>
      <c r="G94" s="951"/>
    </row>
    <row r="95" spans="1:7" ht="15" hidden="1">
      <c r="A95" s="757"/>
      <c r="B95" s="763"/>
      <c r="C95" s="757">
        <v>1911</v>
      </c>
      <c r="E95" s="402" t="s">
        <v>464</v>
      </c>
      <c r="G95" s="951"/>
    </row>
    <row r="96" spans="1:7" ht="15" hidden="1">
      <c r="A96" s="757"/>
      <c r="B96" s="763"/>
      <c r="C96" s="757">
        <v>1940</v>
      </c>
      <c r="E96" s="402" t="s">
        <v>467</v>
      </c>
      <c r="G96" s="951"/>
    </row>
    <row r="97" spans="1:7" ht="15" hidden="1">
      <c r="A97" s="757"/>
      <c r="B97" s="763"/>
      <c r="C97" s="757">
        <v>1970</v>
      </c>
      <c r="E97" s="402" t="s">
        <v>470</v>
      </c>
      <c r="G97" s="951"/>
    </row>
    <row r="98" spans="1:7" ht="15" hidden="1">
      <c r="A98" s="757"/>
      <c r="B98" s="763"/>
      <c r="C98" s="757">
        <v>1980</v>
      </c>
      <c r="E98" s="402" t="s">
        <v>789</v>
      </c>
      <c r="G98" s="951"/>
    </row>
    <row r="99" spans="1:7" hidden="1">
      <c r="A99" s="403"/>
      <c r="B99" s="403"/>
      <c r="C99" s="403"/>
      <c r="G99" s="404"/>
    </row>
    <row r="100" spans="1:7">
      <c r="A100" s="403"/>
      <c r="B100" s="403"/>
      <c r="C100" s="403"/>
      <c r="G100" s="404"/>
    </row>
    <row r="101" spans="1:7">
      <c r="A101" s="403"/>
      <c r="B101" s="403"/>
      <c r="C101" s="403"/>
      <c r="G101" s="404"/>
    </row>
    <row r="102" spans="1:7">
      <c r="A102" s="403"/>
      <c r="B102" s="403"/>
      <c r="C102" s="403"/>
      <c r="G102" s="404"/>
    </row>
    <row r="103" spans="1:7">
      <c r="A103" s="403"/>
      <c r="B103" s="403"/>
      <c r="C103" s="403"/>
      <c r="G103" s="404"/>
    </row>
    <row r="104" spans="1:7">
      <c r="A104" s="403"/>
      <c r="B104" s="403"/>
      <c r="C104" s="403"/>
      <c r="G104" s="404"/>
    </row>
    <row r="105" spans="1:7">
      <c r="A105" s="403"/>
      <c r="B105" s="403"/>
      <c r="C105" s="403"/>
      <c r="G105" s="404"/>
    </row>
    <row r="106" spans="1:7">
      <c r="A106" s="403"/>
      <c r="B106" s="403"/>
      <c r="C106" s="403"/>
      <c r="G106" s="404"/>
    </row>
    <row r="107" spans="1:7">
      <c r="A107" s="403"/>
      <c r="B107" s="403"/>
      <c r="C107" s="403"/>
      <c r="G107" s="404"/>
    </row>
    <row r="108" spans="1:7">
      <c r="A108" s="403"/>
      <c r="B108" s="403"/>
      <c r="C108" s="403"/>
      <c r="G108" s="404"/>
    </row>
    <row r="109" spans="1:7">
      <c r="A109" s="403"/>
      <c r="B109" s="403"/>
      <c r="C109" s="403"/>
      <c r="G109" s="404"/>
    </row>
    <row r="110" spans="1:7">
      <c r="A110" s="403"/>
      <c r="B110" s="403"/>
      <c r="C110" s="403"/>
      <c r="G110" s="404"/>
    </row>
    <row r="111" spans="1:7">
      <c r="A111" s="403"/>
      <c r="B111" s="403"/>
      <c r="C111" s="403"/>
      <c r="G111" s="404"/>
    </row>
    <row r="112" spans="1:7">
      <c r="A112" s="403"/>
      <c r="B112" s="403"/>
      <c r="C112" s="403"/>
      <c r="G112" s="404"/>
    </row>
    <row r="113" spans="1:7">
      <c r="A113" s="403"/>
      <c r="B113" s="403"/>
      <c r="C113" s="403"/>
      <c r="G113" s="404"/>
    </row>
    <row r="114" spans="1:7">
      <c r="A114" s="403"/>
      <c r="B114" s="403"/>
      <c r="C114" s="403"/>
      <c r="G114" s="404"/>
    </row>
    <row r="115" spans="1:7">
      <c r="A115" s="403"/>
      <c r="B115" s="403"/>
      <c r="C115" s="403"/>
      <c r="G115" s="404"/>
    </row>
    <row r="116" spans="1:7">
      <c r="A116" s="403"/>
      <c r="B116" s="403"/>
      <c r="C116" s="403"/>
      <c r="G116" s="404"/>
    </row>
    <row r="117" spans="1:7">
      <c r="A117" s="403"/>
      <c r="B117" s="403"/>
      <c r="C117" s="403"/>
      <c r="G117" s="404"/>
    </row>
    <row r="118" spans="1:7">
      <c r="A118" s="403"/>
      <c r="B118" s="403"/>
      <c r="C118" s="403"/>
      <c r="G118" s="404"/>
    </row>
    <row r="119" spans="1:7">
      <c r="A119" s="403"/>
      <c r="B119" s="403"/>
      <c r="C119" s="403"/>
      <c r="G119" s="404"/>
    </row>
    <row r="120" spans="1:7">
      <c r="A120" s="403"/>
      <c r="B120" s="403"/>
      <c r="C120" s="403"/>
      <c r="G120" s="404"/>
    </row>
    <row r="121" spans="1:7">
      <c r="A121" s="403"/>
      <c r="B121" s="403"/>
      <c r="C121" s="403"/>
      <c r="G121" s="404"/>
    </row>
    <row r="122" spans="1:7">
      <c r="A122" s="403"/>
      <c r="B122" s="403"/>
      <c r="C122" s="403"/>
      <c r="G122" s="404"/>
    </row>
    <row r="123" spans="1:7">
      <c r="A123" s="403"/>
      <c r="B123" s="403"/>
      <c r="C123" s="403"/>
      <c r="G123" s="404"/>
    </row>
    <row r="124" spans="1:7">
      <c r="A124" s="403"/>
      <c r="B124" s="403"/>
      <c r="C124" s="403"/>
      <c r="G124" s="404"/>
    </row>
    <row r="125" spans="1:7">
      <c r="A125" s="403"/>
      <c r="B125" s="403"/>
      <c r="C125" s="403"/>
    </row>
    <row r="126" spans="1:7">
      <c r="A126" s="403"/>
      <c r="B126" s="403"/>
      <c r="C126" s="403"/>
    </row>
    <row r="127" spans="1:7">
      <c r="A127" s="403"/>
      <c r="B127" s="403"/>
      <c r="C127" s="403"/>
    </row>
    <row r="128" spans="1:7">
      <c r="A128" s="403"/>
      <c r="B128" s="403"/>
      <c r="C128" s="403"/>
    </row>
    <row r="129" spans="1:3">
      <c r="A129" s="403"/>
      <c r="B129" s="403"/>
      <c r="C129" s="403"/>
    </row>
    <row r="130" spans="1:3">
      <c r="A130" s="403"/>
      <c r="B130" s="403"/>
      <c r="C130" s="403"/>
    </row>
    <row r="131" spans="1:3">
      <c r="A131" s="403"/>
      <c r="B131" s="403"/>
      <c r="C131" s="403"/>
    </row>
    <row r="132" spans="1:3">
      <c r="A132" s="403"/>
      <c r="B132" s="403"/>
      <c r="C132" s="403"/>
    </row>
    <row r="133" spans="1:3">
      <c r="A133" s="403"/>
      <c r="B133" s="403"/>
      <c r="C133" s="403"/>
    </row>
    <row r="134" spans="1:3">
      <c r="A134" s="403"/>
      <c r="B134" s="403"/>
      <c r="C134" s="403"/>
    </row>
    <row r="135" spans="1:3">
      <c r="A135" s="403"/>
      <c r="B135" s="403"/>
      <c r="C135" s="403"/>
    </row>
    <row r="136" spans="1:3">
      <c r="A136" s="403"/>
      <c r="B136" s="403"/>
      <c r="C136" s="403"/>
    </row>
    <row r="137" spans="1:3">
      <c r="A137" s="403"/>
      <c r="B137" s="403"/>
      <c r="C137" s="403"/>
    </row>
    <row r="138" spans="1:3">
      <c r="A138" s="403"/>
      <c r="B138" s="403"/>
      <c r="C138" s="403"/>
    </row>
    <row r="139" spans="1:3">
      <c r="A139" s="403"/>
      <c r="B139" s="403"/>
      <c r="C139" s="403"/>
    </row>
    <row r="140" spans="1:3">
      <c r="A140" s="403"/>
      <c r="B140" s="403"/>
      <c r="C140" s="403"/>
    </row>
    <row r="141" spans="1:3">
      <c r="A141" s="403"/>
      <c r="B141" s="403"/>
      <c r="C141" s="403"/>
    </row>
    <row r="142" spans="1:3">
      <c r="A142" s="403"/>
      <c r="B142" s="403"/>
      <c r="C142" s="403"/>
    </row>
    <row r="143" spans="1:3">
      <c r="A143" s="403"/>
      <c r="B143" s="403"/>
      <c r="C143" s="403"/>
    </row>
    <row r="144" spans="1:3">
      <c r="A144" s="403"/>
      <c r="B144" s="403"/>
      <c r="C144" s="403"/>
    </row>
    <row r="145" spans="1:3">
      <c r="A145" s="403"/>
      <c r="B145" s="403"/>
      <c r="C145" s="403"/>
    </row>
    <row r="146" spans="1:3">
      <c r="A146" s="403"/>
      <c r="B146" s="403"/>
      <c r="C146" s="403"/>
    </row>
    <row r="147" spans="1:3">
      <c r="A147" s="403"/>
      <c r="B147" s="403"/>
      <c r="C147" s="403"/>
    </row>
    <row r="148" spans="1:3">
      <c r="A148" s="403"/>
      <c r="B148" s="403"/>
      <c r="C148" s="403"/>
    </row>
    <row r="149" spans="1:3">
      <c r="A149" s="403"/>
      <c r="B149" s="403"/>
      <c r="C149" s="403"/>
    </row>
    <row r="150" spans="1:3">
      <c r="A150" s="403"/>
      <c r="B150" s="403"/>
      <c r="C150" s="403"/>
    </row>
    <row r="151" spans="1:3">
      <c r="A151" s="403"/>
      <c r="B151" s="403"/>
      <c r="C151" s="403"/>
    </row>
    <row r="152" spans="1:3">
      <c r="A152" s="403"/>
      <c r="B152" s="403"/>
      <c r="C152" s="403"/>
    </row>
    <row r="153" spans="1:3">
      <c r="A153" s="403"/>
      <c r="B153" s="403"/>
      <c r="C153" s="403"/>
    </row>
    <row r="154" spans="1:3">
      <c r="A154" s="403"/>
      <c r="B154" s="403"/>
      <c r="C154" s="403"/>
    </row>
    <row r="155" spans="1:3">
      <c r="A155" s="403"/>
      <c r="B155" s="403"/>
      <c r="C155" s="403"/>
    </row>
    <row r="156" spans="1:3">
      <c r="A156" s="403"/>
      <c r="B156" s="403"/>
      <c r="C156" s="403"/>
    </row>
  </sheetData>
  <printOptions horizontalCentered="1"/>
  <pageMargins left="0.75" right="0.75" top="0.75" bottom="0.5" header="0.75" footer="0.3"/>
  <pageSetup scale="61"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7">
    <tabColor rgb="FF00B050"/>
    <pageSetUpPr fitToPage="1"/>
  </sheetPr>
  <dimension ref="A1:I102"/>
  <sheetViews>
    <sheetView zoomScale="90" zoomScaleNormal="90" workbookViewId="0"/>
  </sheetViews>
  <sheetFormatPr defaultColWidth="8.81640625" defaultRowHeight="13.2"/>
  <cols>
    <col min="1" max="1" width="8.81640625" style="402"/>
    <col min="2" max="2" width="0.90625" style="402" customWidth="1"/>
    <col min="3" max="3" width="8.81640625" style="402"/>
    <col min="4" max="4" width="1.54296875" style="402" customWidth="1"/>
    <col min="5" max="5" width="46.08984375" style="402" customWidth="1"/>
    <col min="6" max="6" width="6" style="402" customWidth="1"/>
    <col min="7" max="7" width="9.6328125" style="409" customWidth="1"/>
    <col min="8" max="16384" width="8.81640625" style="402"/>
  </cols>
  <sheetData>
    <row r="1" spans="1:7">
      <c r="F1" s="907" t="s">
        <v>306</v>
      </c>
    </row>
    <row r="2" spans="1:7">
      <c r="F2" s="907" t="s">
        <v>790</v>
      </c>
    </row>
    <row r="3" spans="1:7">
      <c r="F3" s="907" t="s">
        <v>791</v>
      </c>
    </row>
    <row r="4" spans="1:7">
      <c r="F4" s="907"/>
    </row>
    <row r="5" spans="1:7">
      <c r="F5" s="907"/>
    </row>
    <row r="6" spans="1:7" ht="15.6">
      <c r="A6" s="954" t="s">
        <v>472</v>
      </c>
      <c r="B6" s="400"/>
      <c r="C6" s="400"/>
      <c r="D6" s="400"/>
      <c r="E6" s="400"/>
      <c r="F6" s="400"/>
      <c r="G6" s="401"/>
    </row>
    <row r="7" spans="1:7" ht="15.6">
      <c r="A7" s="954" t="s">
        <v>423</v>
      </c>
      <c r="B7" s="400"/>
      <c r="C7" s="400"/>
      <c r="D7" s="400"/>
      <c r="E7" s="400"/>
      <c r="F7" s="400"/>
      <c r="G7" s="401"/>
    </row>
    <row r="10" spans="1:7">
      <c r="A10" s="944" t="s">
        <v>424</v>
      </c>
      <c r="B10" s="403"/>
      <c r="C10" s="944" t="s">
        <v>425</v>
      </c>
      <c r="D10" s="403"/>
      <c r="E10" s="403"/>
      <c r="F10" s="403"/>
      <c r="G10" s="947" t="s">
        <v>268</v>
      </c>
    </row>
    <row r="11" spans="1:7">
      <c r="A11" s="944" t="s">
        <v>426</v>
      </c>
      <c r="B11" s="403"/>
      <c r="C11" s="944" t="s">
        <v>426</v>
      </c>
      <c r="D11" s="403"/>
      <c r="E11" s="403"/>
      <c r="F11" s="403"/>
      <c r="G11" s="947" t="s">
        <v>427</v>
      </c>
    </row>
    <row r="12" spans="1:7">
      <c r="A12" s="945" t="s">
        <v>428</v>
      </c>
      <c r="B12" s="405"/>
      <c r="C12" s="945" t="s">
        <v>428</v>
      </c>
      <c r="D12" s="405"/>
      <c r="E12" s="945" t="s">
        <v>429</v>
      </c>
      <c r="F12" s="405"/>
      <c r="G12" s="948" t="s">
        <v>430</v>
      </c>
    </row>
    <row r="13" spans="1:7">
      <c r="A13" s="946" t="s">
        <v>398</v>
      </c>
      <c r="B13" s="403"/>
      <c r="C13" s="946" t="s">
        <v>399</v>
      </c>
      <c r="D13" s="403"/>
      <c r="E13" s="944" t="s">
        <v>400</v>
      </c>
      <c r="F13" s="403"/>
      <c r="G13" s="949" t="s">
        <v>431</v>
      </c>
    </row>
    <row r="14" spans="1:7">
      <c r="A14" s="406"/>
      <c r="B14" s="403"/>
      <c r="C14" s="406"/>
      <c r="D14" s="403"/>
      <c r="E14" s="403"/>
      <c r="F14" s="403"/>
      <c r="G14" s="947" t="s">
        <v>84</v>
      </c>
    </row>
    <row r="15" spans="1:7">
      <c r="A15" s="407" t="s">
        <v>196</v>
      </c>
      <c r="B15" s="407"/>
      <c r="C15" s="400"/>
      <c r="D15" s="400"/>
      <c r="E15" s="400"/>
      <c r="F15" s="400"/>
      <c r="G15" s="401"/>
    </row>
    <row r="16" spans="1:7">
      <c r="G16" s="408"/>
    </row>
    <row r="17" spans="1:8">
      <c r="A17" s="757">
        <v>350</v>
      </c>
      <c r="B17" s="762"/>
      <c r="C17" s="757">
        <v>3501</v>
      </c>
      <c r="E17" s="402" t="s">
        <v>433</v>
      </c>
      <c r="G17" s="950">
        <v>1.27</v>
      </c>
    </row>
    <row r="18" spans="1:8">
      <c r="A18" s="757">
        <v>352</v>
      </c>
      <c r="B18" s="762"/>
      <c r="C18" s="757">
        <v>3520</v>
      </c>
      <c r="E18" s="402" t="s">
        <v>473</v>
      </c>
      <c r="G18" s="950">
        <v>1.96</v>
      </c>
    </row>
    <row r="19" spans="1:8">
      <c r="A19" s="757">
        <v>353</v>
      </c>
      <c r="B19" s="762"/>
      <c r="C19" s="757">
        <v>3530</v>
      </c>
      <c r="E19" s="402" t="s">
        <v>436</v>
      </c>
      <c r="G19" s="950">
        <v>2.16</v>
      </c>
    </row>
    <row r="20" spans="1:8">
      <c r="A20" s="757">
        <v>353</v>
      </c>
      <c r="B20" s="762"/>
      <c r="C20" s="757">
        <v>3532</v>
      </c>
      <c r="E20" s="402" t="s">
        <v>474</v>
      </c>
      <c r="G20" s="950">
        <v>1.73</v>
      </c>
    </row>
    <row r="21" spans="1:8">
      <c r="A21" s="757">
        <v>353</v>
      </c>
      <c r="B21" s="762"/>
      <c r="C21" s="757">
        <v>3535</v>
      </c>
      <c r="E21" s="402" t="s">
        <v>475</v>
      </c>
      <c r="G21" s="950">
        <v>2.16</v>
      </c>
    </row>
    <row r="22" spans="1:8">
      <c r="A22" s="757">
        <v>355</v>
      </c>
      <c r="B22" s="762"/>
      <c r="C22" s="757">
        <v>3550</v>
      </c>
      <c r="E22" s="402" t="s">
        <v>440</v>
      </c>
      <c r="G22" s="950">
        <v>1.76</v>
      </c>
    </row>
    <row r="23" spans="1:8">
      <c r="A23" s="757">
        <v>356</v>
      </c>
      <c r="B23" s="762"/>
      <c r="C23" s="757">
        <v>3560</v>
      </c>
      <c r="E23" s="402" t="s">
        <v>442</v>
      </c>
      <c r="G23" s="950">
        <v>1.91</v>
      </c>
    </row>
    <row r="24" spans="1:8">
      <c r="A24" s="757"/>
      <c r="B24" s="757"/>
      <c r="C24" s="757"/>
      <c r="G24" s="950"/>
    </row>
    <row r="25" spans="1:8">
      <c r="A25" s="757"/>
      <c r="B25" s="757"/>
      <c r="C25" s="757"/>
      <c r="G25" s="951"/>
    </row>
    <row r="26" spans="1:8">
      <c r="A26" s="758" t="s">
        <v>510</v>
      </c>
      <c r="B26" s="759"/>
      <c r="C26" s="759"/>
      <c r="D26" s="400"/>
      <c r="E26" s="400"/>
      <c r="F26" s="400"/>
      <c r="G26" s="971"/>
    </row>
    <row r="27" spans="1:8">
      <c r="A27" s="757"/>
      <c r="B27" s="757"/>
      <c r="C27" s="757"/>
      <c r="G27" s="951"/>
    </row>
    <row r="28" spans="1:8" ht="15.6">
      <c r="A28" s="757">
        <v>303</v>
      </c>
      <c r="B28" s="763"/>
      <c r="C28" s="757">
        <v>3030</v>
      </c>
      <c r="E28" s="402" t="s">
        <v>786</v>
      </c>
      <c r="G28" s="950">
        <v>20</v>
      </c>
      <c r="H28" s="410"/>
    </row>
    <row r="29" spans="1:8" ht="15">
      <c r="A29" s="757">
        <v>303</v>
      </c>
      <c r="B29" s="763"/>
      <c r="C29" s="757">
        <v>30310</v>
      </c>
      <c r="E29" s="402" t="s">
        <v>787</v>
      </c>
      <c r="G29" s="950">
        <v>10</v>
      </c>
    </row>
    <row r="30" spans="1:8" ht="15">
      <c r="A30" s="757">
        <v>390</v>
      </c>
      <c r="B30" s="763"/>
      <c r="C30" s="757">
        <v>3900</v>
      </c>
      <c r="E30" s="1019" t="s">
        <v>462</v>
      </c>
      <c r="G30" s="950">
        <v>3.4</v>
      </c>
    </row>
    <row r="31" spans="1:8" ht="15">
      <c r="A31" s="757">
        <v>391</v>
      </c>
      <c r="B31" s="763"/>
      <c r="C31" s="757">
        <v>3910</v>
      </c>
      <c r="E31" s="1019" t="s">
        <v>463</v>
      </c>
      <c r="G31" s="952">
        <v>5</v>
      </c>
    </row>
    <row r="32" spans="1:8" ht="15">
      <c r="A32" s="757">
        <v>391</v>
      </c>
      <c r="B32" s="763"/>
      <c r="C32" s="757">
        <v>3911</v>
      </c>
      <c r="E32" s="402" t="s">
        <v>464</v>
      </c>
      <c r="G32" s="950">
        <v>20</v>
      </c>
    </row>
    <row r="33" spans="1:9" ht="15">
      <c r="A33" s="757">
        <v>392</v>
      </c>
      <c r="B33" s="763"/>
      <c r="C33" s="757">
        <v>3921</v>
      </c>
      <c r="E33" s="402" t="s">
        <v>466</v>
      </c>
      <c r="G33" s="950">
        <v>3.84</v>
      </c>
    </row>
    <row r="34" spans="1:9" ht="15">
      <c r="A34" s="757">
        <v>394</v>
      </c>
      <c r="B34" s="763"/>
      <c r="C34" s="757">
        <v>3940</v>
      </c>
      <c r="E34" s="402" t="s">
        <v>467</v>
      </c>
      <c r="G34" s="950">
        <v>4</v>
      </c>
    </row>
    <row r="35" spans="1:9" ht="15">
      <c r="A35" s="757">
        <v>397</v>
      </c>
      <c r="B35" s="763"/>
      <c r="C35" s="757">
        <v>3970</v>
      </c>
      <c r="E35" s="1019" t="s">
        <v>470</v>
      </c>
      <c r="G35" s="950">
        <v>6.67</v>
      </c>
    </row>
    <row r="36" spans="1:9" ht="15">
      <c r="A36" s="757"/>
      <c r="B36" s="763"/>
      <c r="C36" s="757"/>
      <c r="G36" s="953"/>
    </row>
    <row r="37" spans="1:9" ht="15">
      <c r="A37" s="757"/>
      <c r="B37" s="763"/>
      <c r="C37" s="757"/>
      <c r="G37" s="953"/>
    </row>
    <row r="38" spans="1:9">
      <c r="A38" s="407" t="s">
        <v>788</v>
      </c>
      <c r="B38" s="400"/>
      <c r="C38" s="400"/>
      <c r="D38" s="400"/>
      <c r="E38" s="400"/>
      <c r="F38" s="400"/>
      <c r="G38" s="972"/>
      <c r="H38" s="905"/>
      <c r="I38" s="905"/>
    </row>
    <row r="39" spans="1:9">
      <c r="A39" s="403"/>
      <c r="B39" s="403"/>
      <c r="C39" s="403"/>
      <c r="G39" s="950"/>
      <c r="H39" s="905"/>
      <c r="I39" s="905"/>
    </row>
    <row r="40" spans="1:9" ht="15">
      <c r="A40" s="757"/>
      <c r="B40" s="763"/>
      <c r="C40" s="757">
        <v>1030</v>
      </c>
      <c r="E40" s="402" t="s">
        <v>476</v>
      </c>
      <c r="G40" s="950">
        <v>20</v>
      </c>
      <c r="H40" s="906"/>
      <c r="I40" s="905"/>
    </row>
    <row r="41" spans="1:9" ht="15">
      <c r="A41" s="757"/>
      <c r="B41" s="763"/>
      <c r="C41" s="757">
        <v>1900</v>
      </c>
      <c r="E41" s="402" t="s">
        <v>462</v>
      </c>
      <c r="G41" s="950">
        <v>1.26</v>
      </c>
      <c r="H41" s="906"/>
      <c r="I41" s="905"/>
    </row>
    <row r="42" spans="1:9" ht="15">
      <c r="A42" s="757"/>
      <c r="B42" s="763"/>
      <c r="C42" s="757">
        <v>1910</v>
      </c>
      <c r="E42" s="402" t="s">
        <v>463</v>
      </c>
      <c r="G42" s="950">
        <v>5</v>
      </c>
      <c r="H42" s="906"/>
      <c r="I42" s="905"/>
    </row>
    <row r="43" spans="1:9" ht="15">
      <c r="A43" s="757"/>
      <c r="B43" s="763"/>
      <c r="C43" s="757">
        <v>1911</v>
      </c>
      <c r="E43" s="402" t="s">
        <v>464</v>
      </c>
      <c r="G43" s="950">
        <v>20</v>
      </c>
      <c r="H43" s="906"/>
      <c r="I43" s="905"/>
    </row>
    <row r="44" spans="1:9" ht="15">
      <c r="A44" s="757"/>
      <c r="B44" s="763"/>
      <c r="C44" s="757">
        <v>1940</v>
      </c>
      <c r="E44" s="402" t="s">
        <v>467</v>
      </c>
      <c r="G44" s="950">
        <v>4</v>
      </c>
      <c r="H44" s="906"/>
      <c r="I44" s="905"/>
    </row>
    <row r="45" spans="1:9" ht="15">
      <c r="A45" s="757"/>
      <c r="B45" s="763"/>
      <c r="C45" s="757">
        <v>1970</v>
      </c>
      <c r="E45" s="402" t="s">
        <v>470</v>
      </c>
      <c r="G45" s="950">
        <v>6.67</v>
      </c>
      <c r="H45" s="906"/>
      <c r="I45" s="905"/>
    </row>
    <row r="46" spans="1:9" ht="15">
      <c r="A46" s="757"/>
      <c r="B46" s="763"/>
      <c r="C46" s="757">
        <v>1980</v>
      </c>
      <c r="E46" s="1110" t="s">
        <v>471</v>
      </c>
      <c r="G46" s="950">
        <v>6.67</v>
      </c>
      <c r="H46" s="906"/>
      <c r="I46" s="905"/>
    </row>
    <row r="47" spans="1:9" ht="15">
      <c r="A47" s="757"/>
      <c r="B47" s="763"/>
      <c r="C47" s="757"/>
      <c r="G47" s="887"/>
      <c r="I47" s="905"/>
    </row>
    <row r="48" spans="1:9" ht="15">
      <c r="A48" s="757"/>
      <c r="B48" s="763"/>
      <c r="C48" s="757"/>
      <c r="G48" s="887"/>
    </row>
    <row r="49" spans="1:7" ht="15">
      <c r="A49" s="757"/>
      <c r="B49" s="763"/>
      <c r="C49" s="757"/>
      <c r="G49" s="887"/>
    </row>
    <row r="50" spans="1:7" ht="15">
      <c r="A50" s="757"/>
      <c r="B50" s="763"/>
      <c r="C50" s="757"/>
      <c r="G50" s="887"/>
    </row>
    <row r="51" spans="1:7" ht="15">
      <c r="A51" s="757"/>
      <c r="B51" s="763"/>
      <c r="C51" s="757"/>
      <c r="G51" s="887"/>
    </row>
    <row r="52" spans="1:7" ht="15">
      <c r="A52" s="757"/>
      <c r="B52" s="763"/>
      <c r="C52" s="757"/>
      <c r="G52" s="887"/>
    </row>
    <row r="53" spans="1:7" ht="15">
      <c r="A53" s="757"/>
      <c r="B53" s="763"/>
      <c r="C53" s="757"/>
      <c r="G53" s="887"/>
    </row>
    <row r="54" spans="1:7" ht="15">
      <c r="A54" s="757"/>
      <c r="B54" s="763"/>
      <c r="C54" s="757"/>
      <c r="G54" s="887"/>
    </row>
    <row r="55" spans="1:7" ht="15">
      <c r="A55" s="757"/>
      <c r="B55" s="763"/>
      <c r="C55" s="757"/>
      <c r="G55" s="887"/>
    </row>
    <row r="56" spans="1:7" ht="15">
      <c r="A56" s="757"/>
      <c r="B56" s="763"/>
      <c r="C56" s="757"/>
      <c r="G56" s="887"/>
    </row>
    <row r="57" spans="1:7" ht="15">
      <c r="A57" s="757"/>
      <c r="B57" s="763"/>
      <c r="C57" s="757"/>
      <c r="G57" s="887"/>
    </row>
    <row r="58" spans="1:7" ht="15">
      <c r="A58" s="757"/>
      <c r="B58" s="763"/>
      <c r="C58" s="757"/>
      <c r="G58" s="887"/>
    </row>
    <row r="59" spans="1:7" ht="15">
      <c r="A59" s="757"/>
      <c r="B59" s="763"/>
      <c r="C59" s="757"/>
    </row>
    <row r="60" spans="1:7" ht="15">
      <c r="A60" s="757"/>
      <c r="B60" s="763"/>
      <c r="C60" s="757"/>
    </row>
    <row r="61" spans="1:7" ht="15">
      <c r="A61" s="757"/>
      <c r="B61" s="763"/>
      <c r="C61" s="757"/>
    </row>
    <row r="62" spans="1:7" ht="15">
      <c r="A62" s="757"/>
      <c r="B62" s="763"/>
      <c r="C62" s="757"/>
    </row>
    <row r="63" spans="1:7" ht="15">
      <c r="A63" s="757"/>
      <c r="B63" s="763"/>
      <c r="C63" s="757"/>
    </row>
    <row r="64" spans="1:7" ht="15">
      <c r="A64" s="757"/>
      <c r="B64" s="763"/>
      <c r="C64" s="757"/>
    </row>
    <row r="65" spans="1:3" ht="15">
      <c r="A65" s="757"/>
      <c r="B65" s="763"/>
      <c r="C65" s="757"/>
    </row>
    <row r="66" spans="1:3" ht="15">
      <c r="A66" s="757"/>
      <c r="B66" s="763"/>
      <c r="C66" s="757"/>
    </row>
    <row r="67" spans="1:3" ht="15">
      <c r="A67" s="757"/>
      <c r="B67" s="763"/>
      <c r="C67" s="757"/>
    </row>
    <row r="68" spans="1:3" ht="15">
      <c r="A68" s="757"/>
      <c r="B68" s="763"/>
      <c r="C68" s="757"/>
    </row>
    <row r="69" spans="1:3" ht="15">
      <c r="A69" s="757"/>
      <c r="B69" s="763"/>
      <c r="C69" s="757"/>
    </row>
    <row r="70" spans="1:3" ht="15">
      <c r="A70" s="757"/>
      <c r="B70" s="763"/>
      <c r="C70" s="757"/>
    </row>
    <row r="71" spans="1:3" ht="15">
      <c r="A71" s="757"/>
      <c r="B71" s="763"/>
      <c r="C71" s="757"/>
    </row>
    <row r="72" spans="1:3" ht="15">
      <c r="A72" s="757"/>
      <c r="B72" s="763"/>
      <c r="C72" s="757"/>
    </row>
    <row r="73" spans="1:3" ht="15">
      <c r="A73" s="757"/>
      <c r="B73" s="763"/>
      <c r="C73" s="757"/>
    </row>
    <row r="74" spans="1:3" ht="15">
      <c r="A74" s="757"/>
      <c r="B74" s="763"/>
      <c r="C74" s="757"/>
    </row>
    <row r="75" spans="1:3" ht="15">
      <c r="A75" s="757"/>
      <c r="B75" s="763"/>
      <c r="C75" s="757"/>
    </row>
    <row r="76" spans="1:3" ht="15">
      <c r="A76" s="757"/>
      <c r="B76" s="763"/>
      <c r="C76" s="757"/>
    </row>
    <row r="77" spans="1:3" ht="15">
      <c r="A77" s="757"/>
      <c r="B77" s="763"/>
      <c r="C77" s="757"/>
    </row>
    <row r="78" spans="1:3" ht="15">
      <c r="A78" s="757"/>
      <c r="B78" s="763"/>
      <c r="C78" s="757"/>
    </row>
    <row r="79" spans="1:3" ht="15">
      <c r="A79" s="757"/>
      <c r="B79" s="763"/>
      <c r="C79" s="757"/>
    </row>
    <row r="80" spans="1:3" ht="15">
      <c r="A80" s="757"/>
      <c r="B80" s="763"/>
      <c r="C80" s="757"/>
    </row>
    <row r="81" spans="1:3" ht="15">
      <c r="A81" s="757"/>
      <c r="B81" s="763"/>
      <c r="C81" s="757"/>
    </row>
    <row r="82" spans="1:3" ht="15">
      <c r="A82" s="757"/>
      <c r="B82" s="763"/>
      <c r="C82" s="757"/>
    </row>
    <row r="83" spans="1:3" ht="15">
      <c r="A83" s="757"/>
      <c r="B83" s="763"/>
      <c r="C83" s="757"/>
    </row>
    <row r="84" spans="1:3" ht="15">
      <c r="A84" s="757"/>
      <c r="B84" s="763"/>
      <c r="C84" s="757"/>
    </row>
    <row r="85" spans="1:3" ht="15">
      <c r="A85" s="757"/>
      <c r="B85" s="763"/>
      <c r="C85" s="757"/>
    </row>
    <row r="86" spans="1:3" ht="15">
      <c r="A86" s="757"/>
      <c r="B86" s="763"/>
      <c r="C86" s="757"/>
    </row>
    <row r="87" spans="1:3" ht="15">
      <c r="A87" s="757"/>
      <c r="B87" s="763"/>
      <c r="C87" s="757"/>
    </row>
    <row r="88" spans="1:3" ht="15">
      <c r="A88" s="757"/>
      <c r="B88" s="763"/>
      <c r="C88" s="757"/>
    </row>
    <row r="89" spans="1:3" ht="15">
      <c r="A89" s="757"/>
      <c r="B89" s="763"/>
      <c r="C89" s="757"/>
    </row>
    <row r="90" spans="1:3" ht="15">
      <c r="A90" s="757"/>
      <c r="B90" s="763"/>
      <c r="C90" s="757"/>
    </row>
    <row r="91" spans="1:3" ht="15">
      <c r="A91" s="757"/>
      <c r="B91" s="763"/>
      <c r="C91" s="757"/>
    </row>
    <row r="92" spans="1:3" ht="15">
      <c r="A92" s="757"/>
      <c r="B92" s="763"/>
      <c r="C92" s="757"/>
    </row>
    <row r="93" spans="1:3" ht="15">
      <c r="A93" s="757"/>
      <c r="B93" s="763"/>
      <c r="C93" s="757"/>
    </row>
    <row r="94" spans="1:3" ht="15">
      <c r="A94" s="757"/>
      <c r="B94" s="763"/>
      <c r="C94" s="757"/>
    </row>
    <row r="95" spans="1:3" ht="15">
      <c r="A95" s="757"/>
      <c r="B95" s="763"/>
      <c r="C95" s="757"/>
    </row>
    <row r="96" spans="1:3" ht="15">
      <c r="A96" s="757"/>
      <c r="B96" s="763"/>
      <c r="C96" s="757"/>
    </row>
    <row r="97" spans="1:3" ht="15">
      <c r="A97" s="757"/>
      <c r="B97" s="763"/>
      <c r="C97" s="757"/>
    </row>
    <row r="98" spans="1:3" ht="15">
      <c r="A98" s="757"/>
      <c r="B98" s="763"/>
      <c r="C98" s="757"/>
    </row>
    <row r="99" spans="1:3" ht="15">
      <c r="A99" s="757"/>
      <c r="B99" s="763"/>
      <c r="C99" s="757"/>
    </row>
    <row r="100" spans="1:3" ht="15">
      <c r="A100" s="757"/>
      <c r="B100" s="763"/>
      <c r="C100" s="757"/>
    </row>
    <row r="101" spans="1:3" ht="15">
      <c r="A101" s="757"/>
      <c r="B101" s="763"/>
      <c r="C101" s="757"/>
    </row>
    <row r="102" spans="1:3">
      <c r="A102" s="403"/>
      <c r="B102" s="403"/>
      <c r="C102" s="403"/>
    </row>
  </sheetData>
  <printOptions horizontalCentered="1"/>
  <pageMargins left="0.75" right="0.75" top="0.75" bottom="0.5" header="0.75" footer="0.3"/>
  <pageSetup scale="91"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1" tint="4.9989318521683403E-2"/>
    <pageSetUpPr fitToPage="1"/>
  </sheetPr>
  <dimension ref="A1:I64"/>
  <sheetViews>
    <sheetView zoomScale="80" zoomScaleNormal="80" workbookViewId="0"/>
  </sheetViews>
  <sheetFormatPr defaultColWidth="16.1796875" defaultRowHeight="13.2"/>
  <cols>
    <col min="1" max="1" width="7.36328125" style="92" customWidth="1"/>
    <col min="2" max="2" width="2.08984375" style="92" customWidth="1"/>
    <col min="3" max="3" width="2.08984375" style="189" customWidth="1"/>
    <col min="4" max="4" width="42.1796875" style="92" customWidth="1"/>
    <col min="5" max="5" width="2" style="92" customWidth="1"/>
    <col min="6" max="7" width="16.1796875" style="92"/>
    <col min="8" max="8" width="3.453125" style="92" customWidth="1"/>
    <col min="9" max="9" width="7.453125" style="92" customWidth="1"/>
    <col min="10" max="16384" width="16.1796875" style="92"/>
  </cols>
  <sheetData>
    <row r="1" spans="1:9" s="90" customFormat="1" ht="17.399999999999999">
      <c r="A1" s="863" t="s">
        <v>401</v>
      </c>
      <c r="B1" s="1141"/>
      <c r="C1" s="1141"/>
      <c r="D1" s="116"/>
      <c r="E1" s="116"/>
      <c r="F1" s="91"/>
      <c r="G1" s="91"/>
      <c r="H1" s="85"/>
    </row>
    <row r="2" spans="1:9" s="90" customFormat="1" ht="17.399999999999999">
      <c r="C2" s="862"/>
      <c r="D2" s="116"/>
      <c r="E2" s="116"/>
      <c r="F2" s="91"/>
      <c r="G2" s="91"/>
      <c r="H2" s="85"/>
    </row>
    <row r="3" spans="1:9" s="90" customFormat="1" ht="17.399999999999999">
      <c r="C3" s="862"/>
      <c r="D3" s="116"/>
      <c r="E3" s="116"/>
      <c r="F3" s="91"/>
      <c r="G3" s="85" t="s">
        <v>406</v>
      </c>
      <c r="H3" s="85"/>
    </row>
    <row r="4" spans="1:9" s="90" customFormat="1" ht="15.6">
      <c r="C4" s="863"/>
      <c r="D4" s="104"/>
      <c r="E4" s="104"/>
      <c r="F4" s="105"/>
      <c r="G4" s="85" t="str">
        <f>"Page 1 of "&amp;Workpaper</f>
        <v>Page 1 of 17</v>
      </c>
      <c r="H4" s="85"/>
    </row>
    <row r="5" spans="1:9" s="90" customFormat="1" ht="15.6">
      <c r="C5" s="863"/>
      <c r="D5" s="104"/>
      <c r="E5" s="104"/>
      <c r="F5" s="105"/>
      <c r="G5" s="261" t="str">
        <f>"For the 12 months ended: "&amp;TEXT(INPUT!$B$1,"mm/dd/yyyy")</f>
        <v>For the 12 months ended: 12/31/2018</v>
      </c>
      <c r="H5" s="85"/>
    </row>
    <row r="6" spans="1:9" s="90" customFormat="1" ht="15.6">
      <c r="C6" s="863"/>
      <c r="D6" s="104"/>
      <c r="E6" s="104"/>
      <c r="F6" s="105"/>
      <c r="H6" s="85"/>
    </row>
    <row r="7" spans="1:9" s="90" customFormat="1" ht="15.6">
      <c r="A7" s="863" t="s">
        <v>519</v>
      </c>
      <c r="B7" s="1141"/>
      <c r="C7" s="1141"/>
      <c r="D7" s="588"/>
      <c r="E7" s="588"/>
      <c r="F7" s="589"/>
      <c r="G7" s="589"/>
      <c r="H7" s="85"/>
      <c r="I7" s="267"/>
    </row>
    <row r="8" spans="1:9" s="90" customFormat="1" ht="15.6">
      <c r="A8" s="863" t="s">
        <v>863</v>
      </c>
      <c r="B8" s="1141"/>
      <c r="C8" s="1141"/>
      <c r="D8" s="588"/>
      <c r="E8" s="588"/>
      <c r="F8" s="589"/>
      <c r="G8" s="589"/>
      <c r="H8" s="85"/>
    </row>
    <row r="9" spans="1:9" s="90" customFormat="1" ht="15">
      <c r="C9" s="337"/>
      <c r="D9" s="93"/>
      <c r="E9" s="93"/>
      <c r="F9" s="93"/>
      <c r="G9" s="93"/>
      <c r="H9" s="85"/>
    </row>
    <row r="10" spans="1:9" s="90" customFormat="1" ht="16.2" thickBot="1">
      <c r="A10" s="745" t="s">
        <v>8</v>
      </c>
      <c r="C10" s="864"/>
      <c r="D10" s="107"/>
      <c r="E10" s="107"/>
      <c r="F10" s="106"/>
      <c r="G10" s="106"/>
      <c r="H10" s="106"/>
    </row>
    <row r="11" spans="1:9" s="90" customFormat="1" ht="19.8" thickBot="1">
      <c r="A11" s="638" t="s">
        <v>10</v>
      </c>
      <c r="C11" s="327"/>
      <c r="D11" s="521" t="s">
        <v>216</v>
      </c>
      <c r="E11" s="192"/>
      <c r="F11" s="110" t="s">
        <v>185</v>
      </c>
      <c r="G11" s="110" t="s">
        <v>186</v>
      </c>
      <c r="H11" s="110"/>
    </row>
    <row r="12" spans="1:9" s="90" customFormat="1" ht="19.2">
      <c r="C12" s="196"/>
      <c r="D12" s="106"/>
      <c r="E12" s="106"/>
      <c r="F12" s="498"/>
      <c r="G12" s="194"/>
      <c r="H12" s="110"/>
    </row>
    <row r="13" spans="1:9" s="90" customFormat="1" ht="15">
      <c r="A13" s="1118">
        <v>1</v>
      </c>
      <c r="C13" s="584" t="s">
        <v>520</v>
      </c>
      <c r="D13" s="856"/>
      <c r="E13" s="327"/>
      <c r="F13" s="499">
        <f>116548458+1416134</f>
        <v>117964592</v>
      </c>
      <c r="G13" s="499">
        <f>55886925+0</f>
        <v>55886925</v>
      </c>
      <c r="H13" s="351"/>
    </row>
    <row r="14" spans="1:9" s="90" customFormat="1" ht="15">
      <c r="A14" s="1118">
        <v>2</v>
      </c>
      <c r="C14" s="744"/>
      <c r="D14" s="744"/>
      <c r="E14" s="744"/>
      <c r="F14" s="1021"/>
      <c r="G14" s="1021"/>
      <c r="H14" s="191"/>
    </row>
    <row r="15" spans="1:9" s="90" customFormat="1" ht="15.6">
      <c r="A15" s="1118">
        <v>3</v>
      </c>
      <c r="C15" s="744" t="s">
        <v>503</v>
      </c>
      <c r="D15" s="744"/>
      <c r="E15" s="744"/>
      <c r="F15" s="1021"/>
      <c r="G15" s="1021"/>
      <c r="H15" s="191"/>
    </row>
    <row r="16" spans="1:9" s="90" customFormat="1" ht="15">
      <c r="A16" s="1118">
        <v>4</v>
      </c>
      <c r="C16" s="744"/>
      <c r="D16" s="744" t="s">
        <v>562</v>
      </c>
      <c r="E16" s="744"/>
      <c r="F16" s="857">
        <f>2483334-676</f>
        <v>2482658</v>
      </c>
      <c r="G16" s="857">
        <f>318967</f>
        <v>318967</v>
      </c>
      <c r="H16" s="191"/>
    </row>
    <row r="17" spans="1:8" s="90" customFormat="1" ht="15">
      <c r="A17" s="1118">
        <v>5</v>
      </c>
      <c r="C17" s="744"/>
      <c r="D17" s="744" t="s">
        <v>563</v>
      </c>
      <c r="E17" s="744"/>
      <c r="F17" s="857">
        <v>12226</v>
      </c>
      <c r="G17" s="857">
        <v>899047</v>
      </c>
      <c r="H17" s="191"/>
    </row>
    <row r="18" spans="1:8" s="90" customFormat="1" ht="15">
      <c r="A18" s="1118">
        <v>6</v>
      </c>
      <c r="C18" s="744"/>
      <c r="D18" s="744" t="s">
        <v>685</v>
      </c>
      <c r="E18" s="744"/>
      <c r="F18" s="857">
        <v>77147482</v>
      </c>
      <c r="G18" s="857">
        <v>23486709</v>
      </c>
      <c r="H18" s="191"/>
    </row>
    <row r="19" spans="1:8" s="90" customFormat="1" ht="15">
      <c r="A19" s="1118">
        <v>7</v>
      </c>
      <c r="C19" s="744"/>
      <c r="D19" s="744" t="s">
        <v>842</v>
      </c>
      <c r="E19" s="744"/>
      <c r="F19" s="857">
        <v>0</v>
      </c>
      <c r="G19" s="857">
        <v>441426</v>
      </c>
      <c r="H19" s="191"/>
    </row>
    <row r="20" spans="1:8" s="90" customFormat="1" ht="16.8">
      <c r="A20" s="1118">
        <v>8</v>
      </c>
      <c r="C20" s="744"/>
      <c r="D20" s="744" t="s">
        <v>655</v>
      </c>
      <c r="E20" s="764"/>
      <c r="F20" s="509">
        <f>1416134</f>
        <v>1416134</v>
      </c>
      <c r="G20" s="509">
        <v>0</v>
      </c>
      <c r="H20" s="191"/>
    </row>
    <row r="21" spans="1:8" s="90" customFormat="1" ht="15.6">
      <c r="A21" s="1118">
        <v>9</v>
      </c>
      <c r="C21" s="744"/>
      <c r="D21" s="744" t="s">
        <v>684</v>
      </c>
      <c r="E21" s="764"/>
      <c r="F21" s="1022">
        <f>SUM(F16:F20)</f>
        <v>81058500</v>
      </c>
      <c r="G21" s="1022">
        <f t="shared" ref="G21" si="0">SUM(G16:G20)</f>
        <v>25146149</v>
      </c>
      <c r="H21" s="191"/>
    </row>
    <row r="22" spans="1:8" s="90" customFormat="1" ht="15.6">
      <c r="A22" s="1118">
        <v>10</v>
      </c>
      <c r="C22" s="744"/>
      <c r="D22" s="744"/>
      <c r="E22" s="764"/>
      <c r="F22" s="609"/>
      <c r="G22" s="609"/>
      <c r="H22" s="191"/>
    </row>
    <row r="23" spans="1:8" s="90" customFormat="1" ht="15.6">
      <c r="A23" s="1118">
        <v>11</v>
      </c>
      <c r="C23" s="865" t="s">
        <v>683</v>
      </c>
      <c r="D23" s="744"/>
      <c r="E23" s="764"/>
      <c r="F23" s="609"/>
      <c r="G23" s="609"/>
      <c r="H23" s="191"/>
    </row>
    <row r="24" spans="1:8" s="90" customFormat="1" ht="15.6">
      <c r="A24" s="1118">
        <v>12</v>
      </c>
      <c r="C24" s="865"/>
      <c r="D24" s="744" t="s">
        <v>686</v>
      </c>
      <c r="E24" s="764"/>
      <c r="F24" s="609">
        <v>18807668</v>
      </c>
      <c r="G24" s="609">
        <v>7566786</v>
      </c>
      <c r="H24" s="191"/>
    </row>
    <row r="25" spans="1:8" s="90" customFormat="1" ht="16.8">
      <c r="A25" s="1118">
        <v>13</v>
      </c>
      <c r="C25" s="865"/>
      <c r="D25" s="744" t="s">
        <v>841</v>
      </c>
      <c r="E25" s="764"/>
      <c r="F25" s="509">
        <v>0</v>
      </c>
      <c r="G25" s="509">
        <v>178295</v>
      </c>
      <c r="H25" s="191"/>
    </row>
    <row r="26" spans="1:8" s="90" customFormat="1" ht="15.6">
      <c r="A26" s="1118">
        <v>14</v>
      </c>
      <c r="C26" s="865"/>
      <c r="D26" s="744" t="s">
        <v>687</v>
      </c>
      <c r="E26" s="764"/>
      <c r="F26" s="1022">
        <f>SUM(F24:F25)</f>
        <v>18807668</v>
      </c>
      <c r="G26" s="1022">
        <f>SUM(G24:G25)</f>
        <v>7745081</v>
      </c>
      <c r="H26" s="191"/>
    </row>
    <row r="27" spans="1:8" s="90" customFormat="1" ht="15">
      <c r="A27" s="1118">
        <v>15</v>
      </c>
      <c r="C27" s="744"/>
      <c r="D27" s="744"/>
      <c r="E27" s="744"/>
      <c r="F27" s="196"/>
      <c r="G27" s="196"/>
      <c r="H27" s="106"/>
    </row>
    <row r="28" spans="1:8" s="90" customFormat="1" ht="19.5" customHeight="1">
      <c r="A28" s="1118">
        <v>16</v>
      </c>
      <c r="C28" s="585" t="s">
        <v>550</v>
      </c>
      <c r="D28" s="858"/>
      <c r="E28" s="858"/>
      <c r="F28" s="1023">
        <f>F13-F21+F26</f>
        <v>55713760</v>
      </c>
      <c r="G28" s="1023">
        <f>G13-G21+G26</f>
        <v>38485857</v>
      </c>
      <c r="H28" s="115"/>
    </row>
    <row r="29" spans="1:8" s="90" customFormat="1" ht="15">
      <c r="A29" s="1118">
        <v>17</v>
      </c>
      <c r="C29" s="859"/>
      <c r="D29" s="859"/>
      <c r="E29" s="859"/>
      <c r="F29" s="1024"/>
      <c r="G29" s="1024"/>
      <c r="H29" s="102"/>
    </row>
    <row r="30" spans="1:8" ht="15.6" thickBot="1">
      <c r="A30" s="1118">
        <v>18</v>
      </c>
      <c r="D30" s="189"/>
      <c r="E30" s="189"/>
      <c r="F30" s="189"/>
      <c r="G30" s="189"/>
    </row>
    <row r="31" spans="1:8" s="90" customFormat="1" ht="19.8" thickBot="1">
      <c r="A31" s="1118">
        <v>19</v>
      </c>
      <c r="C31" s="327"/>
      <c r="D31" s="860" t="s">
        <v>215</v>
      </c>
      <c r="E31" s="861"/>
      <c r="F31" s="194" t="s">
        <v>185</v>
      </c>
      <c r="G31" s="194" t="s">
        <v>186</v>
      </c>
      <c r="H31" s="110"/>
    </row>
    <row r="32" spans="1:8" s="90" customFormat="1" ht="19.2">
      <c r="A32" s="1118">
        <v>20</v>
      </c>
      <c r="C32" s="196"/>
      <c r="D32" s="196"/>
      <c r="E32" s="196"/>
      <c r="F32" s="498"/>
      <c r="G32" s="194"/>
      <c r="H32" s="110"/>
    </row>
    <row r="33" spans="1:8" s="90" customFormat="1" ht="15">
      <c r="A33" s="1118">
        <v>21</v>
      </c>
      <c r="C33" s="856" t="s">
        <v>512</v>
      </c>
      <c r="D33" s="856"/>
      <c r="E33" s="327"/>
      <c r="F33" s="1025">
        <f>492155808+5861925</f>
        <v>498017733</v>
      </c>
      <c r="G33" s="1025">
        <f>198573426+0</f>
        <v>198573426</v>
      </c>
      <c r="H33" s="351"/>
    </row>
    <row r="34" spans="1:8" s="90" customFormat="1" ht="15">
      <c r="A34" s="1118">
        <v>22</v>
      </c>
      <c r="C34" s="744"/>
      <c r="D34" s="744"/>
      <c r="E34" s="744"/>
      <c r="F34" s="1021"/>
      <c r="G34" s="1021"/>
      <c r="H34" s="191"/>
    </row>
    <row r="35" spans="1:8" s="90" customFormat="1" ht="15.6">
      <c r="A35" s="1118">
        <v>23</v>
      </c>
      <c r="C35" s="744" t="s">
        <v>504</v>
      </c>
      <c r="D35" s="744"/>
      <c r="E35" s="744"/>
      <c r="F35" s="1021"/>
      <c r="G35" s="1021"/>
      <c r="H35" s="191"/>
    </row>
    <row r="36" spans="1:8" s="90" customFormat="1" ht="15">
      <c r="A36" s="1118">
        <v>24</v>
      </c>
      <c r="C36" s="744"/>
      <c r="D36" s="744" t="s">
        <v>563</v>
      </c>
      <c r="E36" s="744"/>
      <c r="F36" s="609">
        <f>32556080-5660301</f>
        <v>26895779</v>
      </c>
      <c r="G36" s="609">
        <f>5849247-706556</f>
        <v>5142691</v>
      </c>
      <c r="H36" s="191"/>
    </row>
    <row r="37" spans="1:8" s="90" customFormat="1" ht="15">
      <c r="A37" s="1118">
        <v>25</v>
      </c>
      <c r="C37" s="744"/>
      <c r="D37" s="744" t="s">
        <v>843</v>
      </c>
      <c r="E37" s="744"/>
      <c r="F37" s="609">
        <v>0</v>
      </c>
      <c r="G37" s="609">
        <f>-12673</f>
        <v>-12673</v>
      </c>
      <c r="H37" s="191"/>
    </row>
    <row r="38" spans="1:8" s="90" customFormat="1" ht="16.8">
      <c r="A38" s="1118">
        <v>26</v>
      </c>
      <c r="C38" s="744"/>
      <c r="D38" s="744" t="s">
        <v>655</v>
      </c>
      <c r="E38" s="744"/>
      <c r="F38" s="509">
        <f>5861925</f>
        <v>5861925</v>
      </c>
      <c r="G38" s="509">
        <v>0</v>
      </c>
      <c r="H38" s="191"/>
    </row>
    <row r="39" spans="1:8" s="90" customFormat="1" ht="15">
      <c r="A39" s="1118">
        <v>27</v>
      </c>
      <c r="C39" s="744"/>
      <c r="D39" s="744" t="s">
        <v>688</v>
      </c>
      <c r="E39" s="744"/>
      <c r="F39" s="1022">
        <f>SUM(F36:F38)</f>
        <v>32757704</v>
      </c>
      <c r="G39" s="1022">
        <f>SUM(G36:G38)</f>
        <v>5130018</v>
      </c>
      <c r="H39" s="191"/>
    </row>
    <row r="40" spans="1:8" s="90" customFormat="1" ht="15">
      <c r="A40" s="1118">
        <v>28</v>
      </c>
      <c r="C40" s="744"/>
      <c r="D40" s="744"/>
      <c r="E40" s="744"/>
      <c r="F40" s="609"/>
      <c r="G40" s="609"/>
      <c r="H40" s="191"/>
    </row>
    <row r="41" spans="1:8" s="90" customFormat="1" ht="15.6">
      <c r="A41" s="1118">
        <v>29</v>
      </c>
      <c r="C41" s="865" t="s">
        <v>683</v>
      </c>
      <c r="D41" s="744"/>
      <c r="E41" s="744"/>
      <c r="F41" s="609"/>
      <c r="G41" s="609"/>
      <c r="H41" s="191"/>
    </row>
    <row r="42" spans="1:8" s="90" customFormat="1" ht="15.6">
      <c r="A42" s="1118">
        <v>30</v>
      </c>
      <c r="C42" s="865"/>
      <c r="D42" s="744" t="s">
        <v>686</v>
      </c>
      <c r="E42" s="744"/>
      <c r="F42" s="609">
        <f>286223549</f>
        <v>286223549</v>
      </c>
      <c r="G42" s="609">
        <f>69497738</f>
        <v>69497738</v>
      </c>
      <c r="H42" s="191"/>
    </row>
    <row r="43" spans="1:8" s="90" customFormat="1" ht="16.8">
      <c r="A43" s="1118">
        <v>31</v>
      </c>
      <c r="C43" s="865"/>
      <c r="D43" s="744" t="s">
        <v>841</v>
      </c>
      <c r="E43" s="744"/>
      <c r="F43" s="509">
        <v>0</v>
      </c>
      <c r="G43" s="509">
        <f>1251881</f>
        <v>1251881</v>
      </c>
      <c r="H43" s="191"/>
    </row>
    <row r="44" spans="1:8" s="90" customFormat="1" ht="15.6">
      <c r="A44" s="1118">
        <v>32</v>
      </c>
      <c r="C44" s="327"/>
      <c r="D44" s="744" t="s">
        <v>689</v>
      </c>
      <c r="E44" s="764"/>
      <c r="F44" s="1022">
        <f>SUM(F42:F43)</f>
        <v>286223549</v>
      </c>
      <c r="G44" s="1022">
        <f>SUM(G42:G43)</f>
        <v>70749619</v>
      </c>
      <c r="H44" s="351"/>
    </row>
    <row r="45" spans="1:8" s="90" customFormat="1" ht="15">
      <c r="A45" s="1118">
        <v>33</v>
      </c>
      <c r="C45" s="744"/>
      <c r="D45" s="744"/>
      <c r="E45" s="744"/>
      <c r="F45" s="196"/>
      <c r="G45" s="196"/>
      <c r="H45" s="106"/>
    </row>
    <row r="46" spans="1:8" s="90" customFormat="1" ht="19.5" customHeight="1">
      <c r="A46" s="1118">
        <v>34</v>
      </c>
      <c r="C46" s="585" t="s">
        <v>551</v>
      </c>
      <c r="D46" s="858"/>
      <c r="E46" s="858"/>
      <c r="F46" s="1023">
        <f>F33-F39+F44</f>
        <v>751483578</v>
      </c>
      <c r="G46" s="1023">
        <f t="shared" ref="G46" si="1">G33-G39+G44</f>
        <v>264193027</v>
      </c>
      <c r="H46" s="115"/>
    </row>
    <row r="47" spans="1:8" ht="15">
      <c r="A47" s="1118">
        <v>35</v>
      </c>
      <c r="D47" s="189"/>
      <c r="E47" s="189"/>
      <c r="F47" s="189"/>
      <c r="G47" s="189"/>
    </row>
    <row r="48" spans="1:8" ht="15.6" thickBot="1">
      <c r="A48" s="1118">
        <v>36</v>
      </c>
      <c r="D48" s="189"/>
      <c r="E48" s="189"/>
      <c r="F48" s="189"/>
      <c r="G48" s="189"/>
    </row>
    <row r="49" spans="1:7" ht="19.8" thickBot="1">
      <c r="A49" s="1118">
        <v>37</v>
      </c>
      <c r="C49" s="327"/>
      <c r="D49" s="860" t="s">
        <v>561</v>
      </c>
      <c r="E49" s="861"/>
      <c r="F49" s="194" t="s">
        <v>185</v>
      </c>
      <c r="G49" s="194" t="s">
        <v>186</v>
      </c>
    </row>
    <row r="50" spans="1:7" ht="19.2">
      <c r="A50" s="1118">
        <v>38</v>
      </c>
      <c r="C50" s="196"/>
      <c r="D50" s="196"/>
      <c r="E50" s="196"/>
      <c r="F50" s="498"/>
      <c r="G50" s="194"/>
    </row>
    <row r="51" spans="1:7" ht="15">
      <c r="A51" s="1118">
        <v>39</v>
      </c>
      <c r="C51" s="856" t="s">
        <v>864</v>
      </c>
      <c r="D51" s="856"/>
      <c r="E51" s="327"/>
      <c r="F51" s="1025">
        <f>34403895</f>
        <v>34403895</v>
      </c>
      <c r="G51" s="1025">
        <f>24318670+0</f>
        <v>24318670</v>
      </c>
    </row>
    <row r="52" spans="1:7" ht="15">
      <c r="A52" s="1118">
        <v>40</v>
      </c>
      <c r="C52" s="744"/>
      <c r="D52" s="744"/>
      <c r="E52" s="744"/>
      <c r="F52" s="1021"/>
      <c r="G52" s="1021"/>
    </row>
    <row r="53" spans="1:7" ht="15.6">
      <c r="A53" s="1118">
        <v>41</v>
      </c>
      <c r="C53" s="744" t="s">
        <v>504</v>
      </c>
      <c r="D53" s="744"/>
      <c r="E53" s="744"/>
      <c r="F53" s="1021"/>
      <c r="G53" s="1021"/>
    </row>
    <row r="54" spans="1:7" ht="15">
      <c r="A54" s="1118">
        <v>42</v>
      </c>
      <c r="C54" s="744"/>
      <c r="D54" s="744" t="s">
        <v>562</v>
      </c>
      <c r="E54" s="744"/>
      <c r="F54" s="609">
        <v>1499983</v>
      </c>
      <c r="G54" s="609">
        <v>0</v>
      </c>
    </row>
    <row r="55" spans="1:7" ht="15">
      <c r="A55" s="1118">
        <v>43</v>
      </c>
      <c r="C55" s="744"/>
      <c r="D55" s="744" t="s">
        <v>844</v>
      </c>
      <c r="E55" s="744"/>
      <c r="F55" s="609">
        <v>0</v>
      </c>
      <c r="G55" s="609">
        <v>100976</v>
      </c>
    </row>
    <row r="56" spans="1:7" ht="16.8">
      <c r="A56" s="1118">
        <v>44</v>
      </c>
      <c r="C56" s="744"/>
      <c r="D56" s="744" t="s">
        <v>655</v>
      </c>
      <c r="E56" s="744"/>
      <c r="F56" s="509">
        <v>0</v>
      </c>
      <c r="G56" s="509">
        <v>0</v>
      </c>
    </row>
    <row r="57" spans="1:7" ht="15">
      <c r="A57" s="1118">
        <v>45</v>
      </c>
      <c r="C57" s="744"/>
      <c r="D57" s="744" t="s">
        <v>690</v>
      </c>
      <c r="E57" s="744"/>
      <c r="F57" s="1022">
        <f>SUM(F54:F56)</f>
        <v>1499983</v>
      </c>
      <c r="G57" s="1022">
        <f>SUM(G54:G56)</f>
        <v>100976</v>
      </c>
    </row>
    <row r="58" spans="1:7" ht="15">
      <c r="A58" s="1118">
        <v>46</v>
      </c>
      <c r="C58" s="744"/>
      <c r="D58" s="744"/>
      <c r="E58" s="744"/>
      <c r="F58" s="609"/>
      <c r="G58" s="609"/>
    </row>
    <row r="59" spans="1:7" ht="15.6">
      <c r="A59" s="1118">
        <v>47</v>
      </c>
      <c r="C59" s="865" t="s">
        <v>683</v>
      </c>
      <c r="D59" s="744"/>
      <c r="E59" s="744"/>
      <c r="F59" s="609"/>
      <c r="G59" s="609"/>
    </row>
    <row r="60" spans="1:7" ht="15.75" customHeight="1">
      <c r="A60" s="1118">
        <v>48</v>
      </c>
      <c r="C60" s="865"/>
      <c r="D60" s="744" t="s">
        <v>686</v>
      </c>
      <c r="E60" s="744"/>
      <c r="F60" s="857">
        <f>15262337</f>
        <v>15262337</v>
      </c>
      <c r="G60" s="857">
        <f>8811424</f>
        <v>8811424</v>
      </c>
    </row>
    <row r="61" spans="1:7" ht="15.75" customHeight="1">
      <c r="A61" s="1118">
        <v>49</v>
      </c>
      <c r="C61" s="865"/>
      <c r="D61" s="744" t="s">
        <v>841</v>
      </c>
      <c r="E61" s="744"/>
      <c r="F61" s="509">
        <v>0</v>
      </c>
      <c r="G61" s="509">
        <v>256010</v>
      </c>
    </row>
    <row r="62" spans="1:7" ht="15.75" customHeight="1">
      <c r="A62" s="1118">
        <v>50</v>
      </c>
      <c r="C62" s="327"/>
      <c r="D62" s="744" t="s">
        <v>691</v>
      </c>
      <c r="E62" s="764"/>
      <c r="F62" s="1022">
        <f>SUM(F60:F61)</f>
        <v>15262337</v>
      </c>
      <c r="G62" s="1022">
        <f>SUM(G60:G61)</f>
        <v>9067434</v>
      </c>
    </row>
    <row r="63" spans="1:7" ht="15">
      <c r="A63" s="1118">
        <v>51</v>
      </c>
      <c r="C63" s="744"/>
      <c r="D63" s="744"/>
      <c r="E63" s="744"/>
      <c r="F63" s="196"/>
      <c r="G63" s="196"/>
    </row>
    <row r="64" spans="1:7" ht="19.5" customHeight="1">
      <c r="A64" s="1118">
        <v>52</v>
      </c>
      <c r="C64" s="585" t="s">
        <v>760</v>
      </c>
      <c r="D64" s="858"/>
      <c r="E64" s="858"/>
      <c r="F64" s="1023">
        <f>F51-F57+F62</f>
        <v>48166249</v>
      </c>
      <c r="G64" s="1023">
        <f t="shared" ref="G64" si="2">G51-G57+G62</f>
        <v>33285128</v>
      </c>
    </row>
  </sheetData>
  <phoneticPr fontId="0" type="noConversion"/>
  <pageMargins left="1" right="0.75" top="1" bottom="0.5" header="0.25" footer="0.25"/>
  <pageSetup scale="66"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theme="1"/>
    <pageSetUpPr fitToPage="1"/>
  </sheetPr>
  <dimension ref="A1:N278"/>
  <sheetViews>
    <sheetView zoomScale="80" zoomScaleNormal="80" zoomScaleSheetLayoutView="75" workbookViewId="0"/>
  </sheetViews>
  <sheetFormatPr defaultColWidth="7.08984375" defaultRowHeight="13.2"/>
  <cols>
    <col min="1" max="1" width="7.08984375" style="80"/>
    <col min="2" max="2" width="1.1796875" style="80" customWidth="1"/>
    <col min="3" max="3" width="18.453125" style="80" customWidth="1"/>
    <col min="4" max="4" width="12.36328125" style="80" customWidth="1"/>
    <col min="5" max="5" width="18.1796875" style="80" customWidth="1"/>
    <col min="6" max="6" width="12.36328125" style="80" customWidth="1"/>
    <col min="7" max="7" width="1.453125" style="80" customWidth="1"/>
    <col min="8" max="8" width="11.81640625" style="80" customWidth="1"/>
    <col min="9" max="9" width="1.08984375" style="80" customWidth="1"/>
    <col min="10" max="10" width="14.453125" style="80" customWidth="1"/>
    <col min="11" max="11" width="0.6328125" style="80" customWidth="1"/>
    <col min="12" max="12" width="13.6328125" style="80" customWidth="1"/>
    <col min="13" max="13" width="3.6328125" style="80" customWidth="1"/>
    <col min="14" max="16384" width="7.08984375" style="80"/>
  </cols>
  <sheetData>
    <row r="1" spans="1:14" ht="15.6">
      <c r="A1" s="518" t="str">
        <f>'P1 ADIT'!A1</f>
        <v>Duke Energy Ohio and Duke Energy Kentucky</v>
      </c>
      <c r="B1" s="1142"/>
      <c r="C1" s="1142"/>
      <c r="D1" s="991"/>
      <c r="E1" s="991"/>
      <c r="F1" s="991"/>
      <c r="G1" s="991"/>
      <c r="H1" s="991"/>
      <c r="I1" s="991"/>
      <c r="J1" s="991"/>
      <c r="K1" s="991"/>
      <c r="L1" s="991"/>
      <c r="M1" s="992"/>
      <c r="N1" s="992"/>
    </row>
    <row r="2" spans="1:14" ht="15.6">
      <c r="C2" s="518"/>
      <c r="D2" s="991"/>
      <c r="E2" s="991"/>
      <c r="F2" s="991"/>
      <c r="G2" s="991"/>
      <c r="H2" s="991"/>
      <c r="I2" s="991"/>
      <c r="J2" s="991"/>
      <c r="K2" s="993"/>
      <c r="L2" s="993"/>
      <c r="M2" s="992"/>
      <c r="N2" s="992"/>
    </row>
    <row r="3" spans="1:14" ht="15">
      <c r="C3" s="993"/>
      <c r="D3" s="993"/>
      <c r="E3" s="993"/>
      <c r="F3" s="993"/>
      <c r="G3" s="993"/>
      <c r="H3" s="1007"/>
      <c r="I3" s="1007"/>
      <c r="J3" s="1008"/>
      <c r="K3" s="1007"/>
      <c r="L3" s="1008" t="s">
        <v>406</v>
      </c>
      <c r="M3" s="992"/>
      <c r="N3" s="992"/>
    </row>
    <row r="4" spans="1:14" ht="15">
      <c r="C4" s="993"/>
      <c r="D4" s="993"/>
      <c r="E4" s="993"/>
      <c r="F4" s="993"/>
      <c r="G4" s="993"/>
      <c r="H4" s="1007"/>
      <c r="I4" s="1007"/>
      <c r="J4" s="1008"/>
      <c r="K4" s="1007"/>
      <c r="L4" s="1009" t="str">
        <f>"Page 2 of "&amp;Workpaper</f>
        <v>Page 2 of 17</v>
      </c>
      <c r="M4" s="992"/>
      <c r="N4" s="992"/>
    </row>
    <row r="5" spans="1:14" ht="15">
      <c r="C5" s="993"/>
      <c r="D5" s="993"/>
      <c r="E5" s="993"/>
      <c r="F5" s="993"/>
      <c r="G5" s="993"/>
      <c r="H5" s="1007"/>
      <c r="I5" s="1007"/>
      <c r="J5" s="1008"/>
      <c r="K5" s="1007"/>
      <c r="L5" s="1010" t="str">
        <f>"For the 12 months ended: "&amp;TEXT(INPUT!$B$1,"mm/dd/yyyy")</f>
        <v>For the 12 months ended: 12/31/2018</v>
      </c>
      <c r="M5" s="992"/>
      <c r="N5" s="992"/>
    </row>
    <row r="6" spans="1:14" ht="15">
      <c r="C6" s="993"/>
      <c r="D6" s="993"/>
      <c r="E6" s="993"/>
      <c r="F6" s="993"/>
      <c r="G6" s="993"/>
      <c r="H6" s="993"/>
      <c r="I6" s="993"/>
      <c r="J6" s="516"/>
      <c r="K6" s="993"/>
      <c r="L6" s="516"/>
      <c r="M6" s="992"/>
      <c r="N6" s="992"/>
    </row>
    <row r="7" spans="1:14" ht="15.6">
      <c r="A7" s="934" t="s">
        <v>265</v>
      </c>
      <c r="B7" s="1142"/>
      <c r="C7" s="1142"/>
      <c r="D7" s="991"/>
      <c r="E7" s="991"/>
      <c r="F7" s="991"/>
      <c r="G7" s="991"/>
      <c r="H7" s="991"/>
      <c r="I7" s="991"/>
      <c r="J7" s="991"/>
      <c r="K7" s="991"/>
      <c r="L7" s="991"/>
      <c r="M7" s="992"/>
      <c r="N7" s="992"/>
    </row>
    <row r="8" spans="1:14" ht="15.6">
      <c r="A8" s="934" t="s">
        <v>329</v>
      </c>
      <c r="B8" s="1142"/>
      <c r="C8" s="1142"/>
      <c r="D8" s="991"/>
      <c r="E8" s="991"/>
      <c r="F8" s="991"/>
      <c r="G8" s="991"/>
      <c r="H8" s="991"/>
      <c r="I8" s="991"/>
      <c r="J8" s="991"/>
      <c r="K8" s="991"/>
      <c r="L8" s="991"/>
      <c r="M8" s="992"/>
      <c r="N8" s="992"/>
    </row>
    <row r="9" spans="1:14" ht="15.6">
      <c r="C9" s="994"/>
      <c r="D9" s="995"/>
      <c r="E9" s="995"/>
      <c r="F9" s="995"/>
      <c r="G9" s="995"/>
      <c r="H9" s="995"/>
      <c r="I9" s="995"/>
      <c r="J9" s="995"/>
      <c r="K9" s="992"/>
      <c r="L9" s="992"/>
      <c r="M9" s="992"/>
      <c r="N9" s="992"/>
    </row>
    <row r="10" spans="1:14" ht="15.6">
      <c r="C10" s="996"/>
      <c r="D10" s="992"/>
      <c r="E10" s="992"/>
      <c r="F10" s="992"/>
      <c r="G10" s="992"/>
      <c r="H10" s="997"/>
      <c r="I10" s="997"/>
      <c r="J10" s="992"/>
      <c r="K10" s="992"/>
      <c r="L10" s="992"/>
      <c r="M10" s="992"/>
      <c r="N10" s="992"/>
    </row>
    <row r="11" spans="1:14" ht="15">
      <c r="D11" s="992"/>
      <c r="E11" s="992"/>
      <c r="F11" s="992"/>
      <c r="G11" s="992"/>
      <c r="H11" s="998"/>
      <c r="I11" s="998"/>
      <c r="J11" s="376"/>
      <c r="K11" s="992"/>
      <c r="L11" s="992"/>
      <c r="M11" s="992"/>
      <c r="N11" s="992"/>
    </row>
    <row r="12" spans="1:14" ht="12.6" customHeight="1">
      <c r="A12" s="745"/>
      <c r="B12" s="90"/>
      <c r="C12" s="106"/>
      <c r="D12" s="992"/>
      <c r="E12" s="992"/>
      <c r="F12" s="992"/>
      <c r="G12" s="992"/>
      <c r="H12" s="992"/>
      <c r="I12" s="992"/>
      <c r="J12" s="992"/>
      <c r="K12" s="992"/>
      <c r="L12" s="992"/>
      <c r="M12" s="992"/>
      <c r="N12" s="992"/>
    </row>
    <row r="13" spans="1:14" ht="54" customHeight="1">
      <c r="A13" s="1136" t="s">
        <v>233</v>
      </c>
      <c r="B13" s="90"/>
      <c r="C13" s="1135" t="s">
        <v>429</v>
      </c>
      <c r="D13" s="1121" t="s">
        <v>903</v>
      </c>
      <c r="E13" s="1122" t="s">
        <v>904</v>
      </c>
      <c r="F13" s="1121" t="s">
        <v>266</v>
      </c>
      <c r="G13" s="1121"/>
      <c r="H13" s="1121" t="s">
        <v>515</v>
      </c>
      <c r="I13" s="1121"/>
      <c r="J13" s="1123" t="s">
        <v>905</v>
      </c>
      <c r="K13" s="999"/>
      <c r="L13" s="1121" t="s">
        <v>906</v>
      </c>
      <c r="M13" s="992"/>
      <c r="N13" s="992"/>
    </row>
    <row r="14" spans="1:14" ht="10.199999999999999" customHeight="1">
      <c r="A14" s="1124"/>
      <c r="B14" s="90"/>
      <c r="C14" s="593"/>
      <c r="D14" s="1121"/>
      <c r="E14" s="1122"/>
      <c r="F14" s="1121"/>
      <c r="G14" s="1121"/>
      <c r="H14" s="1121"/>
      <c r="I14" s="1121"/>
      <c r="J14" s="1123"/>
      <c r="K14" s="999"/>
      <c r="L14" s="1123"/>
      <c r="M14" s="992"/>
      <c r="N14" s="992"/>
    </row>
    <row r="15" spans="1:14" ht="19.2">
      <c r="A15" s="1125">
        <v>1</v>
      </c>
      <c r="B15" s="90"/>
      <c r="C15" s="1006" t="s">
        <v>181</v>
      </c>
      <c r="D15" s="1121"/>
      <c r="E15" s="1122"/>
      <c r="F15" s="1121"/>
      <c r="G15" s="1121"/>
      <c r="H15" s="1121"/>
      <c r="I15" s="1121"/>
      <c r="J15" s="1123"/>
      <c r="K15" s="999"/>
      <c r="L15" s="1123"/>
      <c r="M15" s="992"/>
      <c r="N15" s="992"/>
    </row>
    <row r="16" spans="1:14" ht="14.4" customHeight="1">
      <c r="A16" s="1125">
        <v>2</v>
      </c>
      <c r="B16" s="90"/>
      <c r="C16" s="1006"/>
      <c r="D16" s="1121"/>
      <c r="E16" s="1122"/>
      <c r="F16" s="1121"/>
      <c r="G16" s="1121"/>
      <c r="H16" s="1121"/>
      <c r="I16" s="1121"/>
      <c r="J16" s="1123"/>
      <c r="K16" s="999"/>
      <c r="L16" s="1123"/>
      <c r="M16" s="992"/>
      <c r="N16" s="992"/>
    </row>
    <row r="17" spans="1:14" ht="15">
      <c r="A17" s="1125">
        <v>3</v>
      </c>
      <c r="C17" s="1005" t="s">
        <v>194</v>
      </c>
      <c r="D17" s="1026">
        <v>0</v>
      </c>
      <c r="E17" s="1026">
        <v>0</v>
      </c>
      <c r="F17" s="1027">
        <f t="shared" ref="F17:F20" si="0">E17+D17</f>
        <v>0</v>
      </c>
      <c r="G17" s="1028"/>
      <c r="H17" s="1137">
        <f>F17/F21</f>
        <v>0</v>
      </c>
      <c r="I17" s="1029"/>
      <c r="J17" s="1030">
        <f>ROUND(H17*$J$21,0)</f>
        <v>0</v>
      </c>
      <c r="K17" s="1031"/>
      <c r="L17" s="1032"/>
      <c r="M17" s="1000"/>
      <c r="N17" s="992"/>
    </row>
    <row r="18" spans="1:14" ht="16.8">
      <c r="A18" s="1125">
        <v>4</v>
      </c>
      <c r="C18" s="1005" t="s">
        <v>24</v>
      </c>
      <c r="D18" s="1099">
        <v>1439135</v>
      </c>
      <c r="E18" s="1099">
        <v>17923039</v>
      </c>
      <c r="F18" s="1033">
        <f t="shared" si="0"/>
        <v>19362174</v>
      </c>
      <c r="G18" s="1034"/>
      <c r="H18" s="1137">
        <f>F18/$F$21</f>
        <v>0.31296287969037223</v>
      </c>
      <c r="I18" s="1035"/>
      <c r="J18" s="1036">
        <f>ROUND(H18*$J$21,0)</f>
        <v>896897</v>
      </c>
      <c r="K18" s="1034"/>
      <c r="L18" s="1037">
        <f>J18+F18</f>
        <v>20259071</v>
      </c>
      <c r="M18" s="992"/>
      <c r="N18" s="992"/>
    </row>
    <row r="19" spans="1:14" ht="15">
      <c r="A19" s="1125">
        <v>5</v>
      </c>
      <c r="C19" s="1005" t="s">
        <v>195</v>
      </c>
      <c r="D19" s="1099">
        <v>2995287</v>
      </c>
      <c r="E19" s="1099">
        <v>32713420</v>
      </c>
      <c r="F19" s="1033">
        <f t="shared" ref="F19" si="1">E19+D19</f>
        <v>35708707</v>
      </c>
      <c r="G19" s="1034"/>
      <c r="H19" s="1137">
        <f t="shared" ref="H19:H20" si="2">F19/$F$21</f>
        <v>0.57718207535681443</v>
      </c>
      <c r="I19" s="1038"/>
      <c r="J19" s="1039">
        <f t="shared" ref="J19:J20" si="3">ROUND(H19*$J$21,0)</f>
        <v>1654103</v>
      </c>
      <c r="K19" s="1034"/>
      <c r="L19" s="1034"/>
      <c r="M19" s="992"/>
      <c r="N19" s="992"/>
    </row>
    <row r="20" spans="1:14" ht="16.8">
      <c r="A20" s="1125">
        <v>6</v>
      </c>
      <c r="C20" s="1005" t="s">
        <v>857</v>
      </c>
      <c r="D20" s="1040">
        <v>0</v>
      </c>
      <c r="E20" s="1040">
        <v>6796437</v>
      </c>
      <c r="F20" s="1041">
        <f t="shared" si="0"/>
        <v>6796437</v>
      </c>
      <c r="G20" s="1034"/>
      <c r="H20" s="1138">
        <f t="shared" si="2"/>
        <v>0.10985504495281337</v>
      </c>
      <c r="I20" s="1042"/>
      <c r="J20" s="1043">
        <f t="shared" si="3"/>
        <v>314825</v>
      </c>
      <c r="K20" s="1034"/>
      <c r="L20" s="1034"/>
      <c r="M20" s="992"/>
      <c r="N20" s="992"/>
    </row>
    <row r="21" spans="1:14" ht="16.8">
      <c r="A21" s="1125">
        <v>7</v>
      </c>
      <c r="C21" s="1005" t="s">
        <v>266</v>
      </c>
      <c r="D21" s="1044">
        <f>SUM(D17:D20)</f>
        <v>4434422</v>
      </c>
      <c r="E21" s="1044">
        <f>SUM(E17:E20)</f>
        <v>57432896</v>
      </c>
      <c r="F21" s="1044">
        <f>SUM(F17:F20)</f>
        <v>61867318</v>
      </c>
      <c r="G21" s="1034"/>
      <c r="H21" s="1139">
        <f>SUM(H17:H20)</f>
        <v>1</v>
      </c>
      <c r="I21" s="1045"/>
      <c r="J21" s="1046">
        <v>2865826</v>
      </c>
      <c r="K21" s="1034"/>
      <c r="L21" s="1034"/>
      <c r="M21" s="992"/>
      <c r="N21" s="992"/>
    </row>
    <row r="22" spans="1:14" ht="15">
      <c r="A22" s="1125">
        <v>8</v>
      </c>
      <c r="C22" s="1005"/>
      <c r="D22" s="1047"/>
      <c r="E22" s="1034"/>
      <c r="F22" s="1034"/>
      <c r="G22" s="1034"/>
      <c r="H22" s="1047"/>
      <c r="I22" s="1048"/>
      <c r="J22" s="1034"/>
      <c r="K22" s="1034"/>
      <c r="L22" s="1034"/>
      <c r="M22" s="992"/>
      <c r="N22" s="992"/>
    </row>
    <row r="23" spans="1:14" s="227" customFormat="1" ht="15">
      <c r="A23" s="1125">
        <v>9</v>
      </c>
      <c r="D23" s="1049"/>
      <c r="E23" s="1034"/>
      <c r="F23" s="1034"/>
      <c r="G23" s="1034"/>
      <c r="H23" s="1140"/>
      <c r="I23" s="1050"/>
      <c r="J23" s="1034"/>
      <c r="K23" s="1034"/>
      <c r="L23" s="1034"/>
      <c r="M23" s="992"/>
      <c r="N23" s="784"/>
    </row>
    <row r="24" spans="1:14" s="227" customFormat="1" ht="16.8">
      <c r="A24" s="1125">
        <v>10</v>
      </c>
      <c r="C24" s="1006" t="s">
        <v>182</v>
      </c>
      <c r="D24" s="1034"/>
      <c r="E24" s="1034"/>
      <c r="F24" s="1034"/>
      <c r="G24" s="1034"/>
      <c r="H24" s="1047"/>
      <c r="I24" s="1051"/>
      <c r="J24" s="1034"/>
      <c r="K24" s="1034"/>
      <c r="L24" s="1034"/>
      <c r="M24" s="992"/>
      <c r="N24" s="784"/>
    </row>
    <row r="25" spans="1:14" s="227" customFormat="1" ht="15" customHeight="1">
      <c r="A25" s="1125">
        <v>11</v>
      </c>
      <c r="C25" s="1006"/>
      <c r="D25" s="1034"/>
      <c r="E25" s="1034"/>
      <c r="F25" s="1034"/>
      <c r="G25" s="1034"/>
      <c r="H25" s="1047"/>
      <c r="I25" s="1051"/>
      <c r="J25" s="1034"/>
      <c r="K25" s="1034"/>
      <c r="L25" s="1034"/>
      <c r="M25" s="992"/>
      <c r="N25" s="784"/>
    </row>
    <row r="26" spans="1:14" s="227" customFormat="1" ht="15">
      <c r="A26" s="1125">
        <v>12</v>
      </c>
      <c r="C26" s="1005" t="s">
        <v>194</v>
      </c>
      <c r="D26" s="1026">
        <f>14581664</f>
        <v>14581664</v>
      </c>
      <c r="E26" s="1026">
        <v>2334068</v>
      </c>
      <c r="F26" s="1027">
        <f>E26+D26</f>
        <v>16915732</v>
      </c>
      <c r="G26" s="1034"/>
      <c r="H26" s="1137">
        <f>F26/F29</f>
        <v>0.96678910226928705</v>
      </c>
      <c r="I26" s="1029"/>
      <c r="J26" s="1030">
        <f>ROUND($J$29*H26,0)</f>
        <v>2019600</v>
      </c>
      <c r="K26" s="1034"/>
      <c r="L26" s="1034"/>
      <c r="M26" s="1000"/>
      <c r="N26" s="784"/>
    </row>
    <row r="27" spans="1:14" s="227" customFormat="1" ht="16.8">
      <c r="A27" s="1125">
        <v>13</v>
      </c>
      <c r="C27" s="1005" t="s">
        <v>24</v>
      </c>
      <c r="D27" s="1052">
        <f>898</f>
        <v>898</v>
      </c>
      <c r="E27" s="1052">
        <v>2675</v>
      </c>
      <c r="F27" s="1053">
        <f t="shared" ref="F27:F28" si="4">E27+D27</f>
        <v>3573</v>
      </c>
      <c r="G27" s="1031"/>
      <c r="H27" s="1137">
        <f>F27/F29</f>
        <v>2.0420857119326334E-4</v>
      </c>
      <c r="I27" s="1035"/>
      <c r="J27" s="1036">
        <f t="shared" ref="J27:J28" si="5">ROUND($J$29*H27,0)</f>
        <v>427</v>
      </c>
      <c r="K27" s="1031"/>
      <c r="L27" s="1037">
        <f>J27+F27</f>
        <v>4000</v>
      </c>
      <c r="M27" s="992"/>
      <c r="N27" s="784"/>
    </row>
    <row r="28" spans="1:14" s="227" customFormat="1" ht="16.8">
      <c r="A28" s="1125">
        <v>14</v>
      </c>
      <c r="C28" s="1005" t="s">
        <v>195</v>
      </c>
      <c r="D28" s="1040">
        <f>79082</f>
        <v>79082</v>
      </c>
      <c r="E28" s="1040">
        <v>498430</v>
      </c>
      <c r="F28" s="1041">
        <f t="shared" si="4"/>
        <v>577512</v>
      </c>
      <c r="G28" s="1054"/>
      <c r="H28" s="1138">
        <f>F28/F29</f>
        <v>3.3006689159519702E-2</v>
      </c>
      <c r="I28" s="1042"/>
      <c r="J28" s="1043">
        <f t="shared" si="5"/>
        <v>68950</v>
      </c>
      <c r="K28" s="1034"/>
      <c r="L28" s="1034"/>
      <c r="M28" s="784"/>
      <c r="N28" s="784"/>
    </row>
    <row r="29" spans="1:14" s="227" customFormat="1" ht="16.8">
      <c r="A29" s="1125">
        <v>15</v>
      </c>
      <c r="C29" s="1005" t="s">
        <v>266</v>
      </c>
      <c r="D29" s="1044">
        <f>SUM(D26:D28)</f>
        <v>14661644</v>
      </c>
      <c r="E29" s="1044">
        <f t="shared" ref="E29:F29" si="6">SUM(E26:E28)</f>
        <v>2835173</v>
      </c>
      <c r="F29" s="1044">
        <f t="shared" si="6"/>
        <v>17496817</v>
      </c>
      <c r="G29" s="1055"/>
      <c r="H29" s="1139">
        <f>SUM(H26:H28)</f>
        <v>1</v>
      </c>
      <c r="I29" s="1056"/>
      <c r="J29" s="1046">
        <v>2088977</v>
      </c>
      <c r="K29" s="1057"/>
      <c r="L29" s="1057"/>
      <c r="M29" s="784"/>
      <c r="N29" s="784"/>
    </row>
    <row r="30" spans="1:14" s="227" customFormat="1" ht="15">
      <c r="C30" s="784"/>
      <c r="D30" s="1001"/>
      <c r="E30" s="1001"/>
      <c r="F30" s="1001"/>
      <c r="G30" s="1001"/>
      <c r="H30" s="1001"/>
      <c r="I30" s="1001"/>
      <c r="J30" s="1001"/>
      <c r="K30" s="784"/>
      <c r="L30" s="784"/>
      <c r="M30" s="784"/>
      <c r="N30" s="784"/>
    </row>
    <row r="31" spans="1:14" s="227" customFormat="1" ht="15">
      <c r="C31" s="784"/>
      <c r="D31" s="1001"/>
      <c r="E31" s="1001"/>
      <c r="F31" s="1001"/>
      <c r="G31" s="1001"/>
      <c r="H31" s="1001"/>
      <c r="I31" s="1001"/>
      <c r="J31" s="1001"/>
      <c r="K31" s="784"/>
      <c r="L31" s="784"/>
      <c r="M31" s="784"/>
      <c r="N31" s="784"/>
    </row>
    <row r="32" spans="1:14" s="227" customFormat="1" ht="15">
      <c r="C32" s="784"/>
      <c r="D32" s="1001"/>
      <c r="E32" s="1001"/>
      <c r="F32" s="1001"/>
      <c r="G32" s="1001"/>
      <c r="H32" s="1001"/>
      <c r="I32" s="1001"/>
      <c r="J32" s="1001"/>
      <c r="K32" s="784"/>
      <c r="L32" s="784"/>
      <c r="M32" s="784"/>
      <c r="N32" s="784"/>
    </row>
    <row r="33" spans="3:14" s="227" customFormat="1" ht="17.399999999999999">
      <c r="C33" s="1011" t="s">
        <v>854</v>
      </c>
      <c r="D33" s="1012"/>
      <c r="E33" s="1012"/>
      <c r="F33" s="1002"/>
      <c r="G33" s="1002"/>
      <c r="H33" s="1002"/>
      <c r="I33" s="1002"/>
      <c r="J33" s="784"/>
      <c r="K33" s="784"/>
      <c r="L33" s="784"/>
      <c r="M33" s="784"/>
      <c r="N33" s="784"/>
    </row>
    <row r="34" spans="3:14" s="227" customFormat="1" ht="17.399999999999999">
      <c r="C34" s="1015" t="s">
        <v>858</v>
      </c>
      <c r="D34" s="1012"/>
      <c r="E34" s="1012"/>
      <c r="F34" s="1002"/>
      <c r="G34" s="1002"/>
      <c r="H34" s="1002"/>
      <c r="I34" s="1002"/>
      <c r="J34" s="784"/>
      <c r="K34" s="784"/>
      <c r="L34" s="784"/>
      <c r="M34" s="784"/>
      <c r="N34" s="784"/>
    </row>
    <row r="35" spans="3:14" s="227" customFormat="1" ht="17.399999999999999">
      <c r="C35" s="1015" t="s">
        <v>855</v>
      </c>
      <c r="D35" s="1013"/>
      <c r="E35" s="1013"/>
      <c r="F35" s="1003"/>
      <c r="G35" s="1003"/>
      <c r="H35" s="1003"/>
      <c r="I35" s="1004"/>
      <c r="J35" s="784"/>
      <c r="K35" s="784"/>
      <c r="L35" s="784"/>
      <c r="M35" s="784"/>
      <c r="N35" s="784"/>
    </row>
    <row r="36" spans="3:14" s="227" customFormat="1" ht="17.399999999999999">
      <c r="C36" s="1015" t="s">
        <v>856</v>
      </c>
      <c r="D36" s="1014"/>
      <c r="E36" s="1014"/>
      <c r="F36" s="1004"/>
      <c r="G36" s="1004"/>
      <c r="H36" s="1004"/>
      <c r="I36" s="1004"/>
      <c r="J36" s="784"/>
      <c r="K36" s="784"/>
      <c r="L36" s="784"/>
      <c r="M36" s="784"/>
      <c r="N36" s="784"/>
    </row>
    <row r="37" spans="3:14" s="227" customFormat="1" ht="15">
      <c r="C37" s="784"/>
      <c r="D37" s="784"/>
      <c r="E37" s="784"/>
      <c r="F37" s="784"/>
      <c r="G37" s="784"/>
      <c r="H37" s="784"/>
      <c r="I37" s="784"/>
      <c r="J37" s="784"/>
      <c r="K37" s="784"/>
      <c r="L37" s="784"/>
      <c r="M37" s="784"/>
      <c r="N37" s="784"/>
    </row>
    <row r="38" spans="3:14" s="227" customFormat="1" ht="15">
      <c r="C38" s="784"/>
      <c r="D38" s="1002"/>
      <c r="E38" s="1002"/>
      <c r="F38" s="1002"/>
      <c r="G38" s="1002"/>
      <c r="H38" s="1002"/>
      <c r="I38" s="1002"/>
      <c r="J38" s="784"/>
      <c r="K38" s="784"/>
      <c r="L38" s="784"/>
      <c r="M38" s="784"/>
      <c r="N38" s="784"/>
    </row>
    <row r="39" spans="3:14" s="227" customFormat="1" ht="15">
      <c r="C39" s="784"/>
      <c r="D39" s="1004"/>
      <c r="E39" s="1004"/>
      <c r="F39" s="1004"/>
      <c r="G39" s="1004"/>
      <c r="H39" s="1004"/>
      <c r="I39" s="1004"/>
      <c r="J39" s="784"/>
      <c r="K39" s="784"/>
      <c r="L39" s="784"/>
      <c r="M39" s="784"/>
      <c r="N39" s="784"/>
    </row>
    <row r="40" spans="3:14" ht="15">
      <c r="C40" s="992"/>
      <c r="D40" s="1004"/>
      <c r="E40" s="1004"/>
      <c r="F40" s="1004"/>
      <c r="G40" s="1004"/>
      <c r="H40" s="1004"/>
      <c r="I40" s="1004"/>
      <c r="J40" s="992"/>
      <c r="K40" s="992"/>
      <c r="L40" s="992"/>
      <c r="M40" s="992"/>
      <c r="N40" s="992"/>
    </row>
    <row r="41" spans="3:14" ht="15">
      <c r="C41" s="992"/>
      <c r="D41" s="1004"/>
      <c r="E41" s="1004"/>
      <c r="F41" s="1004"/>
      <c r="G41" s="1004"/>
      <c r="H41" s="1004"/>
      <c r="I41" s="1004"/>
      <c r="J41" s="992"/>
      <c r="K41" s="992"/>
      <c r="L41" s="992"/>
      <c r="M41" s="992"/>
      <c r="N41" s="992"/>
    </row>
    <row r="42" spans="3:14" ht="15">
      <c r="C42" s="992"/>
      <c r="D42" s="1004"/>
      <c r="E42" s="1004"/>
      <c r="F42" s="1004"/>
      <c r="G42" s="1004"/>
      <c r="H42" s="1004"/>
      <c r="I42" s="1004"/>
      <c r="J42" s="992"/>
      <c r="K42" s="992"/>
      <c r="L42" s="992"/>
      <c r="M42" s="992"/>
      <c r="N42" s="992"/>
    </row>
    <row r="43" spans="3:14" ht="15">
      <c r="C43" s="992"/>
      <c r="D43" s="1004"/>
      <c r="E43" s="1004"/>
      <c r="F43" s="1004"/>
      <c r="G43" s="1004"/>
      <c r="H43" s="1004"/>
      <c r="I43" s="1004"/>
      <c r="J43" s="992"/>
      <c r="K43" s="992"/>
      <c r="L43" s="992"/>
      <c r="M43" s="992"/>
      <c r="N43" s="992"/>
    </row>
    <row r="44" spans="3:14" ht="15">
      <c r="C44" s="992"/>
      <c r="D44" s="1004"/>
      <c r="E44" s="1004"/>
      <c r="F44" s="1004"/>
      <c r="G44" s="1004"/>
      <c r="H44" s="1004"/>
      <c r="I44" s="1004"/>
      <c r="J44" s="992"/>
      <c r="K44" s="992"/>
      <c r="L44" s="992"/>
      <c r="M44" s="992"/>
      <c r="N44" s="992"/>
    </row>
    <row r="45" spans="3:14">
      <c r="D45" s="228"/>
      <c r="E45" s="228"/>
      <c r="F45" s="228"/>
      <c r="G45" s="228"/>
      <c r="H45" s="228"/>
      <c r="I45" s="228"/>
    </row>
    <row r="47" spans="3:14">
      <c r="D47" s="326"/>
      <c r="E47" s="326"/>
      <c r="F47" s="326"/>
      <c r="G47" s="326"/>
    </row>
    <row r="51" spans="4:10" s="229" customFormat="1"/>
    <row r="52" spans="4:10" s="229" customFormat="1" ht="20.100000000000001" customHeight="1">
      <c r="D52" s="230"/>
      <c r="E52" s="230"/>
      <c r="F52" s="230"/>
      <c r="G52" s="230"/>
      <c r="H52" s="230"/>
      <c r="I52" s="230"/>
    </row>
    <row r="53" spans="4:10" s="229" customFormat="1"/>
    <row r="54" spans="4:10" s="229" customFormat="1"/>
    <row r="55" spans="4:10" s="229" customFormat="1"/>
    <row r="56" spans="4:10" s="229" customFormat="1"/>
    <row r="57" spans="4:10" s="229" customFormat="1" ht="15">
      <c r="D57" s="231"/>
      <c r="E57" s="231"/>
      <c r="F57" s="231"/>
      <c r="G57" s="231"/>
      <c r="H57" s="231"/>
      <c r="I57" s="231"/>
    </row>
    <row r="58" spans="4:10" s="229" customFormat="1">
      <c r="D58" s="232"/>
      <c r="E58" s="232"/>
      <c r="F58" s="232"/>
      <c r="G58" s="232"/>
      <c r="H58" s="232"/>
      <c r="I58" s="232"/>
      <c r="J58" s="232"/>
    </row>
    <row r="59" spans="4:10" s="229" customFormat="1" ht="20.100000000000001" customHeight="1">
      <c r="D59" s="232"/>
      <c r="E59" s="232"/>
      <c r="F59" s="232"/>
      <c r="G59" s="232"/>
      <c r="H59" s="232"/>
      <c r="I59" s="232"/>
      <c r="J59" s="232"/>
    </row>
    <row r="60" spans="4:10" s="229" customFormat="1" ht="15">
      <c r="D60" s="233"/>
      <c r="E60" s="233"/>
      <c r="F60" s="233"/>
      <c r="G60" s="233"/>
      <c r="H60" s="233"/>
      <c r="I60" s="233"/>
      <c r="J60" s="232"/>
    </row>
    <row r="61" spans="4:10" s="229" customFormat="1" ht="15">
      <c r="D61" s="234"/>
      <c r="E61" s="234"/>
      <c r="F61" s="234"/>
      <c r="G61" s="234"/>
      <c r="H61" s="234"/>
      <c r="I61" s="234"/>
      <c r="J61" s="234"/>
    </row>
    <row r="62" spans="4:10" s="229" customFormat="1">
      <c r="D62" s="235"/>
      <c r="E62" s="235"/>
      <c r="F62" s="235"/>
      <c r="G62" s="235"/>
      <c r="H62" s="235"/>
      <c r="I62" s="235"/>
    </row>
    <row r="63" spans="4:10" s="229" customFormat="1">
      <c r="D63" s="236"/>
      <c r="E63" s="236"/>
      <c r="F63" s="236"/>
      <c r="G63" s="236"/>
      <c r="H63" s="236"/>
      <c r="I63" s="236"/>
    </row>
    <row r="64" spans="4:10" s="229" customFormat="1"/>
    <row r="65" spans="4:10" s="229" customFormat="1"/>
    <row r="66" spans="4:10" s="229" customFormat="1"/>
    <row r="67" spans="4:10" s="229" customFormat="1" ht="15">
      <c r="D67" s="231"/>
      <c r="E67" s="231"/>
      <c r="F67" s="231"/>
      <c r="G67" s="231"/>
      <c r="H67" s="231"/>
      <c r="I67" s="231"/>
    </row>
    <row r="68" spans="4:10" s="229" customFormat="1">
      <c r="D68" s="232"/>
      <c r="E68" s="232"/>
      <c r="F68" s="232"/>
      <c r="G68" s="232"/>
      <c r="H68" s="232"/>
      <c r="I68" s="232"/>
      <c r="J68" s="232"/>
    </row>
    <row r="69" spans="4:10" s="229" customFormat="1">
      <c r="D69" s="232"/>
      <c r="E69" s="232"/>
      <c r="F69" s="232"/>
      <c r="G69" s="232"/>
      <c r="H69" s="232"/>
      <c r="I69" s="232"/>
      <c r="J69" s="232"/>
    </row>
    <row r="70" spans="4:10" s="229" customFormat="1" ht="15">
      <c r="D70" s="234"/>
      <c r="E70" s="234"/>
      <c r="F70" s="234"/>
      <c r="G70" s="234"/>
      <c r="H70" s="234"/>
      <c r="I70" s="234"/>
      <c r="J70" s="234"/>
    </row>
    <row r="71" spans="4:10" s="229" customFormat="1">
      <c r="D71" s="235"/>
      <c r="E71" s="235"/>
      <c r="F71" s="235"/>
      <c r="G71" s="235"/>
      <c r="H71" s="235"/>
      <c r="I71" s="235"/>
    </row>
    <row r="72" spans="4:10" s="229" customFormat="1">
      <c r="D72" s="236"/>
      <c r="E72" s="236"/>
      <c r="F72" s="236"/>
      <c r="G72" s="236"/>
      <c r="H72" s="236"/>
      <c r="I72" s="236"/>
    </row>
    <row r="73" spans="4:10" s="229" customFormat="1"/>
    <row r="74" spans="4:10" s="229" customFormat="1"/>
    <row r="75" spans="4:10" s="229" customFormat="1"/>
    <row r="76" spans="4:10" s="229" customFormat="1"/>
    <row r="77" spans="4:10" s="229" customFormat="1">
      <c r="D77" s="237"/>
      <c r="E77" s="237"/>
      <c r="F77" s="237"/>
      <c r="G77" s="237"/>
      <c r="H77" s="237"/>
      <c r="I77" s="237"/>
    </row>
    <row r="78" spans="4:10" s="229" customFormat="1">
      <c r="D78" s="232"/>
      <c r="E78" s="232"/>
      <c r="F78" s="232"/>
      <c r="G78" s="232"/>
      <c r="H78" s="232"/>
      <c r="I78" s="232"/>
    </row>
    <row r="79" spans="4:10" s="229" customFormat="1">
      <c r="D79" s="232"/>
      <c r="E79" s="232"/>
      <c r="F79" s="232"/>
      <c r="G79" s="232"/>
      <c r="H79" s="232"/>
      <c r="I79" s="232"/>
    </row>
    <row r="80" spans="4:10" s="229" customFormat="1"/>
    <row r="81" spans="4:9" s="229" customFormat="1">
      <c r="D81" s="237"/>
      <c r="E81" s="237"/>
      <c r="F81" s="237"/>
      <c r="G81" s="237"/>
      <c r="H81" s="237"/>
      <c r="I81" s="237"/>
    </row>
    <row r="82" spans="4:9" s="229" customFormat="1">
      <c r="D82" s="232"/>
      <c r="E82" s="232"/>
      <c r="F82" s="232"/>
      <c r="G82" s="232"/>
      <c r="H82" s="232"/>
      <c r="I82" s="232"/>
    </row>
    <row r="83" spans="4:9" s="229" customFormat="1">
      <c r="D83" s="232"/>
      <c r="E83" s="232"/>
      <c r="F83" s="232"/>
      <c r="G83" s="232"/>
      <c r="H83" s="232"/>
      <c r="I83" s="232"/>
    </row>
    <row r="84" spans="4:9" s="229" customFormat="1">
      <c r="D84" s="232"/>
      <c r="E84" s="232"/>
      <c r="F84" s="232"/>
      <c r="G84" s="232"/>
      <c r="H84" s="232"/>
      <c r="I84" s="232"/>
    </row>
    <row r="85" spans="4:9" s="229" customFormat="1">
      <c r="D85" s="232"/>
      <c r="E85" s="232"/>
      <c r="F85" s="232"/>
      <c r="G85" s="232"/>
      <c r="H85" s="232"/>
      <c r="I85" s="232"/>
    </row>
    <row r="86" spans="4:9" s="229" customFormat="1">
      <c r="D86" s="232"/>
      <c r="E86" s="232"/>
      <c r="F86" s="232"/>
      <c r="G86" s="232"/>
      <c r="H86" s="232"/>
      <c r="I86" s="232"/>
    </row>
    <row r="87" spans="4:9" s="229" customFormat="1">
      <c r="D87" s="232"/>
      <c r="E87" s="232"/>
      <c r="F87" s="232"/>
      <c r="G87" s="232"/>
      <c r="H87" s="232"/>
      <c r="I87" s="232"/>
    </row>
    <row r="88" spans="4:9" s="229" customFormat="1">
      <c r="D88" s="232"/>
      <c r="E88" s="232"/>
      <c r="F88" s="232"/>
      <c r="G88" s="232"/>
      <c r="H88" s="232"/>
      <c r="I88" s="232"/>
    </row>
    <row r="89" spans="4:9" s="229" customFormat="1"/>
    <row r="90" spans="4:9" s="229" customFormat="1"/>
    <row r="91" spans="4:9" s="229" customFormat="1"/>
    <row r="92" spans="4:9" s="229" customFormat="1"/>
    <row r="93" spans="4:9" s="229" customFormat="1"/>
    <row r="94" spans="4:9" s="229" customFormat="1"/>
    <row r="95" spans="4:9" s="229" customFormat="1"/>
    <row r="96" spans="4:9" s="229" customFormat="1"/>
    <row r="97" s="229" customFormat="1"/>
    <row r="98" s="229" customFormat="1"/>
    <row r="99" s="229" customFormat="1"/>
    <row r="100" s="229" customFormat="1"/>
    <row r="101" s="229" customFormat="1"/>
    <row r="102" s="229" customFormat="1"/>
    <row r="103" s="229" customFormat="1"/>
    <row r="104" s="229" customFormat="1"/>
    <row r="105" s="229" customFormat="1"/>
    <row r="106" s="229" customFormat="1"/>
    <row r="107" s="229" customFormat="1"/>
    <row r="108" s="229" customFormat="1"/>
    <row r="109" s="229" customFormat="1"/>
    <row r="110" s="229" customFormat="1"/>
    <row r="111" s="229" customFormat="1"/>
    <row r="112" s="229" customFormat="1"/>
    <row r="113" s="229" customFormat="1"/>
    <row r="114" s="229" customFormat="1"/>
    <row r="115" s="229" customFormat="1"/>
    <row r="116" s="229" customFormat="1"/>
    <row r="117" s="229" customFormat="1"/>
    <row r="118" s="229" customFormat="1"/>
    <row r="119" s="229" customFormat="1"/>
    <row r="120" s="229" customFormat="1"/>
    <row r="121" s="229" customFormat="1"/>
    <row r="122" s="229" customFormat="1"/>
    <row r="123" s="229" customFormat="1"/>
    <row r="124" s="229" customFormat="1"/>
    <row r="125" s="229" customFormat="1"/>
    <row r="126" s="229" customFormat="1"/>
    <row r="127" s="229" customFormat="1"/>
    <row r="128" s="229" customFormat="1"/>
    <row r="129" s="229" customFormat="1"/>
    <row r="130" s="229" customFormat="1"/>
    <row r="131" s="229" customFormat="1"/>
    <row r="132" s="229" customFormat="1"/>
    <row r="133" s="229" customFormat="1"/>
    <row r="134" s="229" customFormat="1"/>
    <row r="135" s="229" customFormat="1"/>
    <row r="136" s="229" customFormat="1"/>
    <row r="137" s="229" customFormat="1"/>
    <row r="138" s="229" customFormat="1"/>
    <row r="139" s="229" customFormat="1"/>
    <row r="140" s="229" customFormat="1"/>
    <row r="141" s="229" customFormat="1"/>
    <row r="142" s="229" customFormat="1"/>
    <row r="143" s="229" customFormat="1"/>
    <row r="144" s="229" customFormat="1"/>
    <row r="145" s="229" customFormat="1"/>
    <row r="146" s="229" customFormat="1"/>
    <row r="147" s="229" customFormat="1"/>
    <row r="148" s="229" customFormat="1"/>
    <row r="149" s="229" customFormat="1"/>
    <row r="150" s="229" customFormat="1"/>
    <row r="151" s="229" customFormat="1"/>
    <row r="152" s="229" customFormat="1"/>
    <row r="153" s="229" customFormat="1"/>
    <row r="154" s="229" customFormat="1"/>
    <row r="155" s="229" customFormat="1"/>
    <row r="156" s="229" customFormat="1"/>
    <row r="157" s="229" customFormat="1"/>
    <row r="158" s="229" customFormat="1"/>
    <row r="159" s="229" customFormat="1"/>
    <row r="160" s="229" customFormat="1"/>
    <row r="161" s="229" customFormat="1"/>
    <row r="162" s="229" customFormat="1"/>
    <row r="163" s="229" customFormat="1"/>
    <row r="164" s="229" customFormat="1"/>
    <row r="165" s="229" customFormat="1"/>
    <row r="166" s="229" customFormat="1"/>
    <row r="167" s="229" customFormat="1"/>
    <row r="168" s="229" customFormat="1"/>
    <row r="169" s="229" customFormat="1"/>
    <row r="170" s="229" customFormat="1"/>
    <row r="171" s="229" customFormat="1"/>
    <row r="172" s="229" customFormat="1"/>
    <row r="173" s="229" customFormat="1"/>
    <row r="174" s="229" customFormat="1"/>
    <row r="175" s="229" customFormat="1"/>
    <row r="176" s="229" customFormat="1"/>
    <row r="177" s="229" customFormat="1"/>
    <row r="178" s="229" customFormat="1"/>
    <row r="179" s="229" customFormat="1"/>
    <row r="180" s="229" customFormat="1"/>
    <row r="181" s="229" customFormat="1"/>
    <row r="182" s="229" customFormat="1"/>
    <row r="183" s="229" customFormat="1"/>
    <row r="184" s="229" customFormat="1"/>
    <row r="185" s="229" customFormat="1"/>
    <row r="186" s="229" customFormat="1"/>
    <row r="187" s="229" customFormat="1"/>
    <row r="188" s="229" customFormat="1"/>
    <row r="189" s="229" customFormat="1"/>
    <row r="190" s="229" customFormat="1"/>
    <row r="191" s="229" customFormat="1"/>
    <row r="192" s="229" customFormat="1"/>
    <row r="193" s="229" customFormat="1"/>
    <row r="194" s="229" customFormat="1"/>
    <row r="195" s="229" customFormat="1"/>
    <row r="196" s="229" customFormat="1"/>
    <row r="197" s="229" customFormat="1"/>
    <row r="198" s="229" customFormat="1"/>
    <row r="199" s="229" customFormat="1"/>
    <row r="200" s="229" customFormat="1"/>
    <row r="201" s="229" customFormat="1"/>
    <row r="202" s="229" customFormat="1"/>
    <row r="203" s="229" customFormat="1"/>
    <row r="204" s="229" customFormat="1"/>
    <row r="205" s="229" customFormat="1"/>
    <row r="206" s="229" customFormat="1"/>
    <row r="207" s="229" customFormat="1"/>
    <row r="208" s="229" customFormat="1"/>
    <row r="209" s="229" customFormat="1"/>
    <row r="210" s="229" customFormat="1"/>
    <row r="211" s="229" customFormat="1"/>
    <row r="212" s="229" customFormat="1"/>
    <row r="213" s="229" customFormat="1"/>
    <row r="214" s="229" customFormat="1"/>
    <row r="215" s="229" customFormat="1"/>
    <row r="216" s="229" customFormat="1"/>
    <row r="217" s="229" customFormat="1"/>
    <row r="218" s="229" customFormat="1"/>
    <row r="219" s="229" customFormat="1"/>
    <row r="220" s="229" customFormat="1"/>
    <row r="221" s="229" customFormat="1"/>
    <row r="222" s="229" customFormat="1"/>
    <row r="223" s="229" customFormat="1"/>
    <row r="224" s="229" customFormat="1"/>
    <row r="225" s="229" customFormat="1"/>
    <row r="226" s="229" customFormat="1"/>
    <row r="227" s="229" customFormat="1"/>
    <row r="228" s="229" customFormat="1"/>
    <row r="229" s="229" customFormat="1"/>
    <row r="230" s="229" customFormat="1"/>
    <row r="231" s="229" customFormat="1"/>
    <row r="232" s="229" customFormat="1"/>
    <row r="233" s="229" customFormat="1"/>
    <row r="234" s="229" customFormat="1"/>
    <row r="235" s="229" customFormat="1"/>
    <row r="236" s="229" customFormat="1"/>
    <row r="237" s="229" customFormat="1"/>
    <row r="238" s="229" customFormat="1"/>
    <row r="239" s="229" customFormat="1"/>
    <row r="240" s="229" customFormat="1"/>
    <row r="241" s="229" customFormat="1"/>
    <row r="242" s="229" customFormat="1"/>
    <row r="243" s="229" customFormat="1"/>
    <row r="244" s="229" customFormat="1"/>
    <row r="245" s="229" customFormat="1"/>
    <row r="246" s="229" customFormat="1"/>
    <row r="247" s="229" customFormat="1"/>
    <row r="248" s="229" customFormat="1"/>
    <row r="249" s="229" customFormat="1"/>
    <row r="250" s="229" customFormat="1"/>
    <row r="251" s="229" customFormat="1"/>
    <row r="252" s="229" customFormat="1"/>
    <row r="253" s="229" customFormat="1"/>
    <row r="254" s="229" customFormat="1"/>
    <row r="255" s="229" customFormat="1"/>
    <row r="256" s="229" customFormat="1"/>
    <row r="257" s="229" customFormat="1"/>
    <row r="258" s="229" customFormat="1"/>
    <row r="259" s="229" customFormat="1"/>
    <row r="260" s="229" customFormat="1"/>
    <row r="261" s="229" customFormat="1"/>
    <row r="262" s="229" customFormat="1"/>
    <row r="263" s="229" customFormat="1"/>
    <row r="264" s="229" customFormat="1"/>
    <row r="265" s="229" customFormat="1"/>
    <row r="266" s="229" customFormat="1"/>
    <row r="267" s="229" customFormat="1"/>
    <row r="268" s="229" customFormat="1"/>
    <row r="269" s="229" customFormat="1"/>
    <row r="270" s="229" customFormat="1"/>
    <row r="271" s="229" customFormat="1"/>
    <row r="272" s="229" customFormat="1"/>
    <row r="273" s="229" customFormat="1"/>
    <row r="274" s="229" customFormat="1"/>
    <row r="275" s="229" customFormat="1"/>
    <row r="276" s="229" customFormat="1"/>
    <row r="277" s="229" customFormat="1"/>
    <row r="278" s="229" customFormat="1"/>
  </sheetData>
  <phoneticPr fontId="35" type="noConversion"/>
  <pageMargins left="1" right="1" top="1" bottom="0.5" header="1" footer="0.25"/>
  <pageSetup scale="61" fitToHeight="2" orientation="portrait" blackAndWhite="1"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1"/>
    <pageSetUpPr fitToPage="1"/>
  </sheetPr>
  <dimension ref="A1:J37"/>
  <sheetViews>
    <sheetView zoomScale="90" zoomScaleNormal="90" workbookViewId="0"/>
  </sheetViews>
  <sheetFormatPr defaultColWidth="8.81640625" defaultRowHeight="15"/>
  <cols>
    <col min="1" max="1" width="6" style="596" customWidth="1"/>
    <col min="2" max="2" width="1.81640625" style="596" customWidth="1"/>
    <col min="3" max="3" width="27.6328125" style="11" customWidth="1"/>
    <col min="4" max="4" width="16.08984375" style="11" customWidth="1"/>
    <col min="5" max="5" width="17.81640625" style="11" customWidth="1"/>
    <col min="6" max="6" width="19.36328125" style="11" customWidth="1"/>
    <col min="7" max="7" width="12.36328125" style="11" bestFit="1" customWidth="1"/>
    <col min="8" max="16384" width="8.81640625" style="11"/>
  </cols>
  <sheetData>
    <row r="1" spans="1:10" ht="15.6">
      <c r="A1" s="518" t="str">
        <f>'P1 ADIT'!A1</f>
        <v>Duke Energy Ohio and Duke Energy Kentucky</v>
      </c>
      <c r="B1" s="589"/>
      <c r="C1" s="589"/>
      <c r="D1" s="515"/>
      <c r="E1" s="515"/>
      <c r="F1" s="515"/>
      <c r="G1" s="596"/>
      <c r="H1" s="596"/>
      <c r="I1" s="596"/>
    </row>
    <row r="2" spans="1:10" ht="17.399999999999999">
      <c r="C2" s="513"/>
      <c r="D2" s="515"/>
      <c r="E2" s="515"/>
      <c r="F2" s="515"/>
    </row>
    <row r="3" spans="1:10" ht="17.399999999999999">
      <c r="C3" s="513"/>
      <c r="D3" s="515"/>
      <c r="E3" s="515"/>
      <c r="F3" s="516" t="s">
        <v>406</v>
      </c>
    </row>
    <row r="4" spans="1:10">
      <c r="C4" s="517"/>
      <c r="D4" s="517"/>
      <c r="E4" s="517"/>
      <c r="F4" s="514" t="str">
        <f>"Page 3 of "&amp;Workpaper</f>
        <v>Page 3 of 17</v>
      </c>
    </row>
    <row r="5" spans="1:10">
      <c r="C5" s="517"/>
      <c r="D5" s="517"/>
      <c r="E5" s="517"/>
      <c r="F5" s="261" t="str">
        <f>"For the 12 months ended: "&amp;TEXT(INPUT!$B$1,"mm/dd/yyyy")</f>
        <v>For the 12 months ended: 12/31/2018</v>
      </c>
    </row>
    <row r="6" spans="1:10">
      <c r="C6" s="517"/>
      <c r="D6" s="517"/>
      <c r="E6" s="517"/>
      <c r="F6" s="516"/>
      <c r="G6" s="596"/>
      <c r="H6" s="596"/>
      <c r="I6" s="596"/>
      <c r="J6" s="596"/>
    </row>
    <row r="7" spans="1:10" ht="15.6">
      <c r="A7" s="518" t="s">
        <v>210</v>
      </c>
      <c r="B7" s="589"/>
      <c r="C7" s="589"/>
      <c r="D7" s="515"/>
      <c r="E7" s="515"/>
      <c r="F7" s="515"/>
      <c r="G7" s="596"/>
      <c r="H7" s="550"/>
      <c r="I7" s="596"/>
      <c r="J7" s="596"/>
    </row>
    <row r="8" spans="1:10">
      <c r="C8" s="517"/>
      <c r="D8" s="517"/>
      <c r="E8" s="517"/>
      <c r="F8" s="517"/>
      <c r="G8" s="596"/>
      <c r="H8" s="596"/>
      <c r="I8" s="596"/>
      <c r="J8" s="596"/>
    </row>
    <row r="9" spans="1:10">
      <c r="D9" s="329"/>
      <c r="E9" s="329"/>
    </row>
    <row r="10" spans="1:10" s="596" customFormat="1" ht="15.6">
      <c r="A10" s="745" t="s">
        <v>8</v>
      </c>
      <c r="B10" s="90"/>
      <c r="C10" s="106"/>
      <c r="D10" s="745" t="s">
        <v>24</v>
      </c>
      <c r="E10" s="745" t="s">
        <v>761</v>
      </c>
      <c r="F10" s="745" t="s">
        <v>912</v>
      </c>
    </row>
    <row r="11" spans="1:10" ht="29.4" customHeight="1">
      <c r="A11" s="638" t="s">
        <v>10</v>
      </c>
      <c r="B11" s="90"/>
      <c r="C11" s="593" t="s">
        <v>429</v>
      </c>
      <c r="D11" s="1119" t="s">
        <v>902</v>
      </c>
      <c r="E11" s="1120" t="s">
        <v>911</v>
      </c>
      <c r="F11" s="1119" t="s">
        <v>692</v>
      </c>
    </row>
    <row r="12" spans="1:10">
      <c r="D12" s="329"/>
      <c r="E12" s="329"/>
      <c r="F12" s="329"/>
    </row>
    <row r="13" spans="1:10" ht="18">
      <c r="A13" s="700">
        <v>1</v>
      </c>
      <c r="C13" s="377" t="s">
        <v>717</v>
      </c>
      <c r="D13" s="330"/>
      <c r="E13" s="330"/>
      <c r="F13" s="330"/>
    </row>
    <row r="14" spans="1:10">
      <c r="A14" s="700"/>
      <c r="D14" s="330"/>
      <c r="E14" s="330"/>
      <c r="F14" s="330"/>
    </row>
    <row r="15" spans="1:10" ht="16.8">
      <c r="A15" s="700">
        <v>2</v>
      </c>
      <c r="C15" s="596" t="s">
        <v>211</v>
      </c>
      <c r="D15" s="1058">
        <v>324654</v>
      </c>
      <c r="E15" s="1058">
        <f>6403296+1023595</f>
        <v>7426891</v>
      </c>
      <c r="F15" s="331">
        <f>SUM(D15:E15)</f>
        <v>7751545</v>
      </c>
    </row>
    <row r="16" spans="1:10">
      <c r="A16" s="700"/>
      <c r="D16" s="550"/>
      <c r="E16" s="550"/>
    </row>
    <row r="17" spans="1:6">
      <c r="A17" s="700"/>
      <c r="D17" s="550"/>
      <c r="E17" s="550"/>
    </row>
    <row r="18" spans="1:6" ht="18">
      <c r="A18" s="700">
        <v>3</v>
      </c>
      <c r="C18" s="377" t="s">
        <v>716</v>
      </c>
      <c r="D18" s="808"/>
      <c r="E18" s="808"/>
      <c r="F18" s="330"/>
    </row>
    <row r="19" spans="1:6">
      <c r="A19" s="700"/>
      <c r="C19" s="332"/>
      <c r="D19" s="808"/>
      <c r="E19" s="808"/>
      <c r="F19" s="330"/>
    </row>
    <row r="20" spans="1:6" ht="16.8">
      <c r="A20" s="700">
        <v>4</v>
      </c>
      <c r="C20" s="596" t="s">
        <v>211</v>
      </c>
      <c r="D20" s="1058">
        <v>0</v>
      </c>
      <c r="E20" s="1058">
        <v>79977</v>
      </c>
      <c r="F20" s="331">
        <f>SUM(D20:E20)</f>
        <v>79977</v>
      </c>
    </row>
    <row r="24" spans="1:6" ht="17.399999999999999">
      <c r="C24" s="11" t="s">
        <v>718</v>
      </c>
    </row>
    <row r="25" spans="1:6" ht="17.399999999999999">
      <c r="C25" s="784" t="s">
        <v>837</v>
      </c>
    </row>
    <row r="37" spans="4:4">
      <c r="D37" s="63"/>
    </row>
  </sheetData>
  <pageMargins left="1" right="1" top="1" bottom="0.5" header="0.25" footer="0.2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1"/>
    <pageSetUpPr fitToPage="1"/>
  </sheetPr>
  <dimension ref="A1:K51"/>
  <sheetViews>
    <sheetView zoomScale="80" zoomScaleNormal="80" workbookViewId="0"/>
  </sheetViews>
  <sheetFormatPr defaultColWidth="7.08984375" defaultRowHeight="13.2"/>
  <cols>
    <col min="1" max="1" width="7.08984375" style="90"/>
    <col min="2" max="2" width="1.1796875" style="90" customWidth="1"/>
    <col min="3" max="3" width="53.36328125" style="90" bestFit="1" customWidth="1"/>
    <col min="4" max="4" width="22.08984375" style="90" customWidth="1"/>
    <col min="5" max="5" width="15.1796875" style="90" customWidth="1"/>
    <col min="6" max="6" width="13.54296875" style="90" customWidth="1"/>
    <col min="7" max="7" width="5.81640625" style="612" customWidth="1"/>
    <col min="8" max="8" width="13" style="90" customWidth="1"/>
    <col min="9" max="17" width="16.1796875" style="90" bestFit="1" customWidth="1"/>
    <col min="18" max="18" width="16.81640625" style="90" bestFit="1" customWidth="1"/>
    <col min="19" max="19" width="7.81640625" style="90" bestFit="1" customWidth="1"/>
    <col min="20" max="20" width="8.1796875" style="90" bestFit="1" customWidth="1"/>
    <col min="21" max="21" width="9.90625" style="90" bestFit="1" customWidth="1"/>
    <col min="22" max="22" width="6.36328125" style="90" customWidth="1"/>
    <col min="23" max="23" width="9.90625" style="90" bestFit="1" customWidth="1"/>
    <col min="24" max="24" width="6.36328125" style="90" customWidth="1"/>
    <col min="25" max="25" width="9.90625" style="90" bestFit="1" customWidth="1"/>
    <col min="26" max="27" width="6.36328125" style="90" customWidth="1"/>
    <col min="28" max="28" width="9.90625" style="90" bestFit="1" customWidth="1"/>
    <col min="29" max="29" width="6.36328125" style="90" customWidth="1"/>
    <col min="30" max="30" width="9.90625" style="90" bestFit="1" customWidth="1"/>
    <col min="31" max="31" width="6.36328125" style="90" customWidth="1"/>
    <col min="32" max="32" width="9.90625" style="90" bestFit="1" customWidth="1"/>
    <col min="33" max="33" width="6.36328125" style="90" customWidth="1"/>
    <col min="34" max="34" width="9.90625" style="90" bestFit="1" customWidth="1"/>
    <col min="35" max="35" width="8.1796875" style="90" bestFit="1" customWidth="1"/>
    <col min="36" max="16384" width="7.08984375" style="90"/>
  </cols>
  <sheetData>
    <row r="1" spans="1:11" ht="17.399999999999999">
      <c r="A1" s="518" t="str">
        <f>'P1 ADIT'!A1</f>
        <v>Duke Energy Ohio and Duke Energy Kentucky</v>
      </c>
      <c r="B1" s="1141"/>
      <c r="C1" s="1141"/>
      <c r="D1" s="513"/>
      <c r="E1" s="515"/>
      <c r="F1" s="515"/>
      <c r="H1" s="770"/>
      <c r="K1" s="550"/>
    </row>
    <row r="2" spans="1:11" ht="17.399999999999999">
      <c r="C2" s="513"/>
      <c r="D2" s="513"/>
      <c r="E2" s="515"/>
      <c r="F2" s="515"/>
      <c r="H2" s="770"/>
    </row>
    <row r="3" spans="1:11" ht="15.6" customHeight="1">
      <c r="C3" s="518"/>
      <c r="D3" s="518"/>
      <c r="E3" s="515"/>
      <c r="F3" s="516" t="s">
        <v>406</v>
      </c>
    </row>
    <row r="4" spans="1:11" ht="15.6" customHeight="1">
      <c r="C4" s="518"/>
      <c r="D4" s="518"/>
      <c r="E4" s="515"/>
      <c r="F4" s="514" t="str">
        <f>"Page 4 of "&amp;Workpaper</f>
        <v>Page 4 of 17</v>
      </c>
    </row>
    <row r="5" spans="1:11" ht="15.6" customHeight="1">
      <c r="C5" s="518"/>
      <c r="D5" s="518"/>
      <c r="E5" s="515"/>
      <c r="F5" s="261" t="str">
        <f>"For the 12 months ended: "&amp;TEXT(INPUT!$B$1,"mm/dd/yyyy")</f>
        <v>For the 12 months ended: 12/31/2018</v>
      </c>
    </row>
    <row r="6" spans="1:11" ht="15.6" customHeight="1">
      <c r="C6" s="518"/>
      <c r="D6" s="518"/>
      <c r="E6" s="515"/>
      <c r="F6" s="516"/>
    </row>
    <row r="7" spans="1:11" ht="15.6" customHeight="1">
      <c r="A7" s="588" t="s">
        <v>523</v>
      </c>
      <c r="B7" s="1141"/>
      <c r="C7" s="1141"/>
      <c r="D7" s="518"/>
      <c r="E7" s="515"/>
      <c r="F7" s="515"/>
    </row>
    <row r="8" spans="1:11" ht="15.6" customHeight="1">
      <c r="C8" s="518"/>
      <c r="D8" s="518"/>
      <c r="E8" s="515"/>
      <c r="F8" s="515"/>
    </row>
    <row r="9" spans="1:11" ht="15.6" customHeight="1">
      <c r="C9" s="93"/>
      <c r="D9" s="93"/>
      <c r="E9" s="93"/>
      <c r="F9" s="93"/>
    </row>
    <row r="10" spans="1:11" ht="15.6" customHeight="1">
      <c r="C10" s="107"/>
      <c r="D10" s="107"/>
      <c r="E10" s="106"/>
      <c r="F10" s="106"/>
    </row>
    <row r="11" spans="1:11" ht="19.95" customHeight="1">
      <c r="A11" s="745" t="s">
        <v>8</v>
      </c>
      <c r="C11" s="106"/>
      <c r="D11" s="564"/>
      <c r="E11" s="108"/>
      <c r="F11" s="109"/>
    </row>
    <row r="12" spans="1:11" ht="22.2" customHeight="1">
      <c r="A12" s="638" t="s">
        <v>10</v>
      </c>
      <c r="C12" s="593" t="s">
        <v>429</v>
      </c>
      <c r="D12" s="593" t="s">
        <v>301</v>
      </c>
      <c r="E12" s="110" t="s">
        <v>185</v>
      </c>
      <c r="F12" s="110" t="s">
        <v>186</v>
      </c>
    </row>
    <row r="13" spans="1:11" ht="15.6" customHeight="1">
      <c r="C13" s="106"/>
      <c r="D13" s="106"/>
      <c r="E13" s="110"/>
      <c r="F13" s="110"/>
    </row>
    <row r="14" spans="1:11" ht="17.100000000000001" customHeight="1">
      <c r="A14" s="1118">
        <v>1</v>
      </c>
      <c r="C14" s="583" t="s">
        <v>315</v>
      </c>
      <c r="D14" s="587" t="s">
        <v>770</v>
      </c>
      <c r="E14" s="1059">
        <v>281276</v>
      </c>
      <c r="F14" s="1059">
        <v>71895</v>
      </c>
      <c r="H14" s="267"/>
    </row>
    <row r="15" spans="1:11" ht="17.100000000000001" customHeight="1">
      <c r="A15" s="1118">
        <v>2</v>
      </c>
      <c r="C15" s="591" t="s">
        <v>407</v>
      </c>
      <c r="D15" s="587" t="s">
        <v>764</v>
      </c>
      <c r="E15" s="600">
        <v>1359756</v>
      </c>
      <c r="F15" s="600">
        <v>681983</v>
      </c>
    </row>
    <row r="16" spans="1:11" ht="17.100000000000001" customHeight="1">
      <c r="A16" s="1118">
        <v>3</v>
      </c>
      <c r="C16" s="591" t="s">
        <v>521</v>
      </c>
      <c r="D16" s="587" t="s">
        <v>764</v>
      </c>
      <c r="E16" s="600">
        <v>215014</v>
      </c>
      <c r="F16" s="857">
        <v>0</v>
      </c>
    </row>
    <row r="17" spans="1:8" ht="17.100000000000001" customHeight="1">
      <c r="A17" s="1118">
        <v>4</v>
      </c>
      <c r="C17" s="591" t="s">
        <v>522</v>
      </c>
      <c r="D17" s="587" t="s">
        <v>764</v>
      </c>
      <c r="E17" s="600">
        <v>111228</v>
      </c>
      <c r="F17" s="857">
        <v>0</v>
      </c>
    </row>
    <row r="18" spans="1:8" ht="17.100000000000001" customHeight="1">
      <c r="A18" s="1118">
        <v>5</v>
      </c>
      <c r="C18" s="585" t="s">
        <v>570</v>
      </c>
      <c r="D18" s="587" t="s">
        <v>764</v>
      </c>
      <c r="E18" s="857">
        <v>0</v>
      </c>
      <c r="F18" s="857">
        <v>138071</v>
      </c>
      <c r="H18" s="267"/>
    </row>
    <row r="19" spans="1:8" ht="17.100000000000001" customHeight="1">
      <c r="A19" s="1118">
        <v>6</v>
      </c>
      <c r="C19" s="592"/>
      <c r="D19" s="587"/>
      <c r="E19" s="600"/>
      <c r="F19" s="600"/>
    </row>
    <row r="20" spans="1:8" ht="17.100000000000001" customHeight="1">
      <c r="A20" s="1118">
        <v>7</v>
      </c>
      <c r="C20" s="585" t="s">
        <v>408</v>
      </c>
      <c r="D20" s="587" t="s">
        <v>763</v>
      </c>
      <c r="E20" s="1060">
        <f>457054+5924</f>
        <v>462978</v>
      </c>
      <c r="F20" s="1060">
        <f>574477+5856</f>
        <v>580333</v>
      </c>
    </row>
    <row r="21" spans="1:8" ht="17.100000000000001" customHeight="1">
      <c r="A21" s="1118">
        <v>8</v>
      </c>
      <c r="C21" s="585" t="s">
        <v>572</v>
      </c>
      <c r="D21" s="587" t="s">
        <v>573</v>
      </c>
      <c r="E21" s="609">
        <v>282229</v>
      </c>
      <c r="F21" s="609">
        <v>260519</v>
      </c>
      <c r="G21" s="613" t="s">
        <v>18</v>
      </c>
    </row>
    <row r="22" spans="1:8" ht="17.100000000000001" customHeight="1">
      <c r="A22" s="1118">
        <v>9</v>
      </c>
      <c r="C22" s="585" t="s">
        <v>524</v>
      </c>
      <c r="D22" s="587" t="s">
        <v>525</v>
      </c>
      <c r="E22" s="609">
        <v>0</v>
      </c>
      <c r="F22" s="609">
        <f>155348+434</f>
        <v>155782</v>
      </c>
    </row>
    <row r="23" spans="1:8" ht="17.100000000000001" customHeight="1">
      <c r="A23" s="1118">
        <v>10</v>
      </c>
      <c r="C23" s="585" t="s">
        <v>524</v>
      </c>
      <c r="D23" s="587" t="s">
        <v>571</v>
      </c>
      <c r="E23" s="609">
        <v>11528</v>
      </c>
      <c r="F23" s="609">
        <f>10247+1179</f>
        <v>11426</v>
      </c>
    </row>
    <row r="24" spans="1:8" ht="17.100000000000001" customHeight="1">
      <c r="A24" s="1118">
        <v>11</v>
      </c>
      <c r="C24" s="585" t="s">
        <v>524</v>
      </c>
      <c r="D24" s="587" t="s">
        <v>526</v>
      </c>
      <c r="E24" s="609">
        <f>142072+4597</f>
        <v>146669</v>
      </c>
      <c r="F24" s="609">
        <f>131143+4244</f>
        <v>135387</v>
      </c>
    </row>
    <row r="25" spans="1:8" ht="17.100000000000001" customHeight="1">
      <c r="A25" s="1118">
        <v>12</v>
      </c>
      <c r="C25" s="585" t="s">
        <v>524</v>
      </c>
      <c r="D25" s="587" t="s">
        <v>527</v>
      </c>
      <c r="E25" s="509">
        <f>17831+1326</f>
        <v>19157</v>
      </c>
      <c r="F25" s="509">
        <v>15849</v>
      </c>
    </row>
    <row r="26" spans="1:8" ht="16.5" customHeight="1">
      <c r="A26" s="1118">
        <v>13</v>
      </c>
      <c r="C26" s="585" t="s">
        <v>528</v>
      </c>
      <c r="D26" s="587"/>
      <c r="E26" s="1134">
        <f>E20-SUM(E21:E25)</f>
        <v>3395</v>
      </c>
      <c r="F26" s="1134">
        <f>F20-SUM(F21:F25)</f>
        <v>1370</v>
      </c>
    </row>
    <row r="27" spans="1:8" ht="17.100000000000001" customHeight="1">
      <c r="A27" s="1118">
        <v>14</v>
      </c>
      <c r="C27" s="112"/>
      <c r="D27" s="112"/>
      <c r="E27" s="196"/>
      <c r="F27" s="196"/>
    </row>
    <row r="28" spans="1:8" ht="17.100000000000001" customHeight="1">
      <c r="A28" s="1118">
        <v>15</v>
      </c>
      <c r="C28" s="563" t="s">
        <v>409</v>
      </c>
      <c r="D28" s="112"/>
      <c r="E28" s="195">
        <f>SUM(E14:E18)+E26</f>
        <v>1970669</v>
      </c>
      <c r="F28" s="195">
        <f>SUM(F14:F18)+F26</f>
        <v>893319</v>
      </c>
    </row>
    <row r="29" spans="1:8" ht="17.100000000000001" customHeight="1">
      <c r="A29" s="1118">
        <v>16</v>
      </c>
      <c r="C29" s="562"/>
      <c r="D29" s="112"/>
      <c r="E29" s="196"/>
      <c r="F29" s="196"/>
    </row>
    <row r="30" spans="1:8" ht="17.100000000000001" customHeight="1">
      <c r="A30" s="1118">
        <v>17</v>
      </c>
      <c r="C30" s="562" t="s">
        <v>840</v>
      </c>
      <c r="D30" s="112"/>
      <c r="E30" s="509">
        <v>0</v>
      </c>
      <c r="F30" s="509">
        <v>0</v>
      </c>
    </row>
    <row r="31" spans="1:8" ht="17.100000000000001" customHeight="1">
      <c r="A31" s="1118">
        <v>18</v>
      </c>
      <c r="C31" s="562"/>
      <c r="D31" s="112"/>
      <c r="E31" s="196"/>
      <c r="F31" s="196"/>
      <c r="G31" s="614"/>
    </row>
    <row r="32" spans="1:8" ht="18.75" customHeight="1">
      <c r="A32" s="1118">
        <v>19</v>
      </c>
      <c r="C32" s="592" t="s">
        <v>549</v>
      </c>
      <c r="D32" s="106"/>
      <c r="E32" s="1023">
        <f>E28-E30</f>
        <v>1970669</v>
      </c>
      <c r="F32" s="1023">
        <f>F28-F30</f>
        <v>893319</v>
      </c>
    </row>
    <row r="33" spans="3:3" ht="17.100000000000001" customHeight="1"/>
    <row r="34" spans="3:3" ht="17.100000000000001" customHeight="1"/>
    <row r="35" spans="3:3" ht="17.100000000000001" customHeight="1">
      <c r="C35" s="990" t="s">
        <v>577</v>
      </c>
    </row>
    <row r="51" spans="3:5">
      <c r="C51" s="267"/>
      <c r="D51" s="267"/>
      <c r="E51" s="327"/>
    </row>
  </sheetData>
  <phoneticPr fontId="43" type="noConversion"/>
  <pageMargins left="1" right="1" top="1" bottom="0.5" header="0.5" footer="0.5"/>
  <pageSetup scale="5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0000FF"/>
  </sheetPr>
  <dimension ref="A1:H239"/>
  <sheetViews>
    <sheetView zoomScale="90" zoomScaleNormal="90" workbookViewId="0">
      <pane xSplit="5" ySplit="6" topLeftCell="F136" activePane="bottomRight" state="frozen"/>
      <selection pane="topRight"/>
      <selection pane="bottomLeft"/>
      <selection pane="bottomRight" activeCell="D170" sqref="D170"/>
    </sheetView>
  </sheetViews>
  <sheetFormatPr defaultColWidth="8.81640625" defaultRowHeight="13.2"/>
  <cols>
    <col min="1" max="1" width="43.1796875" style="456" customWidth="1"/>
    <col min="2" max="2" width="24.90625" style="456" customWidth="1"/>
    <col min="3" max="3" width="15.1796875" style="456" customWidth="1"/>
    <col min="4" max="4" width="15.36328125" style="456" customWidth="1"/>
    <col min="5" max="5" width="15.1796875" style="456" customWidth="1"/>
    <col min="6" max="6" width="2.453125" style="456" customWidth="1"/>
    <col min="7" max="16384" width="8.81640625" style="456"/>
  </cols>
  <sheetData>
    <row r="1" spans="1:5" ht="15.6">
      <c r="A1" s="453" t="s">
        <v>501</v>
      </c>
      <c r="B1" s="598">
        <v>43465</v>
      </c>
      <c r="C1" s="455"/>
      <c r="D1" s="805" t="s">
        <v>511</v>
      </c>
      <c r="E1" s="474"/>
    </row>
    <row r="2" spans="1:5" ht="15.6">
      <c r="A2" s="454" t="s">
        <v>502</v>
      </c>
      <c r="B2" s="599">
        <f>EDATE(B1,5)+1</f>
        <v>43617</v>
      </c>
      <c r="D2" s="804">
        <v>17</v>
      </c>
      <c r="E2" s="474"/>
    </row>
    <row r="3" spans="1:5" ht="16.2" thickBot="1">
      <c r="A3" s="452"/>
      <c r="B3" s="457"/>
      <c r="E3" s="474"/>
    </row>
    <row r="4" spans="1:5" ht="13.8" thickBot="1">
      <c r="A4" s="432"/>
      <c r="C4" s="627" t="s">
        <v>836</v>
      </c>
      <c r="D4" s="628"/>
      <c r="E4" s="803"/>
    </row>
    <row r="5" spans="1:5">
      <c r="A5" s="432"/>
      <c r="B5" s="458" t="s">
        <v>23</v>
      </c>
      <c r="C5" s="459"/>
      <c r="D5" s="459"/>
      <c r="E5" s="474"/>
    </row>
    <row r="6" spans="1:5" ht="13.8" thickBot="1">
      <c r="A6" s="460" t="s">
        <v>499</v>
      </c>
      <c r="B6" s="461" t="s">
        <v>25</v>
      </c>
      <c r="C6" s="433" t="s">
        <v>185</v>
      </c>
      <c r="D6" s="433" t="s">
        <v>186</v>
      </c>
      <c r="E6" s="786" t="s">
        <v>405</v>
      </c>
    </row>
    <row r="7" spans="1:5">
      <c r="A7" s="432"/>
      <c r="B7" s="462"/>
      <c r="C7" s="462"/>
      <c r="D7" s="462"/>
      <c r="E7" s="474"/>
    </row>
    <row r="8" spans="1:5">
      <c r="A8" s="427" t="s">
        <v>28</v>
      </c>
      <c r="B8" s="462"/>
      <c r="C8" s="462"/>
      <c r="D8" s="462"/>
      <c r="E8" s="474"/>
    </row>
    <row r="9" spans="1:5">
      <c r="A9" s="432" t="s">
        <v>29</v>
      </c>
      <c r="B9" s="462" t="s">
        <v>187</v>
      </c>
      <c r="C9" s="1093">
        <v>0</v>
      </c>
      <c r="D9" s="1093">
        <v>1195710449</v>
      </c>
      <c r="E9" s="486">
        <f t="shared" ref="E9:E14" si="0">D9+C9</f>
        <v>1195710449</v>
      </c>
    </row>
    <row r="10" spans="1:5">
      <c r="A10" s="432" t="s">
        <v>31</v>
      </c>
      <c r="B10" s="462" t="s">
        <v>175</v>
      </c>
      <c r="C10" s="477">
        <v>939500769</v>
      </c>
      <c r="D10" s="477">
        <v>58283428</v>
      </c>
      <c r="E10" s="487">
        <f t="shared" si="0"/>
        <v>997784197</v>
      </c>
    </row>
    <row r="11" spans="1:5">
      <c r="A11" s="432" t="s">
        <v>32</v>
      </c>
      <c r="B11" s="462" t="s">
        <v>176</v>
      </c>
      <c r="C11" s="477">
        <v>2692790384</v>
      </c>
      <c r="D11" s="477">
        <v>484361125</v>
      </c>
      <c r="E11" s="487">
        <f t="shared" si="0"/>
        <v>3177151509</v>
      </c>
    </row>
    <row r="12" spans="1:5">
      <c r="A12" s="432" t="s">
        <v>33</v>
      </c>
      <c r="B12" s="462" t="s">
        <v>0</v>
      </c>
      <c r="C12" s="477">
        <f>228166662+87708524</f>
        <v>315875186</v>
      </c>
      <c r="D12" s="477">
        <f>21018783+9770085</f>
        <v>30788868</v>
      </c>
      <c r="E12" s="487">
        <f t="shared" si="0"/>
        <v>346664054</v>
      </c>
    </row>
    <row r="13" spans="1:5" ht="13.8" thickBot="1">
      <c r="A13" s="450" t="s">
        <v>34</v>
      </c>
      <c r="B13" s="594" t="s">
        <v>753</v>
      </c>
      <c r="C13" s="621">
        <f>ROUND(366298763*0.651,0)</f>
        <v>238460495</v>
      </c>
      <c r="D13" s="621">
        <f>ROUND(49780269*0.7271,0)</f>
        <v>36195234</v>
      </c>
      <c r="E13" s="787">
        <f t="shared" si="0"/>
        <v>274655729</v>
      </c>
    </row>
    <row r="14" spans="1:5">
      <c r="A14" s="432" t="s">
        <v>492</v>
      </c>
      <c r="B14" s="462"/>
      <c r="C14" s="464">
        <f>SUM(C9:C13)</f>
        <v>4186626834</v>
      </c>
      <c r="D14" s="464">
        <f>SUM(D9:D13)</f>
        <v>1805339104</v>
      </c>
      <c r="E14" s="486">
        <f t="shared" si="0"/>
        <v>5991965938</v>
      </c>
    </row>
    <row r="15" spans="1:5">
      <c r="A15" s="432"/>
      <c r="B15" s="462"/>
      <c r="C15" s="434"/>
      <c r="D15" s="434"/>
      <c r="E15" s="487"/>
    </row>
    <row r="16" spans="1:5">
      <c r="A16" s="427" t="s">
        <v>37</v>
      </c>
      <c r="B16" s="462"/>
      <c r="C16" s="434"/>
      <c r="D16" s="434"/>
      <c r="E16" s="487"/>
    </row>
    <row r="17" spans="1:5">
      <c r="A17" s="432" t="str">
        <f>A9</f>
        <v xml:space="preserve">  Production</v>
      </c>
      <c r="B17" s="462" t="s">
        <v>633</v>
      </c>
      <c r="C17" s="1093">
        <v>0</v>
      </c>
      <c r="D17" s="1093">
        <f>420482801+176273921</f>
        <v>596756722</v>
      </c>
      <c r="E17" s="486">
        <f t="shared" ref="E17:E22" si="1">D17+C17</f>
        <v>596756722</v>
      </c>
    </row>
    <row r="18" spans="1:5">
      <c r="A18" s="432" t="str">
        <f>A10</f>
        <v xml:space="preserve">  Transmission</v>
      </c>
      <c r="B18" s="462" t="s">
        <v>158</v>
      </c>
      <c r="C18" s="477">
        <v>217295556</v>
      </c>
      <c r="D18" s="477">
        <v>19575675</v>
      </c>
      <c r="E18" s="487">
        <f t="shared" si="1"/>
        <v>236871231</v>
      </c>
    </row>
    <row r="19" spans="1:5">
      <c r="A19" s="432" t="str">
        <f>A11</f>
        <v xml:space="preserve">  Distribution</v>
      </c>
      <c r="B19" s="462" t="s">
        <v>159</v>
      </c>
      <c r="C19" s="477">
        <v>743958083</v>
      </c>
      <c r="D19" s="477">
        <v>152298366</v>
      </c>
      <c r="E19" s="487">
        <f t="shared" si="1"/>
        <v>896256449</v>
      </c>
    </row>
    <row r="20" spans="1:5">
      <c r="A20" s="432" t="str">
        <f>A12</f>
        <v xml:space="preserve">  General &amp; Intangible</v>
      </c>
      <c r="B20" s="462" t="s">
        <v>507</v>
      </c>
      <c r="C20" s="477">
        <f>63298229+67117771</f>
        <v>130416000</v>
      </c>
      <c r="D20" s="477">
        <f>1709076+13122860</f>
        <v>14831936</v>
      </c>
      <c r="E20" s="487">
        <f t="shared" si="1"/>
        <v>145247936</v>
      </c>
    </row>
    <row r="21" spans="1:5" ht="13.8" thickBot="1">
      <c r="A21" s="450" t="str">
        <f>A13</f>
        <v xml:space="preserve">  Common</v>
      </c>
      <c r="B21" s="594" t="s">
        <v>542</v>
      </c>
      <c r="C21" s="621">
        <v>91048508</v>
      </c>
      <c r="D21" s="621">
        <v>27327944</v>
      </c>
      <c r="E21" s="787">
        <f t="shared" si="1"/>
        <v>118376452</v>
      </c>
    </row>
    <row r="22" spans="1:5">
      <c r="A22" s="432" t="s">
        <v>493</v>
      </c>
      <c r="B22" s="462"/>
      <c r="C22" s="464">
        <f>SUM(C17:C21)</f>
        <v>1182718147</v>
      </c>
      <c r="D22" s="464">
        <f>SUM(D17:D21)</f>
        <v>810790643</v>
      </c>
      <c r="E22" s="486">
        <f t="shared" si="1"/>
        <v>1993508790</v>
      </c>
    </row>
    <row r="23" spans="1:5">
      <c r="B23" s="462" t="s">
        <v>7</v>
      </c>
      <c r="C23" s="434"/>
      <c r="D23" s="434"/>
      <c r="E23" s="487"/>
    </row>
    <row r="24" spans="1:5">
      <c r="A24" s="427" t="s">
        <v>38</v>
      </c>
      <c r="B24" s="462"/>
      <c r="C24" s="434"/>
      <c r="D24" s="434"/>
      <c r="E24" s="487"/>
    </row>
    <row r="25" spans="1:5">
      <c r="A25" s="432" t="str">
        <f>A17</f>
        <v xml:space="preserve">  Production</v>
      </c>
      <c r="B25" s="462" t="s">
        <v>490</v>
      </c>
      <c r="C25" s="464">
        <f t="shared" ref="C25:D29" si="2">C9-C17</f>
        <v>0</v>
      </c>
      <c r="D25" s="464">
        <f t="shared" si="2"/>
        <v>598953727</v>
      </c>
      <c r="E25" s="486">
        <f t="shared" ref="E25:E30" si="3">D25+C25</f>
        <v>598953727</v>
      </c>
    </row>
    <row r="26" spans="1:5">
      <c r="A26" s="432" t="str">
        <f>A18</f>
        <v xml:space="preserve">  Transmission</v>
      </c>
      <c r="B26" s="462" t="s">
        <v>490</v>
      </c>
      <c r="C26" s="434">
        <f t="shared" si="2"/>
        <v>722205213</v>
      </c>
      <c r="D26" s="434">
        <f t="shared" si="2"/>
        <v>38707753</v>
      </c>
      <c r="E26" s="487">
        <f t="shared" si="3"/>
        <v>760912966</v>
      </c>
    </row>
    <row r="27" spans="1:5">
      <c r="A27" s="432" t="str">
        <f>A19</f>
        <v xml:space="preserve">  Distribution</v>
      </c>
      <c r="B27" s="462" t="s">
        <v>490</v>
      </c>
      <c r="C27" s="434">
        <f t="shared" si="2"/>
        <v>1948832301</v>
      </c>
      <c r="D27" s="434">
        <f t="shared" si="2"/>
        <v>332062759</v>
      </c>
      <c r="E27" s="487">
        <f t="shared" si="3"/>
        <v>2280895060</v>
      </c>
    </row>
    <row r="28" spans="1:5">
      <c r="A28" s="432" t="str">
        <f>A20</f>
        <v xml:space="preserve">  General &amp; Intangible</v>
      </c>
      <c r="B28" s="462" t="s">
        <v>490</v>
      </c>
      <c r="C28" s="434">
        <f t="shared" si="2"/>
        <v>185459186</v>
      </c>
      <c r="D28" s="434">
        <f t="shared" si="2"/>
        <v>15956932</v>
      </c>
      <c r="E28" s="487">
        <f t="shared" si="3"/>
        <v>201416118</v>
      </c>
    </row>
    <row r="29" spans="1:5" ht="13.8" thickBot="1">
      <c r="A29" s="450" t="str">
        <f>A21</f>
        <v xml:space="preserve">  Common</v>
      </c>
      <c r="B29" s="465" t="s">
        <v>490</v>
      </c>
      <c r="C29" s="466">
        <f t="shared" si="2"/>
        <v>147411987</v>
      </c>
      <c r="D29" s="466">
        <f t="shared" si="2"/>
        <v>8867290</v>
      </c>
      <c r="E29" s="787">
        <f t="shared" si="3"/>
        <v>156279277</v>
      </c>
    </row>
    <row r="30" spans="1:5">
      <c r="A30" s="432" t="s">
        <v>494</v>
      </c>
      <c r="B30" s="462"/>
      <c r="C30" s="464">
        <f>SUM(C25:C29)</f>
        <v>3003908687</v>
      </c>
      <c r="D30" s="464">
        <f>SUM(D25:D29)</f>
        <v>994548461</v>
      </c>
      <c r="E30" s="486">
        <f t="shared" si="3"/>
        <v>3998457148</v>
      </c>
    </row>
    <row r="31" spans="1:5">
      <c r="B31" s="462"/>
      <c r="C31" s="434"/>
      <c r="D31" s="434"/>
      <c r="E31" s="487"/>
    </row>
    <row r="32" spans="1:5">
      <c r="A32" s="449" t="s">
        <v>498</v>
      </c>
      <c r="B32" s="462"/>
      <c r="C32" s="434"/>
      <c r="D32" s="434"/>
      <c r="E32" s="487"/>
    </row>
    <row r="33" spans="1:5">
      <c r="A33" s="432" t="s">
        <v>120</v>
      </c>
      <c r="B33" s="462" t="s">
        <v>41</v>
      </c>
      <c r="C33" s="1093">
        <v>0</v>
      </c>
      <c r="D33" s="1093">
        <v>0</v>
      </c>
      <c r="E33" s="486">
        <f t="shared" ref="E33:E38" si="4">D33+C33</f>
        <v>0</v>
      </c>
    </row>
    <row r="34" spans="1:5">
      <c r="A34" s="432" t="s">
        <v>121</v>
      </c>
      <c r="B34" s="819" t="s">
        <v>543</v>
      </c>
      <c r="C34" s="487">
        <f>-'P1 ADIT'!F46</f>
        <v>-751483578</v>
      </c>
      <c r="D34" s="487">
        <f>-'P1 ADIT'!G46</f>
        <v>-264193027</v>
      </c>
      <c r="E34" s="487">
        <f t="shared" si="4"/>
        <v>-1015676605</v>
      </c>
    </row>
    <row r="35" spans="1:5">
      <c r="A35" s="432" t="s">
        <v>122</v>
      </c>
      <c r="B35" s="819" t="s">
        <v>543</v>
      </c>
      <c r="C35" s="487">
        <f>-'P1 ADIT'!F64</f>
        <v>-48166249</v>
      </c>
      <c r="D35" s="487">
        <f>-'P1 ADIT'!G64</f>
        <v>-33285128</v>
      </c>
      <c r="E35" s="487">
        <f t="shared" si="4"/>
        <v>-81451377</v>
      </c>
    </row>
    <row r="36" spans="1:5">
      <c r="A36" s="432" t="s">
        <v>124</v>
      </c>
      <c r="B36" s="819" t="s">
        <v>544</v>
      </c>
      <c r="C36" s="508">
        <f>'P1 ADIT'!F28</f>
        <v>55713760</v>
      </c>
      <c r="D36" s="508">
        <f>'P1 ADIT'!G28</f>
        <v>38485857</v>
      </c>
      <c r="E36" s="508">
        <f t="shared" si="4"/>
        <v>94199617</v>
      </c>
    </row>
    <row r="37" spans="1:5" ht="13.8" thickBot="1">
      <c r="A37" s="468" t="s">
        <v>123</v>
      </c>
      <c r="B37" s="468" t="s">
        <v>169</v>
      </c>
      <c r="C37" s="1094">
        <v>0</v>
      </c>
      <c r="D37" s="1094">
        <v>0</v>
      </c>
      <c r="E37" s="787">
        <f t="shared" si="4"/>
        <v>0</v>
      </c>
    </row>
    <row r="38" spans="1:5">
      <c r="A38" s="432" t="s">
        <v>495</v>
      </c>
      <c r="B38" s="462"/>
      <c r="C38" s="464">
        <f>SUM(C33:C37)</f>
        <v>-743936067</v>
      </c>
      <c r="D38" s="464">
        <f>SUM(D33:D37)</f>
        <v>-258992298</v>
      </c>
      <c r="E38" s="486">
        <f t="shared" si="4"/>
        <v>-1002928365</v>
      </c>
    </row>
    <row r="39" spans="1:5">
      <c r="B39" s="462"/>
      <c r="C39" s="434"/>
      <c r="D39" s="434"/>
      <c r="E39" s="487"/>
    </row>
    <row r="40" spans="1:5">
      <c r="A40" s="449" t="s">
        <v>360</v>
      </c>
      <c r="B40" s="462" t="s">
        <v>748</v>
      </c>
      <c r="C40" s="486">
        <f>'P3 Land Held for Future Use'!D15</f>
        <v>324654</v>
      </c>
      <c r="D40" s="486">
        <f>'P3 Land Held for Future Use'!D20</f>
        <v>0</v>
      </c>
      <c r="E40" s="486">
        <f>D40+C40</f>
        <v>324654</v>
      </c>
    </row>
    <row r="41" spans="1:5">
      <c r="A41" s="432"/>
      <c r="B41" s="462"/>
      <c r="C41" s="434"/>
      <c r="D41" s="434"/>
      <c r="E41" s="487"/>
    </row>
    <row r="42" spans="1:5">
      <c r="A42" s="449" t="s">
        <v>497</v>
      </c>
      <c r="B42" s="462" t="s">
        <v>7</v>
      </c>
      <c r="C42" s="434"/>
      <c r="D42" s="434"/>
      <c r="E42" s="487"/>
    </row>
    <row r="43" spans="1:5">
      <c r="A43" s="432" t="s">
        <v>147</v>
      </c>
      <c r="B43" s="456" t="s">
        <v>145</v>
      </c>
      <c r="C43" s="486">
        <f>ROUND((DEO!E126/8),0)</f>
        <v>7673207</v>
      </c>
      <c r="D43" s="486">
        <f>ROUND((DEK!E126/8),0)</f>
        <v>2502745</v>
      </c>
      <c r="E43" s="486">
        <f>D43+C43</f>
        <v>10175952</v>
      </c>
    </row>
    <row r="44" spans="1:5">
      <c r="A44" s="469" t="s">
        <v>361</v>
      </c>
      <c r="B44" s="819" t="s">
        <v>747</v>
      </c>
      <c r="C44" s="487">
        <f>'P2 Allocate M&amp;S'!L18</f>
        <v>20259071</v>
      </c>
      <c r="D44" s="487">
        <f>'P2 Allocate M&amp;S'!L27</f>
        <v>4000</v>
      </c>
      <c r="E44" s="487">
        <f>D44+C44</f>
        <v>20263071</v>
      </c>
    </row>
    <row r="45" spans="1:5" ht="13.8" thickBot="1">
      <c r="A45" s="450" t="s">
        <v>125</v>
      </c>
      <c r="B45" s="465" t="s">
        <v>173</v>
      </c>
      <c r="C45" s="621">
        <v>58479</v>
      </c>
      <c r="D45" s="621">
        <v>634866</v>
      </c>
      <c r="E45" s="787">
        <f>D45+C45</f>
        <v>693345</v>
      </c>
    </row>
    <row r="46" spans="1:5">
      <c r="A46" s="432" t="s">
        <v>496</v>
      </c>
      <c r="B46" s="426"/>
      <c r="C46" s="464">
        <f>C43+C44+C45</f>
        <v>27990757</v>
      </c>
      <c r="D46" s="464">
        <f>D43+D44+D45</f>
        <v>3141611</v>
      </c>
      <c r="E46" s="486">
        <f>D46+C46</f>
        <v>31132368</v>
      </c>
    </row>
    <row r="47" spans="1:5" ht="13.8" thickBot="1">
      <c r="B47" s="462"/>
      <c r="C47" s="466"/>
      <c r="D47" s="466"/>
      <c r="E47" s="787"/>
    </row>
    <row r="48" spans="1:5" ht="13.8" thickBot="1">
      <c r="A48" s="427" t="s">
        <v>281</v>
      </c>
      <c r="B48" s="462"/>
      <c r="C48" s="879">
        <f>C46+C40+C38+C30</f>
        <v>2288288031</v>
      </c>
      <c r="D48" s="879">
        <f>D46+D40+D38+D30</f>
        <v>738697774</v>
      </c>
      <c r="E48" s="788">
        <f>D48+C48</f>
        <v>3026985805</v>
      </c>
    </row>
    <row r="49" spans="1:6" ht="14.4" thickTop="1" thickBot="1">
      <c r="A49" s="432"/>
      <c r="B49" s="462"/>
      <c r="C49" s="595"/>
      <c r="D49" s="595"/>
      <c r="E49" s="789"/>
    </row>
    <row r="50" spans="1:6">
      <c r="A50" s="491" t="s">
        <v>45</v>
      </c>
      <c r="B50" s="492"/>
      <c r="C50" s="880"/>
      <c r="D50" s="880"/>
      <c r="E50" s="790"/>
    </row>
    <row r="51" spans="1:6">
      <c r="A51" s="432" t="s">
        <v>46</v>
      </c>
      <c r="B51" s="819" t="s">
        <v>188</v>
      </c>
      <c r="C51" s="1093">
        <f>7814620-1780</f>
        <v>7812840</v>
      </c>
      <c r="D51" s="1093">
        <f>12674140-374</f>
        <v>12673766</v>
      </c>
      <c r="E51" s="486">
        <f t="shared" ref="E51:E65" si="5">D51+C51</f>
        <v>20486606</v>
      </c>
    </row>
    <row r="52" spans="1:6" s="490" customFormat="1" ht="26.4">
      <c r="A52" s="497" t="s">
        <v>367</v>
      </c>
      <c r="B52" s="497" t="s">
        <v>545</v>
      </c>
      <c r="C52" s="622">
        <f>12109718-21711543</f>
        <v>-9601825</v>
      </c>
      <c r="D52" s="622">
        <f>3046615-6392346</f>
        <v>-3345731</v>
      </c>
      <c r="E52" s="510">
        <f t="shared" si="5"/>
        <v>-12947556</v>
      </c>
    </row>
    <row r="53" spans="1:6">
      <c r="A53" s="471" t="s">
        <v>480</v>
      </c>
      <c r="B53" s="820" t="s">
        <v>481</v>
      </c>
      <c r="C53" s="622">
        <v>0</v>
      </c>
      <c r="D53" s="622">
        <v>0</v>
      </c>
      <c r="E53" s="510">
        <f t="shared" si="5"/>
        <v>0</v>
      </c>
      <c r="F53" s="490"/>
    </row>
    <row r="54" spans="1:6">
      <c r="A54" s="471" t="s">
        <v>575</v>
      </c>
      <c r="B54" s="819" t="s">
        <v>749</v>
      </c>
      <c r="C54" s="611">
        <f>'P4 Advertising - EPRI Adj.'!E21</f>
        <v>282229</v>
      </c>
      <c r="D54" s="611">
        <f>'P4 Advertising - EPRI Adj.'!F21</f>
        <v>260519</v>
      </c>
      <c r="E54" s="510">
        <f t="shared" si="5"/>
        <v>542748</v>
      </c>
      <c r="F54" s="490"/>
    </row>
    <row r="55" spans="1:6">
      <c r="A55" s="472" t="s">
        <v>2</v>
      </c>
      <c r="B55" s="819" t="s">
        <v>189</v>
      </c>
      <c r="C55" s="477">
        <f>-13232</f>
        <v>-13232</v>
      </c>
      <c r="D55" s="477">
        <v>13909634</v>
      </c>
      <c r="E55" s="487">
        <f t="shared" si="5"/>
        <v>13896402</v>
      </c>
    </row>
    <row r="56" spans="1:6">
      <c r="A56" s="430" t="s">
        <v>47</v>
      </c>
      <c r="B56" s="819" t="s">
        <v>750</v>
      </c>
      <c r="C56" s="434">
        <f>'P5 A&amp;G Adjusments'!E21</f>
        <v>51005709</v>
      </c>
      <c r="D56" s="434">
        <f>'P5 A&amp;G Adjusments'!F21</f>
        <v>20124695</v>
      </c>
      <c r="E56" s="487">
        <f t="shared" si="5"/>
        <v>71130404</v>
      </c>
    </row>
    <row r="57" spans="1:6" ht="26.4">
      <c r="A57" s="471" t="s">
        <v>607</v>
      </c>
      <c r="B57" s="820" t="s">
        <v>245</v>
      </c>
      <c r="C57" s="611">
        <f>'P11 PBOP - DEO'!H42</f>
        <v>2198592</v>
      </c>
      <c r="D57" s="611">
        <f>'P12 PBOP - DEK'!H42</f>
        <v>677305</v>
      </c>
      <c r="E57" s="510">
        <f t="shared" si="5"/>
        <v>2875897</v>
      </c>
      <c r="F57" s="490"/>
    </row>
    <row r="58" spans="1:6">
      <c r="A58" s="472" t="s">
        <v>482</v>
      </c>
      <c r="B58" s="821" t="s">
        <v>483</v>
      </c>
      <c r="C58" s="477">
        <v>0</v>
      </c>
      <c r="D58" s="477">
        <v>0</v>
      </c>
      <c r="E58" s="487">
        <f t="shared" si="5"/>
        <v>0</v>
      </c>
    </row>
    <row r="59" spans="1:6">
      <c r="A59" s="568" t="s">
        <v>552</v>
      </c>
      <c r="B59" s="821" t="s">
        <v>553</v>
      </c>
      <c r="C59" s="477">
        <v>0</v>
      </c>
      <c r="D59" s="477">
        <v>0</v>
      </c>
      <c r="E59" s="487">
        <f>D59+C59</f>
        <v>0</v>
      </c>
    </row>
    <row r="60" spans="1:6">
      <c r="A60" s="473" t="s">
        <v>357</v>
      </c>
      <c r="B60" s="821" t="s">
        <v>546</v>
      </c>
      <c r="C60" s="477">
        <v>0</v>
      </c>
      <c r="D60" s="477">
        <v>0</v>
      </c>
      <c r="E60" s="487">
        <f t="shared" si="5"/>
        <v>0</v>
      </c>
    </row>
    <row r="61" spans="1:6" ht="26.4">
      <c r="A61" s="471" t="s">
        <v>368</v>
      </c>
      <c r="B61" s="820" t="s">
        <v>547</v>
      </c>
      <c r="C61" s="510">
        <f>'P4 Advertising - EPRI Adj.'!E32</f>
        <v>1970669</v>
      </c>
      <c r="D61" s="510">
        <f>'P4 Advertising - EPRI Adj.'!F32</f>
        <v>893319</v>
      </c>
      <c r="E61" s="510">
        <f t="shared" si="5"/>
        <v>2863988</v>
      </c>
      <c r="F61" s="490"/>
    </row>
    <row r="62" spans="1:6">
      <c r="A62" s="471" t="s">
        <v>369</v>
      </c>
      <c r="B62" s="821"/>
      <c r="C62" s="477">
        <v>0</v>
      </c>
      <c r="D62" s="477">
        <v>0</v>
      </c>
      <c r="E62" s="487">
        <f t="shared" si="5"/>
        <v>0</v>
      </c>
    </row>
    <row r="63" spans="1:6">
      <c r="A63" s="430" t="s">
        <v>34</v>
      </c>
      <c r="B63" s="821" t="str">
        <f>B21</f>
        <v>356</v>
      </c>
      <c r="C63" s="477">
        <v>0</v>
      </c>
      <c r="D63" s="477">
        <v>0</v>
      </c>
      <c r="E63" s="487">
        <f t="shared" si="5"/>
        <v>0</v>
      </c>
    </row>
    <row r="64" spans="1:6">
      <c r="A64" s="430" t="s">
        <v>48</v>
      </c>
      <c r="B64" s="821"/>
      <c r="C64" s="623">
        <v>0</v>
      </c>
      <c r="D64" s="623">
        <v>0</v>
      </c>
      <c r="E64" s="508">
        <f t="shared" si="5"/>
        <v>0</v>
      </c>
      <c r="F64" s="463"/>
    </row>
    <row r="65" spans="1:6" ht="26.4">
      <c r="A65" s="471" t="s">
        <v>594</v>
      </c>
      <c r="B65" s="821"/>
      <c r="C65" s="464">
        <f>C51-C52-C53-C54-C55+C56-C58-C59-C60-C61+C62+C63+C64</f>
        <v>66180708</v>
      </c>
      <c r="D65" s="464">
        <f>D51-D52-D53-D54-D55+D56-D58-D59-D60-D61+D62+D63+D64</f>
        <v>21080720</v>
      </c>
      <c r="E65" s="486">
        <f t="shared" si="5"/>
        <v>87261428</v>
      </c>
    </row>
    <row r="66" spans="1:6">
      <c r="A66" s="474"/>
      <c r="B66" s="821"/>
      <c r="C66" s="434"/>
      <c r="D66" s="434"/>
      <c r="E66" s="487"/>
    </row>
    <row r="67" spans="1:6">
      <c r="A67" s="427" t="s">
        <v>49</v>
      </c>
      <c r="B67" s="819"/>
      <c r="C67" s="434"/>
      <c r="D67" s="434"/>
      <c r="E67" s="487"/>
    </row>
    <row r="68" spans="1:6">
      <c r="A68" s="432" t="str">
        <f>A51</f>
        <v xml:space="preserve">  Transmission </v>
      </c>
      <c r="B68" s="819" t="s">
        <v>518</v>
      </c>
      <c r="C68" s="1093">
        <v>15575285</v>
      </c>
      <c r="D68" s="1093">
        <v>1242440</v>
      </c>
      <c r="E68" s="486">
        <f>D68+C68</f>
        <v>16817725</v>
      </c>
    </row>
    <row r="69" spans="1:6" ht="14.4">
      <c r="A69" s="432" t="s">
        <v>33</v>
      </c>
      <c r="B69" s="822" t="s">
        <v>509</v>
      </c>
      <c r="C69" s="477">
        <f>8525525+12624112</f>
        <v>21149637</v>
      </c>
      <c r="D69" s="477">
        <f>2130625+722246</f>
        <v>2852871</v>
      </c>
      <c r="E69" s="487">
        <f>D69+C69</f>
        <v>24002508</v>
      </c>
    </row>
    <row r="70" spans="1:6" ht="13.8" thickBot="1">
      <c r="A70" s="450" t="str">
        <f>A63</f>
        <v xml:space="preserve">  Common</v>
      </c>
      <c r="B70" s="823" t="s">
        <v>517</v>
      </c>
      <c r="C70" s="621">
        <v>9295958</v>
      </c>
      <c r="D70" s="621">
        <v>244583</v>
      </c>
      <c r="E70" s="787">
        <f>D70+C70</f>
        <v>9540541</v>
      </c>
    </row>
    <row r="71" spans="1:6">
      <c r="A71" s="432" t="s">
        <v>50</v>
      </c>
      <c r="B71" s="819"/>
      <c r="C71" s="464">
        <f>SUM(C68:C70)</f>
        <v>46020880</v>
      </c>
      <c r="D71" s="464">
        <f>SUM(D68:D70)</f>
        <v>4339894</v>
      </c>
      <c r="E71" s="486">
        <f>D71+C71</f>
        <v>50360774</v>
      </c>
    </row>
    <row r="72" spans="1:6">
      <c r="A72" s="432"/>
      <c r="B72" s="819"/>
      <c r="C72" s="434"/>
      <c r="D72" s="434"/>
      <c r="E72" s="487"/>
    </row>
    <row r="73" spans="1:6">
      <c r="A73" s="449" t="s">
        <v>201</v>
      </c>
      <c r="B73" s="824"/>
      <c r="C73" s="434"/>
      <c r="D73" s="434"/>
      <c r="E73" s="487"/>
    </row>
    <row r="74" spans="1:6">
      <c r="A74" s="432" t="s">
        <v>51</v>
      </c>
      <c r="B74" s="824"/>
      <c r="C74" s="434"/>
      <c r="D74" s="434"/>
      <c r="E74" s="487"/>
    </row>
    <row r="75" spans="1:6">
      <c r="A75" s="476" t="s">
        <v>358</v>
      </c>
      <c r="B75" s="819" t="s">
        <v>548</v>
      </c>
      <c r="C75" s="1093">
        <f>4071079+20761+14331</f>
        <v>4106171</v>
      </c>
      <c r="D75" s="1093">
        <f>1867087+7813+6702</f>
        <v>1881602</v>
      </c>
      <c r="E75" s="486">
        <f t="shared" ref="E75:E82" si="6">D75+C75</f>
        <v>5987773</v>
      </c>
    </row>
    <row r="76" spans="1:6">
      <c r="A76" s="476" t="s">
        <v>359</v>
      </c>
      <c r="B76" s="819" t="s">
        <v>548</v>
      </c>
      <c r="C76" s="477">
        <v>3863</v>
      </c>
      <c r="D76" s="477">
        <v>1217</v>
      </c>
      <c r="E76" s="487">
        <f t="shared" si="6"/>
        <v>5080</v>
      </c>
    </row>
    <row r="77" spans="1:6">
      <c r="A77" s="432" t="s">
        <v>52</v>
      </c>
      <c r="B77" s="819" t="s">
        <v>7</v>
      </c>
      <c r="C77" s="477"/>
      <c r="D77" s="477"/>
      <c r="E77" s="487">
        <f t="shared" si="6"/>
        <v>0</v>
      </c>
      <c r="F77" s="474"/>
    </row>
    <row r="78" spans="1:6">
      <c r="A78" s="432" t="s">
        <v>53</v>
      </c>
      <c r="B78" s="819" t="s">
        <v>548</v>
      </c>
      <c r="C78" s="477">
        <f>141234636</f>
        <v>141234636</v>
      </c>
      <c r="D78" s="477">
        <f>1601742+7960833</f>
        <v>9562575</v>
      </c>
      <c r="E78" s="487">
        <f t="shared" si="6"/>
        <v>150797211</v>
      </c>
    </row>
    <row r="79" spans="1:6">
      <c r="A79" s="432" t="s">
        <v>54</v>
      </c>
      <c r="B79" s="819" t="s">
        <v>548</v>
      </c>
      <c r="C79" s="477">
        <v>2702889</v>
      </c>
      <c r="D79" s="477">
        <v>0</v>
      </c>
      <c r="E79" s="487">
        <f t="shared" si="6"/>
        <v>2702889</v>
      </c>
    </row>
    <row r="80" spans="1:6">
      <c r="A80" s="432" t="s">
        <v>55</v>
      </c>
      <c r="B80" s="819" t="s">
        <v>170</v>
      </c>
      <c r="C80" s="477">
        <v>0</v>
      </c>
      <c r="D80" s="477">
        <v>0</v>
      </c>
      <c r="E80" s="487">
        <f t="shared" si="6"/>
        <v>0</v>
      </c>
    </row>
    <row r="81" spans="1:6" ht="13.8" thickBot="1">
      <c r="A81" s="450" t="s">
        <v>56</v>
      </c>
      <c r="B81" s="823"/>
      <c r="C81" s="621">
        <v>0</v>
      </c>
      <c r="D81" s="621">
        <v>0</v>
      </c>
      <c r="E81" s="787">
        <f t="shared" si="6"/>
        <v>0</v>
      </c>
    </row>
    <row r="82" spans="1:6">
      <c r="A82" s="432" t="s">
        <v>57</v>
      </c>
      <c r="B82" s="819"/>
      <c r="C82" s="464">
        <f>C75+C76+C78+C79+C80+C81</f>
        <v>148047559</v>
      </c>
      <c r="D82" s="464">
        <f>D75+D76+D78+D79+D80+D81</f>
        <v>11445394</v>
      </c>
      <c r="E82" s="486">
        <f t="shared" si="6"/>
        <v>159492953</v>
      </c>
    </row>
    <row r="83" spans="1:6">
      <c r="A83" s="432"/>
      <c r="B83" s="819"/>
      <c r="C83" s="434"/>
      <c r="D83" s="434"/>
      <c r="E83" s="487"/>
    </row>
    <row r="84" spans="1:6">
      <c r="A84" s="432"/>
      <c r="B84" s="819"/>
      <c r="C84" s="595"/>
      <c r="D84" s="595"/>
      <c r="E84" s="487"/>
      <c r="F84" s="478"/>
    </row>
    <row r="85" spans="1:6">
      <c r="A85" s="449" t="s">
        <v>485</v>
      </c>
      <c r="B85" s="819"/>
      <c r="C85" s="595"/>
      <c r="D85" s="595"/>
      <c r="E85" s="487"/>
      <c r="F85" s="478"/>
    </row>
    <row r="86" spans="1:6">
      <c r="A86" s="456" t="s">
        <v>486</v>
      </c>
      <c r="B86" s="819"/>
      <c r="C86" s="479">
        <v>0.21</v>
      </c>
      <c r="D86" s="479">
        <v>0.21</v>
      </c>
      <c r="E86" s="487"/>
      <c r="F86" s="478"/>
    </row>
    <row r="87" spans="1:6">
      <c r="A87" s="456" t="s">
        <v>487</v>
      </c>
      <c r="B87" s="819"/>
      <c r="C87" s="1095">
        <f>'P6 Statetax'!D13</f>
        <v>0</v>
      </c>
      <c r="D87" s="1095">
        <f>'P6 Statetax'!E13</f>
        <v>0.05</v>
      </c>
      <c r="E87" s="487"/>
      <c r="F87" s="478"/>
    </row>
    <row r="88" spans="1:6">
      <c r="A88" s="471" t="s">
        <v>489</v>
      </c>
      <c r="B88" s="819"/>
      <c r="C88" s="1096">
        <v>0</v>
      </c>
      <c r="D88" s="1096">
        <v>0</v>
      </c>
      <c r="E88" s="487"/>
      <c r="F88" s="478"/>
    </row>
    <row r="89" spans="1:6">
      <c r="A89" s="456" t="s">
        <v>488</v>
      </c>
      <c r="B89" s="819"/>
      <c r="C89" s="1095">
        <f>IF(FIT&gt;0,1-(((1-SIT_DEO)*(1-FIT))/(1-SIT_DEO*FIT*C88)),0)</f>
        <v>0.20999999999999996</v>
      </c>
      <c r="D89" s="1095">
        <f>IF(FIT&gt;0,1-(((1-SIT_DEK)*(1-FIT))/(1-SIT_DEK*FIT*D88)),0)</f>
        <v>0.24950000000000006</v>
      </c>
      <c r="E89" s="487"/>
      <c r="F89" s="478"/>
    </row>
    <row r="90" spans="1:6">
      <c r="B90" s="819"/>
      <c r="C90" s="479"/>
      <c r="D90" s="479"/>
      <c r="E90" s="791"/>
      <c r="F90" s="480"/>
    </row>
    <row r="91" spans="1:6">
      <c r="A91" s="432" t="s">
        <v>342</v>
      </c>
      <c r="B91" s="497" t="s">
        <v>341</v>
      </c>
      <c r="C91" s="477">
        <f>-233230</f>
        <v>-233230</v>
      </c>
      <c r="D91" s="477">
        <f>-11335</f>
        <v>-11335</v>
      </c>
      <c r="E91" s="487">
        <f>D91+C91</f>
        <v>-244565</v>
      </c>
    </row>
    <row r="92" spans="1:6">
      <c r="A92" s="432"/>
      <c r="B92" s="819"/>
      <c r="C92" s="434"/>
      <c r="D92" s="434"/>
      <c r="E92" s="487"/>
    </row>
    <row r="93" spans="1:6">
      <c r="A93" s="431" t="s">
        <v>316</v>
      </c>
      <c r="B93" s="825"/>
      <c r="C93" s="428"/>
      <c r="D93" s="428"/>
      <c r="E93" s="792"/>
    </row>
    <row r="94" spans="1:6">
      <c r="A94" s="430"/>
      <c r="B94" s="825"/>
      <c r="C94" s="428"/>
      <c r="D94" s="428"/>
      <c r="E94" s="792"/>
    </row>
    <row r="95" spans="1:6">
      <c r="A95" s="471" t="s">
        <v>371</v>
      </c>
      <c r="B95" s="826"/>
      <c r="C95" s="477">
        <v>0</v>
      </c>
      <c r="D95" s="477">
        <v>0</v>
      </c>
      <c r="E95" s="487">
        <f>D95+C95</f>
        <v>0</v>
      </c>
    </row>
    <row r="96" spans="1:6" s="490" customFormat="1" ht="26.4">
      <c r="A96" s="497" t="s">
        <v>363</v>
      </c>
      <c r="B96" s="820" t="s">
        <v>751</v>
      </c>
      <c r="C96" s="602">
        <f>'P7 Trans Plant In OATT'!D15</f>
        <v>0</v>
      </c>
      <c r="D96" s="602">
        <f>'P7 Trans Plant In OATT'!E15</f>
        <v>16503955</v>
      </c>
      <c r="E96" s="793">
        <f>D96+C96</f>
        <v>16503955</v>
      </c>
    </row>
    <row r="97" spans="1:5" ht="13.8" thickBot="1">
      <c r="A97" s="429"/>
      <c r="B97" s="827"/>
      <c r="C97" s="467"/>
      <c r="D97" s="467"/>
      <c r="E97" s="508"/>
    </row>
    <row r="98" spans="1:5">
      <c r="A98" s="493" t="s">
        <v>60</v>
      </c>
      <c r="B98" s="828"/>
      <c r="C98" s="494"/>
      <c r="D98" s="494"/>
      <c r="E98" s="794"/>
    </row>
    <row r="99" spans="1:5">
      <c r="A99" s="474"/>
      <c r="B99" s="829"/>
      <c r="C99" s="474"/>
      <c r="D99" s="474"/>
      <c r="E99" s="489"/>
    </row>
    <row r="100" spans="1:5">
      <c r="A100" s="474" t="s">
        <v>800</v>
      </c>
      <c r="B100" s="829" t="s">
        <v>817</v>
      </c>
      <c r="C100" s="477">
        <v>596947</v>
      </c>
      <c r="D100" s="477">
        <v>93821</v>
      </c>
      <c r="E100" s="487">
        <f t="shared" ref="E100:E102" si="7">D100+C100</f>
        <v>690768</v>
      </c>
    </row>
    <row r="101" spans="1:5">
      <c r="A101" s="474" t="s">
        <v>801</v>
      </c>
      <c r="B101" s="829" t="s">
        <v>818</v>
      </c>
      <c r="C101" s="477">
        <v>2900708</v>
      </c>
      <c r="D101" s="477">
        <v>435265</v>
      </c>
      <c r="E101" s="487">
        <f t="shared" si="7"/>
        <v>3335973</v>
      </c>
    </row>
    <row r="102" spans="1:5" ht="13.8" thickBot="1">
      <c r="A102" s="474" t="s">
        <v>802</v>
      </c>
      <c r="B102" s="829" t="s">
        <v>819</v>
      </c>
      <c r="C102" s="477">
        <v>403997</v>
      </c>
      <c r="D102" s="477">
        <v>59242</v>
      </c>
      <c r="E102" s="487">
        <f t="shared" si="7"/>
        <v>463239</v>
      </c>
    </row>
    <row r="103" spans="1:5" ht="26.4">
      <c r="A103" s="915" t="s">
        <v>364</v>
      </c>
      <c r="B103" s="916" t="s">
        <v>560</v>
      </c>
      <c r="C103" s="911">
        <f>SUM(C100:C102)</f>
        <v>3901652</v>
      </c>
      <c r="D103" s="911">
        <f>SUM(D100:D102)</f>
        <v>588328</v>
      </c>
      <c r="E103" s="912">
        <f>D103+C103</f>
        <v>4489980</v>
      </c>
    </row>
    <row r="104" spans="1:5">
      <c r="A104" s="428"/>
      <c r="B104" s="825"/>
      <c r="C104" s="595"/>
      <c r="D104" s="595"/>
      <c r="E104" s="789"/>
    </row>
    <row r="105" spans="1:5">
      <c r="B105" s="435"/>
      <c r="C105" s="595"/>
      <c r="D105" s="595"/>
      <c r="E105" s="789"/>
    </row>
    <row r="106" spans="1:5">
      <c r="A106" s="427" t="s">
        <v>64</v>
      </c>
      <c r="B106" s="819"/>
      <c r="C106" s="595"/>
      <c r="D106" s="595"/>
      <c r="E106" s="789"/>
    </row>
    <row r="107" spans="1:5" ht="13.8" thickBot="1">
      <c r="A107" s="432"/>
      <c r="B107" s="830"/>
      <c r="C107" s="881" t="s">
        <v>66</v>
      </c>
      <c r="D107" s="881" t="s">
        <v>66</v>
      </c>
      <c r="E107" s="795"/>
    </row>
    <row r="108" spans="1:5">
      <c r="A108" s="432" t="s">
        <v>29</v>
      </c>
      <c r="B108" s="819" t="s">
        <v>68</v>
      </c>
      <c r="C108" s="477">
        <v>2438772</v>
      </c>
      <c r="D108" s="477">
        <v>13293182</v>
      </c>
      <c r="E108" s="487">
        <f>D108+C108</f>
        <v>15731954</v>
      </c>
    </row>
    <row r="109" spans="1:5">
      <c r="A109" s="432" t="s">
        <v>31</v>
      </c>
      <c r="B109" s="819" t="s">
        <v>191</v>
      </c>
      <c r="C109" s="477">
        <v>6961691</v>
      </c>
      <c r="D109" s="477">
        <v>968723</v>
      </c>
      <c r="E109" s="487">
        <f>D109+C109</f>
        <v>7930414</v>
      </c>
    </row>
    <row r="110" spans="1:5">
      <c r="A110" s="432" t="s">
        <v>32</v>
      </c>
      <c r="B110" s="819" t="s">
        <v>192</v>
      </c>
      <c r="C110" s="477">
        <v>23857199</v>
      </c>
      <c r="D110" s="477">
        <v>3967747</v>
      </c>
      <c r="E110" s="487">
        <f>D110+C110</f>
        <v>27824946</v>
      </c>
    </row>
    <row r="111" spans="1:5" ht="13.8" thickBot="1">
      <c r="A111" s="450" t="s">
        <v>69</v>
      </c>
      <c r="B111" s="823" t="s">
        <v>193</v>
      </c>
      <c r="C111" s="621">
        <v>10783480</v>
      </c>
      <c r="D111" s="621">
        <v>2586535</v>
      </c>
      <c r="E111" s="787">
        <f>D111+C111</f>
        <v>13370015</v>
      </c>
    </row>
    <row r="112" spans="1:5">
      <c r="A112" s="432" t="s">
        <v>149</v>
      </c>
      <c r="B112" s="819"/>
      <c r="C112" s="434">
        <f>SUM(C108:C111)</f>
        <v>44041142</v>
      </c>
      <c r="D112" s="434">
        <f>SUM(D108:D111)</f>
        <v>20816187</v>
      </c>
      <c r="E112" s="487">
        <f>D112+C112</f>
        <v>64857329</v>
      </c>
    </row>
    <row r="113" spans="1:5">
      <c r="A113" s="432"/>
      <c r="B113" s="819"/>
      <c r="C113" s="595"/>
      <c r="D113" s="595"/>
      <c r="E113" s="789"/>
    </row>
    <row r="114" spans="1:5">
      <c r="A114" s="449" t="s">
        <v>491</v>
      </c>
      <c r="B114" s="819"/>
      <c r="C114" s="595"/>
      <c r="D114" s="595"/>
      <c r="E114" s="789"/>
    </row>
    <row r="115" spans="1:5">
      <c r="A115" s="432"/>
      <c r="B115" s="819"/>
      <c r="C115" s="882" t="s">
        <v>66</v>
      </c>
      <c r="D115" s="882" t="s">
        <v>66</v>
      </c>
      <c r="E115" s="796"/>
    </row>
    <row r="116" spans="1:5">
      <c r="A116" s="432" t="s">
        <v>73</v>
      </c>
      <c r="B116" s="819" t="s">
        <v>74</v>
      </c>
      <c r="C116" s="477">
        <v>3153189130</v>
      </c>
      <c r="D116" s="477">
        <v>1434470606</v>
      </c>
      <c r="E116" s="487">
        <f>D116+C116</f>
        <v>4587659736</v>
      </c>
    </row>
    <row r="117" spans="1:5">
      <c r="A117" s="432" t="s">
        <v>77</v>
      </c>
      <c r="B117" s="819" t="s">
        <v>171</v>
      </c>
      <c r="C117" s="477">
        <v>1553882234</v>
      </c>
      <c r="D117" s="477">
        <v>367448615</v>
      </c>
      <c r="E117" s="487">
        <f>D117+C117</f>
        <v>1921330849</v>
      </c>
    </row>
    <row r="118" spans="1:5" ht="13.8" thickBot="1">
      <c r="A118" s="450" t="s">
        <v>79</v>
      </c>
      <c r="B118" s="823" t="s">
        <v>172</v>
      </c>
      <c r="C118" s="621">
        <v>0</v>
      </c>
      <c r="D118" s="621">
        <v>0</v>
      </c>
      <c r="E118" s="787">
        <f>D118+C118</f>
        <v>0</v>
      </c>
    </row>
    <row r="119" spans="1:5">
      <c r="A119" s="432" t="s">
        <v>128</v>
      </c>
      <c r="B119" s="819"/>
      <c r="C119" s="434">
        <f>C116+C117+C118</f>
        <v>4707071364</v>
      </c>
      <c r="D119" s="434">
        <f>D116+D117+D118</f>
        <v>1801919221</v>
      </c>
      <c r="E119" s="487">
        <f>D119+C119</f>
        <v>6508990585</v>
      </c>
    </row>
    <row r="120" spans="1:5">
      <c r="A120" s="432"/>
      <c r="B120" s="819"/>
      <c r="C120" s="474"/>
      <c r="D120" s="474"/>
      <c r="E120" s="489"/>
    </row>
    <row r="121" spans="1:5">
      <c r="A121" s="427" t="s">
        <v>80</v>
      </c>
      <c r="B121" s="819"/>
      <c r="C121" s="595"/>
      <c r="D121" s="595"/>
      <c r="E121" s="789"/>
    </row>
    <row r="122" spans="1:5">
      <c r="A122" s="432" t="s">
        <v>794</v>
      </c>
      <c r="B122" s="819" t="s">
        <v>811</v>
      </c>
      <c r="C122" s="1098">
        <v>81274665</v>
      </c>
      <c r="D122" s="1098">
        <v>18328365</v>
      </c>
      <c r="E122" s="487">
        <f t="shared" ref="E122:E127" si="8">D122+C122</f>
        <v>99603030</v>
      </c>
    </row>
    <row r="123" spans="1:5">
      <c r="A123" s="432" t="s">
        <v>795</v>
      </c>
      <c r="B123" s="819" t="s">
        <v>812</v>
      </c>
      <c r="C123" s="1098">
        <v>3084894</v>
      </c>
      <c r="D123" s="1098">
        <v>329160</v>
      </c>
      <c r="E123" s="487">
        <f t="shared" si="8"/>
        <v>3414054</v>
      </c>
    </row>
    <row r="124" spans="1:5">
      <c r="A124" s="432" t="s">
        <v>796</v>
      </c>
      <c r="B124" s="819" t="s">
        <v>813</v>
      </c>
      <c r="C124" s="1098">
        <v>445504</v>
      </c>
      <c r="D124" s="1098">
        <v>266474</v>
      </c>
      <c r="E124" s="487">
        <f t="shared" si="8"/>
        <v>711978</v>
      </c>
    </row>
    <row r="125" spans="1:5">
      <c r="A125" s="432" t="s">
        <v>797</v>
      </c>
      <c r="B125" s="819" t="s">
        <v>814</v>
      </c>
      <c r="C125" s="1098">
        <v>-473735</v>
      </c>
      <c r="D125" s="1098">
        <v>0</v>
      </c>
      <c r="E125" s="487">
        <f t="shared" si="8"/>
        <v>-473735</v>
      </c>
    </row>
    <row r="126" spans="1:5">
      <c r="A126" s="432" t="s">
        <v>798</v>
      </c>
      <c r="B126" s="819" t="s">
        <v>815</v>
      </c>
      <c r="C126" s="1098">
        <v>0</v>
      </c>
      <c r="D126" s="1098">
        <v>0</v>
      </c>
      <c r="E126" s="487">
        <f t="shared" si="8"/>
        <v>0</v>
      </c>
    </row>
    <row r="127" spans="1:5" ht="13.8" thickBot="1">
      <c r="A127" s="432" t="s">
        <v>799</v>
      </c>
      <c r="B127" s="819" t="s">
        <v>816</v>
      </c>
      <c r="C127" s="1098">
        <f>2055484-2055484</f>
        <v>0</v>
      </c>
      <c r="D127" s="1098">
        <f>1688923-1122533</f>
        <v>566390</v>
      </c>
      <c r="E127" s="487">
        <f t="shared" si="8"/>
        <v>566390</v>
      </c>
    </row>
    <row r="128" spans="1:5">
      <c r="A128" s="492" t="s">
        <v>183</v>
      </c>
      <c r="B128" s="914"/>
      <c r="C128" s="911">
        <f>SUM(C122:C127)</f>
        <v>84331328</v>
      </c>
      <c r="D128" s="911">
        <f>SUM(D122:D127)</f>
        <v>19490389</v>
      </c>
      <c r="E128" s="913">
        <f>D128+C128</f>
        <v>103821717</v>
      </c>
    </row>
    <row r="129" spans="1:5">
      <c r="A129" s="462"/>
      <c r="B129" s="824"/>
      <c r="C129" s="477"/>
      <c r="D129" s="477"/>
      <c r="E129" s="487"/>
    </row>
    <row r="130" spans="1:5">
      <c r="A130" s="462" t="s">
        <v>184</v>
      </c>
      <c r="B130" s="824"/>
      <c r="C130" s="883">
        <v>0</v>
      </c>
      <c r="D130" s="883">
        <v>0</v>
      </c>
      <c r="E130" s="797">
        <f>D130+C130</f>
        <v>0</v>
      </c>
    </row>
    <row r="131" spans="1:5">
      <c r="A131" s="432"/>
      <c r="B131" s="819"/>
      <c r="C131" s="477"/>
      <c r="D131" s="477"/>
      <c r="E131" s="487"/>
    </row>
    <row r="132" spans="1:5">
      <c r="A132" s="435" t="s">
        <v>484</v>
      </c>
      <c r="B132" s="819"/>
      <c r="C132" s="477"/>
      <c r="D132" s="477"/>
      <c r="E132" s="487"/>
    </row>
    <row r="133" spans="1:5">
      <c r="A133" s="462" t="s">
        <v>177</v>
      </c>
      <c r="B133" s="820" t="s">
        <v>721</v>
      </c>
      <c r="C133" s="434">
        <f>'P9 Capital Structure'!E19</f>
        <v>2708505516</v>
      </c>
      <c r="D133" s="477">
        <v>596223648</v>
      </c>
      <c r="E133" s="487">
        <f>D133+C133</f>
        <v>3304729164</v>
      </c>
    </row>
    <row r="134" spans="1:5">
      <c r="A134" s="462" t="s">
        <v>847</v>
      </c>
      <c r="B134" s="824"/>
      <c r="C134" s="477">
        <v>0</v>
      </c>
      <c r="D134" s="477">
        <v>0</v>
      </c>
      <c r="E134" s="487">
        <f>D134+C134</f>
        <v>0</v>
      </c>
    </row>
    <row r="135" spans="1:5" ht="13.8" thickBot="1">
      <c r="A135" s="465" t="s">
        <v>848</v>
      </c>
      <c r="B135" s="831"/>
      <c r="C135" s="621">
        <v>-581684069</v>
      </c>
      <c r="D135" s="621">
        <v>0</v>
      </c>
      <c r="E135" s="787">
        <f>D135+C135</f>
        <v>-581684069</v>
      </c>
    </row>
    <row r="136" spans="1:5">
      <c r="A136" s="462" t="s">
        <v>82</v>
      </c>
      <c r="B136" s="824"/>
      <c r="C136" s="434">
        <f>C133+C134+C135</f>
        <v>2126821447</v>
      </c>
      <c r="D136" s="434">
        <f>D133+D134+D135</f>
        <v>596223648</v>
      </c>
      <c r="E136" s="487">
        <f>D136+C136</f>
        <v>2723045095</v>
      </c>
    </row>
    <row r="137" spans="1:5">
      <c r="A137" s="432"/>
      <c r="B137" s="819"/>
      <c r="C137" s="595"/>
      <c r="D137" s="595"/>
      <c r="E137" s="789"/>
    </row>
    <row r="138" spans="1:5" ht="13.8" thickBot="1">
      <c r="A138" s="432"/>
      <c r="B138" s="832" t="s">
        <v>353</v>
      </c>
      <c r="C138" s="884" t="s">
        <v>66</v>
      </c>
      <c r="D138" s="884" t="s">
        <v>66</v>
      </c>
      <c r="E138" s="798"/>
    </row>
    <row r="139" spans="1:5">
      <c r="A139" s="917" t="s">
        <v>803</v>
      </c>
      <c r="B139" s="918" t="s">
        <v>807</v>
      </c>
      <c r="C139" s="477">
        <v>1100000000</v>
      </c>
      <c r="D139" s="477">
        <v>0</v>
      </c>
      <c r="E139" s="487">
        <f t="shared" ref="E139:E142" si="9">D139+C139</f>
        <v>1100000000</v>
      </c>
    </row>
    <row r="140" spans="1:5">
      <c r="A140" s="432" t="s">
        <v>804</v>
      </c>
      <c r="B140" s="832" t="s">
        <v>808</v>
      </c>
      <c r="C140" s="477">
        <v>0</v>
      </c>
      <c r="D140" s="477">
        <v>0</v>
      </c>
      <c r="E140" s="487">
        <f t="shared" si="9"/>
        <v>0</v>
      </c>
    </row>
    <row r="141" spans="1:5">
      <c r="A141" s="432" t="s">
        <v>805</v>
      </c>
      <c r="B141" s="832" t="s">
        <v>809</v>
      </c>
      <c r="C141" s="477">
        <v>0</v>
      </c>
      <c r="D141" s="477">
        <v>25000000</v>
      </c>
      <c r="E141" s="487">
        <f t="shared" si="9"/>
        <v>25000000</v>
      </c>
    </row>
    <row r="142" spans="1:5" ht="13.8" thickBot="1">
      <c r="A142" s="432" t="s">
        <v>806</v>
      </c>
      <c r="B142" s="832" t="s">
        <v>810</v>
      </c>
      <c r="C142" s="477">
        <v>550000000</v>
      </c>
      <c r="D142" s="477">
        <v>526720000</v>
      </c>
      <c r="E142" s="487">
        <f t="shared" si="9"/>
        <v>1076720000</v>
      </c>
    </row>
    <row r="143" spans="1:5">
      <c r="A143" s="919" t="s">
        <v>179</v>
      </c>
      <c r="B143" s="914"/>
      <c r="C143" s="911">
        <f>SUM(C139:C142)</f>
        <v>1650000000</v>
      </c>
      <c r="D143" s="911">
        <f>SUM(D139:D142)</f>
        <v>551720000</v>
      </c>
      <c r="E143" s="912">
        <f>D143+C143</f>
        <v>2201720000</v>
      </c>
    </row>
    <row r="144" spans="1:5">
      <c r="A144" s="430" t="s">
        <v>180</v>
      </c>
      <c r="B144" s="824"/>
      <c r="C144" s="477">
        <v>0</v>
      </c>
      <c r="D144" s="434">
        <v>0</v>
      </c>
      <c r="E144" s="487">
        <f>D144+C144</f>
        <v>0</v>
      </c>
    </row>
    <row r="145" spans="1:8" ht="13.8" thickBot="1">
      <c r="A145" s="450" t="s">
        <v>87</v>
      </c>
      <c r="B145" s="831"/>
      <c r="C145" s="470">
        <f>C136</f>
        <v>2126821447</v>
      </c>
      <c r="D145" s="470">
        <f>D136</f>
        <v>596223648</v>
      </c>
      <c r="E145" s="787">
        <f>D145+C145</f>
        <v>2723045095</v>
      </c>
    </row>
    <row r="146" spans="1:8">
      <c r="A146" s="432" t="s">
        <v>148</v>
      </c>
      <c r="B146" s="824"/>
      <c r="C146" s="475">
        <f>C145+C144+C143</f>
        <v>3776821447</v>
      </c>
      <c r="D146" s="475">
        <f>D145+D144+D143</f>
        <v>1147943648</v>
      </c>
      <c r="E146" s="487">
        <f>D146+C146</f>
        <v>4924765095</v>
      </c>
    </row>
    <row r="147" spans="1:8">
      <c r="B147" s="824"/>
      <c r="E147" s="489"/>
    </row>
    <row r="148" spans="1:8">
      <c r="B148" s="824"/>
      <c r="E148" s="489"/>
    </row>
    <row r="149" spans="1:8">
      <c r="A149" s="427" t="s">
        <v>89</v>
      </c>
      <c r="B149" s="435"/>
      <c r="C149" s="426"/>
      <c r="D149" s="426"/>
      <c r="E149" s="792"/>
    </row>
    <row r="150" spans="1:8">
      <c r="A150" s="432"/>
      <c r="B150" s="435"/>
      <c r="C150" s="432"/>
      <c r="D150" s="432"/>
      <c r="E150" s="799"/>
    </row>
    <row r="151" spans="1:8">
      <c r="A151" s="456" t="s">
        <v>126</v>
      </c>
      <c r="B151" s="435"/>
      <c r="C151" s="625">
        <v>0</v>
      </c>
      <c r="D151" s="625">
        <v>0</v>
      </c>
      <c r="E151" s="800">
        <f>D151+C151</f>
        <v>0</v>
      </c>
      <c r="H151" s="456" t="s">
        <v>950</v>
      </c>
    </row>
    <row r="152" spans="1:8" ht="13.8" thickBot="1">
      <c r="A152" s="481" t="s">
        <v>344</v>
      </c>
      <c r="B152" s="832"/>
      <c r="C152" s="624">
        <v>0</v>
      </c>
      <c r="D152" s="624">
        <v>0</v>
      </c>
      <c r="E152" s="801">
        <f>D152+C152</f>
        <v>0</v>
      </c>
      <c r="H152" s="456" t="s">
        <v>949</v>
      </c>
    </row>
    <row r="153" spans="1:8">
      <c r="A153" s="456" t="s">
        <v>91</v>
      </c>
      <c r="B153" s="435"/>
      <c r="E153" s="489"/>
    </row>
    <row r="154" spans="1:8">
      <c r="A154" s="456" t="s">
        <v>7</v>
      </c>
      <c r="B154" s="435"/>
      <c r="E154" s="489"/>
    </row>
    <row r="155" spans="1:8" ht="26.4">
      <c r="A155" s="471" t="s">
        <v>366</v>
      </c>
      <c r="B155" s="820" t="s">
        <v>722</v>
      </c>
      <c r="C155" s="488">
        <f>ROUND('P8 Rev Cred Support'!E22,0)</f>
        <v>175445</v>
      </c>
      <c r="D155" s="488">
        <f>ROUND('P8 Rev Cred Support'!G22,0)</f>
        <v>14039</v>
      </c>
      <c r="E155" s="488">
        <f>D155+C155</f>
        <v>189484</v>
      </c>
    </row>
    <row r="156" spans="1:8">
      <c r="B156" s="435"/>
      <c r="C156" s="482"/>
      <c r="D156" s="428"/>
      <c r="E156" s="792"/>
    </row>
    <row r="157" spans="1:8" ht="26.4">
      <c r="A157" s="471" t="s">
        <v>379</v>
      </c>
      <c r="B157" s="820" t="s">
        <v>722</v>
      </c>
      <c r="C157" s="488">
        <f>'P8 Rev Cred Support'!E42</f>
        <v>663115</v>
      </c>
      <c r="D157" s="488">
        <f>'P8 Rev Cred Support'!G42</f>
        <v>29155</v>
      </c>
      <c r="E157" s="488">
        <f>D157+C157</f>
        <v>692270</v>
      </c>
    </row>
    <row r="158" spans="1:8" ht="13.8" thickBot="1">
      <c r="A158" s="425"/>
      <c r="B158" s="435"/>
      <c r="C158" s="435"/>
      <c r="D158" s="435"/>
      <c r="E158" s="511"/>
    </row>
    <row r="159" spans="1:8" ht="13.8" thickBot="1">
      <c r="A159" s="483" t="s">
        <v>500</v>
      </c>
      <c r="B159" s="833"/>
      <c r="C159" s="601">
        <f>0.1088+0.005</f>
        <v>0.1138</v>
      </c>
      <c r="D159" s="484">
        <f>C159</f>
        <v>0.1138</v>
      </c>
      <c r="E159" s="802">
        <f>D159</f>
        <v>0.1138</v>
      </c>
    </row>
    <row r="160" spans="1:8">
      <c r="B160" s="824"/>
      <c r="E160" s="489"/>
    </row>
    <row r="161" spans="1:5">
      <c r="A161" s="456" t="s">
        <v>325</v>
      </c>
      <c r="B161" s="824" t="s">
        <v>752</v>
      </c>
      <c r="C161" s="464">
        <f>DEO!J30</f>
        <v>129395600</v>
      </c>
      <c r="D161" s="464">
        <f>DEK!J30</f>
        <v>5204978</v>
      </c>
      <c r="E161" s="486">
        <f>D161+C161</f>
        <v>134600578</v>
      </c>
    </row>
    <row r="162" spans="1:5">
      <c r="B162" s="824"/>
      <c r="C162" s="464"/>
      <c r="D162" s="464"/>
      <c r="E162" s="486"/>
    </row>
    <row r="163" spans="1:5">
      <c r="A163" s="430"/>
      <c r="B163" s="824"/>
      <c r="E163" s="486"/>
    </row>
    <row r="164" spans="1:5">
      <c r="A164" s="430"/>
      <c r="B164" s="824"/>
      <c r="E164" s="474"/>
    </row>
    <row r="165" spans="1:5">
      <c r="A165" s="430" t="s">
        <v>580</v>
      </c>
      <c r="B165" s="824"/>
      <c r="C165" s="1097">
        <v>5.5E-2</v>
      </c>
    </row>
    <row r="166" spans="1:5">
      <c r="A166" s="430"/>
      <c r="B166" s="824"/>
      <c r="E166" s="474"/>
    </row>
    <row r="167" spans="1:5">
      <c r="A167" s="456" t="s">
        <v>680</v>
      </c>
      <c r="B167" s="820" t="s">
        <v>859</v>
      </c>
      <c r="E167" s="931">
        <f>-ROUND('P14 Sch 1A Rev Cr'!F28,0)</f>
        <v>110618</v>
      </c>
    </row>
    <row r="168" spans="1:5">
      <c r="A168" s="456" t="s">
        <v>723</v>
      </c>
      <c r="E168" s="474"/>
    </row>
    <row r="169" spans="1:5">
      <c r="E169" s="474"/>
    </row>
    <row r="170" spans="1:5">
      <c r="E170" s="474"/>
    </row>
    <row r="171" spans="1:5">
      <c r="E171" s="474"/>
    </row>
    <row r="172" spans="1:5">
      <c r="E172" s="474"/>
    </row>
    <row r="173" spans="1:5">
      <c r="E173" s="474"/>
    </row>
    <row r="174" spans="1:5">
      <c r="E174" s="474"/>
    </row>
    <row r="175" spans="1:5">
      <c r="E175" s="474"/>
    </row>
    <row r="176" spans="1:5">
      <c r="E176" s="474"/>
    </row>
    <row r="177" spans="5:5">
      <c r="E177" s="474"/>
    </row>
    <row r="178" spans="5:5">
      <c r="E178" s="474"/>
    </row>
    <row r="179" spans="5:5">
      <c r="E179" s="474"/>
    </row>
    <row r="180" spans="5:5">
      <c r="E180" s="474"/>
    </row>
    <row r="181" spans="5:5">
      <c r="E181" s="474"/>
    </row>
    <row r="182" spans="5:5">
      <c r="E182" s="474"/>
    </row>
    <row r="183" spans="5:5">
      <c r="E183" s="474"/>
    </row>
    <row r="184" spans="5:5">
      <c r="E184" s="474"/>
    </row>
    <row r="185" spans="5:5">
      <c r="E185" s="474"/>
    </row>
    <row r="186" spans="5:5">
      <c r="E186" s="474"/>
    </row>
    <row r="187" spans="5:5">
      <c r="E187" s="474"/>
    </row>
    <row r="188" spans="5:5">
      <c r="E188" s="474"/>
    </row>
    <row r="189" spans="5:5">
      <c r="E189" s="474"/>
    </row>
    <row r="190" spans="5:5">
      <c r="E190" s="474"/>
    </row>
    <row r="191" spans="5:5">
      <c r="E191" s="474"/>
    </row>
    <row r="192" spans="5:5">
      <c r="E192" s="474"/>
    </row>
    <row r="193" spans="5:5">
      <c r="E193" s="474"/>
    </row>
    <row r="194" spans="5:5">
      <c r="E194" s="474"/>
    </row>
    <row r="195" spans="5:5">
      <c r="E195" s="474"/>
    </row>
    <row r="196" spans="5:5">
      <c r="E196" s="474"/>
    </row>
    <row r="197" spans="5:5">
      <c r="E197" s="474"/>
    </row>
    <row r="198" spans="5:5">
      <c r="E198" s="474"/>
    </row>
    <row r="199" spans="5:5">
      <c r="E199" s="474"/>
    </row>
    <row r="200" spans="5:5">
      <c r="E200" s="474"/>
    </row>
    <row r="201" spans="5:5">
      <c r="E201" s="474"/>
    </row>
    <row r="202" spans="5:5">
      <c r="E202" s="474"/>
    </row>
    <row r="203" spans="5:5">
      <c r="E203" s="474"/>
    </row>
    <row r="204" spans="5:5">
      <c r="E204" s="474"/>
    </row>
    <row r="205" spans="5:5">
      <c r="E205" s="474"/>
    </row>
    <row r="206" spans="5:5">
      <c r="E206" s="474"/>
    </row>
    <row r="207" spans="5:5">
      <c r="E207" s="474"/>
    </row>
    <row r="208" spans="5:5">
      <c r="E208" s="474"/>
    </row>
    <row r="209" spans="5:5">
      <c r="E209" s="474"/>
    </row>
    <row r="210" spans="5:5">
      <c r="E210" s="474"/>
    </row>
    <row r="211" spans="5:5">
      <c r="E211" s="474"/>
    </row>
    <row r="212" spans="5:5">
      <c r="E212" s="474"/>
    </row>
    <row r="213" spans="5:5">
      <c r="E213" s="474"/>
    </row>
    <row r="214" spans="5:5">
      <c r="E214" s="474"/>
    </row>
    <row r="215" spans="5:5">
      <c r="E215" s="474"/>
    </row>
    <row r="216" spans="5:5">
      <c r="E216" s="474"/>
    </row>
    <row r="217" spans="5:5">
      <c r="E217" s="474"/>
    </row>
    <row r="218" spans="5:5">
      <c r="E218" s="474"/>
    </row>
    <row r="219" spans="5:5">
      <c r="E219" s="474"/>
    </row>
    <row r="220" spans="5:5">
      <c r="E220" s="474"/>
    </row>
    <row r="221" spans="5:5">
      <c r="E221" s="474"/>
    </row>
    <row r="222" spans="5:5">
      <c r="E222" s="474"/>
    </row>
    <row r="223" spans="5:5">
      <c r="E223" s="474"/>
    </row>
    <row r="224" spans="5:5">
      <c r="E224" s="474"/>
    </row>
    <row r="225" spans="5:5">
      <c r="E225" s="474"/>
    </row>
    <row r="226" spans="5:5">
      <c r="E226" s="474"/>
    </row>
    <row r="227" spans="5:5">
      <c r="E227" s="474"/>
    </row>
    <row r="228" spans="5:5">
      <c r="E228" s="474"/>
    </row>
    <row r="229" spans="5:5">
      <c r="E229" s="474"/>
    </row>
    <row r="230" spans="5:5">
      <c r="E230" s="474"/>
    </row>
    <row r="231" spans="5:5">
      <c r="E231" s="474"/>
    </row>
    <row r="232" spans="5:5">
      <c r="E232" s="474"/>
    </row>
    <row r="233" spans="5:5">
      <c r="E233" s="474"/>
    </row>
    <row r="234" spans="5:5">
      <c r="E234" s="474"/>
    </row>
    <row r="235" spans="5:5">
      <c r="E235" s="474"/>
    </row>
    <row r="236" spans="5:5">
      <c r="E236" s="474"/>
    </row>
    <row r="237" spans="5:5">
      <c r="E237" s="474"/>
    </row>
    <row r="238" spans="5:5">
      <c r="E238" s="474"/>
    </row>
    <row r="239" spans="5:5">
      <c r="E239" s="474"/>
    </row>
  </sheetData>
  <pageMargins left="0.5" right="0.2" top="0" bottom="0.61" header="0.3" footer="0.16"/>
  <pageSetup paperSize="17" scale="65" fitToHeight="25" orientation="landscape"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pageSetUpPr fitToPage="1"/>
  </sheetPr>
  <dimension ref="A1:K86"/>
  <sheetViews>
    <sheetView zoomScale="80" zoomScaleNormal="80" workbookViewId="0"/>
  </sheetViews>
  <sheetFormatPr defaultColWidth="8.81640625" defaultRowHeight="15"/>
  <cols>
    <col min="1" max="1" width="6.08984375" style="596" customWidth="1"/>
    <col min="2" max="2" width="1.1796875" style="596" customWidth="1"/>
    <col min="3" max="3" width="41.54296875" style="11" customWidth="1"/>
    <col min="4" max="4" width="5.81640625" style="11" customWidth="1"/>
    <col min="5" max="5" width="15.54296875" style="11" bestFit="1" customWidth="1"/>
    <col min="6" max="6" width="19.1796875" style="11" bestFit="1" customWidth="1"/>
    <col min="7" max="7" width="3" style="11" customWidth="1"/>
    <col min="8" max="16384" width="8.81640625" style="11"/>
  </cols>
  <sheetData>
    <row r="1" spans="1:11" ht="15.6">
      <c r="A1" s="518" t="str">
        <f>'P1 ADIT'!A1</f>
        <v>Duke Energy Ohio and Duke Energy Kentucky</v>
      </c>
      <c r="B1" s="589"/>
      <c r="C1" s="589"/>
      <c r="D1" s="515"/>
      <c r="E1" s="515"/>
      <c r="F1" s="515"/>
      <c r="H1" s="596"/>
    </row>
    <row r="2" spans="1:11" ht="17.399999999999999">
      <c r="C2" s="513"/>
      <c r="D2" s="515"/>
      <c r="E2" s="515"/>
      <c r="F2" s="515"/>
      <c r="H2" s="596"/>
    </row>
    <row r="3" spans="1:11" ht="15.6">
      <c r="C3" s="518"/>
      <c r="D3" s="515"/>
      <c r="E3" s="515"/>
      <c r="F3" s="516" t="s">
        <v>406</v>
      </c>
      <c r="H3" s="596"/>
    </row>
    <row r="4" spans="1:11" ht="15.6">
      <c r="C4" s="518"/>
      <c r="D4" s="515"/>
      <c r="E4" s="515"/>
      <c r="F4" s="514" t="str">
        <f>"Page 5 of "&amp;Workpaper</f>
        <v>Page 5 of 17</v>
      </c>
      <c r="H4" s="596"/>
    </row>
    <row r="5" spans="1:11" ht="15.6">
      <c r="C5" s="518"/>
      <c r="D5" s="515"/>
      <c r="E5" s="515"/>
      <c r="F5" s="261" t="str">
        <f>"For the 12 months ended: "&amp;TEXT(INPUT!$B$1,"mm/dd/yyyy")</f>
        <v>For the 12 months ended: 12/31/2018</v>
      </c>
    </row>
    <row r="6" spans="1:11" s="596" customFormat="1" ht="15.6">
      <c r="C6" s="518"/>
      <c r="D6" s="515"/>
      <c r="E6" s="515"/>
      <c r="F6" s="261"/>
    </row>
    <row r="7" spans="1:11" ht="15.6">
      <c r="A7" s="518" t="s">
        <v>214</v>
      </c>
      <c r="B7" s="589"/>
      <c r="C7" s="589"/>
      <c r="D7" s="515"/>
      <c r="E7" s="515"/>
      <c r="F7" s="515"/>
    </row>
    <row r="8" spans="1:11" ht="15.6">
      <c r="C8" s="518"/>
      <c r="D8" s="515"/>
      <c r="E8" s="515"/>
      <c r="F8" s="515"/>
    </row>
    <row r="9" spans="1:11" ht="15.6">
      <c r="C9" s="519"/>
      <c r="D9" s="520"/>
      <c r="E9" s="520"/>
      <c r="F9" s="520"/>
    </row>
    <row r="10" spans="1:11" ht="19.2">
      <c r="A10" s="745" t="s">
        <v>8</v>
      </c>
      <c r="C10" s="106"/>
      <c r="D10" s="193"/>
      <c r="E10" s="109"/>
      <c r="F10" s="109"/>
    </row>
    <row r="11" spans="1:11" ht="19.2">
      <c r="A11" s="638" t="s">
        <v>10</v>
      </c>
      <c r="C11" s="593" t="s">
        <v>429</v>
      </c>
      <c r="D11" s="194"/>
      <c r="E11" s="110" t="s">
        <v>185</v>
      </c>
      <c r="F11" s="110" t="s">
        <v>186</v>
      </c>
    </row>
    <row r="12" spans="1:11" ht="19.2">
      <c r="C12" s="1100"/>
      <c r="D12" s="194"/>
      <c r="E12" s="110"/>
      <c r="F12" s="110"/>
      <c r="I12" s="596"/>
      <c r="J12" s="596"/>
      <c r="K12" s="596"/>
    </row>
    <row r="13" spans="1:11" ht="20.100000000000001" customHeight="1">
      <c r="A13" s="700">
        <v>1</v>
      </c>
      <c r="C13" s="979" t="s">
        <v>213</v>
      </c>
      <c r="D13" s="195"/>
      <c r="E13" s="1061">
        <v>52110271</v>
      </c>
      <c r="F13" s="1061">
        <v>20261581</v>
      </c>
      <c r="I13" s="596"/>
      <c r="J13" s="596"/>
      <c r="K13" s="596"/>
    </row>
    <row r="14" spans="1:11" ht="20.100000000000001" customHeight="1">
      <c r="A14" s="700"/>
      <c r="C14" s="114"/>
      <c r="D14" s="196"/>
      <c r="E14" s="196"/>
      <c r="F14" s="196"/>
      <c r="I14" s="596"/>
      <c r="J14" s="596"/>
      <c r="K14" s="596"/>
    </row>
    <row r="15" spans="1:11" ht="20.100000000000001" customHeight="1">
      <c r="A15" s="700">
        <v>2</v>
      </c>
      <c r="C15" s="988" t="s">
        <v>865</v>
      </c>
      <c r="D15" s="113"/>
      <c r="E15" s="609">
        <f>2+2051</f>
        <v>2053</v>
      </c>
      <c r="F15" s="609">
        <v>0</v>
      </c>
      <c r="I15" s="596"/>
      <c r="J15" s="596"/>
      <c r="K15" s="596"/>
    </row>
    <row r="16" spans="1:11" s="596" customFormat="1" ht="20.100000000000001" customHeight="1">
      <c r="A16" s="1178">
        <v>3</v>
      </c>
      <c r="C16" s="1175" t="s">
        <v>931</v>
      </c>
      <c r="D16" s="1176"/>
      <c r="E16" s="1177">
        <v>426023</v>
      </c>
      <c r="F16" s="1177"/>
    </row>
    <row r="17" spans="1:6" s="596" customFormat="1" ht="20.100000000000001" customHeight="1">
      <c r="A17" s="1178">
        <v>4</v>
      </c>
      <c r="C17" s="1179" t="s">
        <v>934</v>
      </c>
      <c r="D17" s="1180"/>
      <c r="E17" s="1181">
        <v>363</v>
      </c>
      <c r="F17" s="1177"/>
    </row>
    <row r="18" spans="1:6" s="596" customFormat="1" ht="20.100000000000001" customHeight="1">
      <c r="A18" s="1178">
        <v>5</v>
      </c>
      <c r="C18" s="1179" t="s">
        <v>936</v>
      </c>
      <c r="D18" s="1180"/>
      <c r="E18" s="1181">
        <v>676123</v>
      </c>
      <c r="F18" s="1177"/>
    </row>
    <row r="19" spans="1:6" s="596" customFormat="1" ht="20.100000000000001" customHeight="1">
      <c r="A19" s="700">
        <v>6</v>
      </c>
      <c r="C19" s="988" t="s">
        <v>866</v>
      </c>
      <c r="D19" s="113"/>
      <c r="E19" s="113">
        <v>0</v>
      </c>
      <c r="F19" s="113">
        <v>136886</v>
      </c>
    </row>
    <row r="20" spans="1:6" s="596" customFormat="1" ht="20.100000000000001" customHeight="1">
      <c r="A20" s="700"/>
      <c r="C20" s="114"/>
      <c r="D20" s="196"/>
      <c r="E20" s="196"/>
      <c r="F20" s="196"/>
    </row>
    <row r="21" spans="1:6" s="596" customFormat="1" ht="20.100000000000001" customHeight="1">
      <c r="A21" s="700">
        <v>7</v>
      </c>
      <c r="C21" s="114" t="s">
        <v>410</v>
      </c>
      <c r="D21" s="197"/>
      <c r="E21" s="197">
        <f>E13-SUM(E15:E19)</f>
        <v>51005709</v>
      </c>
      <c r="F21" s="197">
        <f>F13-SUM(F15:F19)</f>
        <v>20124695</v>
      </c>
    </row>
    <row r="22" spans="1:6" ht="20.100000000000001" customHeight="1">
      <c r="C22" s="114"/>
      <c r="D22" s="197"/>
      <c r="E22" s="197"/>
      <c r="F22" s="197"/>
    </row>
    <row r="23" spans="1:6" ht="20.100000000000001" customHeight="1">
      <c r="C23" s="114"/>
      <c r="D23" s="197"/>
      <c r="E23" s="197"/>
      <c r="F23" s="197"/>
    </row>
    <row r="24" spans="1:6" ht="14.25" customHeight="1">
      <c r="C24" s="112"/>
      <c r="D24" s="196"/>
      <c r="E24" s="196"/>
      <c r="F24" s="196"/>
    </row>
    <row r="25" spans="1:6" ht="10.5" customHeight="1">
      <c r="C25" s="987"/>
      <c r="D25" s="196"/>
      <c r="E25" s="609"/>
      <c r="F25" s="609"/>
    </row>
    <row r="26" spans="1:6">
      <c r="C26" s="112"/>
      <c r="D26" s="195"/>
      <c r="E26" s="195"/>
      <c r="F26" s="195"/>
    </row>
    <row r="27" spans="1:6">
      <c r="D27" s="196"/>
      <c r="E27" s="196"/>
      <c r="F27" s="196"/>
    </row>
    <row r="28" spans="1:6" ht="21" customHeight="1">
      <c r="C28" s="112"/>
      <c r="D28" s="117"/>
      <c r="E28" s="509"/>
      <c r="F28" s="509"/>
    </row>
    <row r="29" spans="1:6">
      <c r="C29" s="112"/>
      <c r="D29" s="196"/>
      <c r="E29" s="196"/>
      <c r="F29" s="196"/>
    </row>
    <row r="30" spans="1:6" ht="54" customHeight="1">
      <c r="C30" s="112"/>
      <c r="D30" s="197"/>
      <c r="E30" s="197"/>
      <c r="F30" s="197"/>
    </row>
    <row r="31" spans="1:6" ht="16.8">
      <c r="C31" s="112"/>
      <c r="D31" s="197"/>
      <c r="E31" s="197"/>
      <c r="F31" s="197"/>
    </row>
    <row r="32" spans="1:6" ht="27" customHeight="1">
      <c r="C32" s="112"/>
      <c r="D32" s="197"/>
      <c r="E32" s="197"/>
      <c r="F32" s="197"/>
    </row>
    <row r="33" spans="3:6" ht="14.25" customHeight="1">
      <c r="C33" s="112"/>
      <c r="D33" s="196"/>
      <c r="E33" s="196"/>
      <c r="F33" s="196"/>
    </row>
    <row r="34" spans="3:6" ht="10.5" customHeight="1">
      <c r="C34" s="112"/>
      <c r="D34" s="196"/>
      <c r="E34" s="196"/>
      <c r="F34" s="196"/>
    </row>
    <row r="35" spans="3:6">
      <c r="C35" s="112"/>
      <c r="D35" s="195"/>
      <c r="E35" s="885"/>
      <c r="F35" s="885"/>
    </row>
    <row r="36" spans="3:6">
      <c r="C36" s="112"/>
      <c r="D36" s="196"/>
      <c r="E36" s="196"/>
      <c r="F36" s="196"/>
    </row>
    <row r="37" spans="3:6" ht="33.6" customHeight="1">
      <c r="C37" s="112"/>
      <c r="D37" s="117"/>
      <c r="E37" s="509"/>
      <c r="F37" s="509"/>
    </row>
    <row r="38" spans="3:6">
      <c r="C38" s="112"/>
      <c r="D38" s="196"/>
      <c r="E38" s="106"/>
      <c r="F38" s="106"/>
    </row>
    <row r="39" spans="3:6" ht="16.8">
      <c r="C39" s="112"/>
      <c r="D39" s="197"/>
      <c r="E39" s="121"/>
      <c r="F39" s="121"/>
    </row>
    <row r="40" spans="3:6">
      <c r="C40" s="112"/>
      <c r="D40" s="196"/>
      <c r="E40" s="106"/>
      <c r="F40" s="106"/>
    </row>
    <row r="41" spans="3:6" ht="27" customHeight="1">
      <c r="C41" s="112"/>
      <c r="D41" s="196"/>
      <c r="E41" s="106"/>
      <c r="F41" s="106"/>
    </row>
    <row r="42" spans="3:6">
      <c r="C42" s="1192"/>
      <c r="D42" s="1192"/>
      <c r="E42" s="1192"/>
      <c r="F42" s="1192"/>
    </row>
    <row r="44" spans="3:6" ht="39.75" customHeight="1"/>
    <row r="86" spans="6:6">
      <c r="F86" s="112"/>
    </row>
  </sheetData>
  <mergeCells count="1">
    <mergeCell ref="C42:F42"/>
  </mergeCells>
  <phoneticPr fontId="0" type="noConversion"/>
  <pageMargins left="1" right="0.5" top="1" bottom="0.5" header="0.25" footer="0.25"/>
  <pageSetup scale="83"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theme="1"/>
    <pageSetUpPr fitToPage="1"/>
  </sheetPr>
  <dimension ref="A1:L44"/>
  <sheetViews>
    <sheetView zoomScaleNormal="100" workbookViewId="0"/>
  </sheetViews>
  <sheetFormatPr defaultColWidth="8.81640625" defaultRowHeight="15"/>
  <cols>
    <col min="1" max="1" width="7.08984375" style="596" customWidth="1"/>
    <col min="2" max="2" width="1" style="596" customWidth="1"/>
    <col min="3" max="3" width="21.54296875" style="11" bestFit="1" customWidth="1"/>
    <col min="4" max="4" width="15.453125" style="11" customWidth="1"/>
    <col min="5" max="5" width="17.81640625" style="11" customWidth="1"/>
    <col min="6" max="6" width="17.1796875" style="11" customWidth="1"/>
    <col min="7" max="16384" width="8.81640625" style="11"/>
  </cols>
  <sheetData>
    <row r="1" spans="1:12" ht="15.6">
      <c r="A1" s="863" t="str">
        <f>'P1 ADIT'!A1</f>
        <v>Duke Energy Ohio and Duke Energy Kentucky</v>
      </c>
      <c r="B1" s="589"/>
      <c r="C1" s="589"/>
      <c r="D1" s="246"/>
      <c r="E1" s="246"/>
      <c r="F1" s="246"/>
      <c r="I1" s="684"/>
      <c r="J1" s="550"/>
      <c r="K1" s="550"/>
      <c r="L1" s="550"/>
    </row>
    <row r="2" spans="1:12" ht="17.399999999999999">
      <c r="C2" s="862"/>
      <c r="D2" s="246"/>
      <c r="E2" s="246"/>
      <c r="F2" s="550"/>
      <c r="I2" s="770"/>
    </row>
    <row r="3" spans="1:12" ht="17.399999999999999">
      <c r="C3" s="862"/>
      <c r="D3" s="246"/>
      <c r="F3" s="641" t="s">
        <v>406</v>
      </c>
    </row>
    <row r="4" spans="1:12">
      <c r="C4" s="550"/>
      <c r="D4" s="550"/>
      <c r="F4" s="866" t="str">
        <f>"Page 6 of "&amp;Workpaper</f>
        <v>Page 6 of 17</v>
      </c>
    </row>
    <row r="5" spans="1:12">
      <c r="C5" s="550"/>
      <c r="D5" s="550"/>
      <c r="F5" s="261" t="str">
        <f>"For the 12 months ended: "&amp;TEXT(INPUT!$B$1,"mm/dd/yyyy")</f>
        <v>For the 12 months ended: 12/31/2018</v>
      </c>
    </row>
    <row r="6" spans="1:12">
      <c r="C6" s="550"/>
      <c r="D6" s="550"/>
      <c r="E6" s="550"/>
      <c r="F6" s="550"/>
    </row>
    <row r="7" spans="1:12" ht="15.6">
      <c r="A7" s="863" t="s">
        <v>324</v>
      </c>
      <c r="B7" s="589"/>
      <c r="C7" s="589"/>
      <c r="D7" s="246"/>
      <c r="E7" s="246"/>
      <c r="F7" s="246"/>
    </row>
    <row r="8" spans="1:12">
      <c r="C8" s="550"/>
      <c r="D8" s="550"/>
      <c r="E8" s="550"/>
      <c r="F8" s="550"/>
    </row>
    <row r="9" spans="1:12">
      <c r="C9" s="550"/>
      <c r="D9" s="867"/>
      <c r="E9" s="867"/>
      <c r="F9" s="550"/>
    </row>
    <row r="10" spans="1:12" ht="15.6">
      <c r="A10" s="745" t="s">
        <v>8</v>
      </c>
      <c r="B10" s="106"/>
      <c r="C10" s="106"/>
      <c r="D10" s="867"/>
      <c r="E10" s="867"/>
      <c r="F10" s="550"/>
    </row>
    <row r="11" spans="1:12" ht="19.2">
      <c r="A11" s="638" t="s">
        <v>10</v>
      </c>
      <c r="B11" s="106"/>
      <c r="C11" s="1115" t="s">
        <v>429</v>
      </c>
      <c r="D11" s="110" t="s">
        <v>185</v>
      </c>
      <c r="E11" s="110" t="s">
        <v>186</v>
      </c>
      <c r="F11" s="868"/>
    </row>
    <row r="12" spans="1:12" ht="20.25" customHeight="1">
      <c r="A12" s="700">
        <v>1</v>
      </c>
      <c r="C12" s="550" t="s">
        <v>325</v>
      </c>
      <c r="D12" s="440">
        <f>DEO!J15</f>
        <v>132035557</v>
      </c>
      <c r="E12" s="440">
        <f>DEK!J15</f>
        <v>5235941</v>
      </c>
      <c r="F12" s="869"/>
    </row>
    <row r="13" spans="1:12" ht="20.25" customHeight="1">
      <c r="A13" s="700">
        <v>2</v>
      </c>
      <c r="C13" s="550" t="s">
        <v>326</v>
      </c>
      <c r="D13" s="1062">
        <v>0</v>
      </c>
      <c r="E13" s="1062">
        <v>0.05</v>
      </c>
      <c r="F13" s="870"/>
    </row>
    <row r="14" spans="1:12" ht="6" customHeight="1">
      <c r="A14" s="700"/>
      <c r="C14" s="550"/>
      <c r="D14" s="870" t="s">
        <v>7</v>
      </c>
      <c r="E14" s="870" t="s">
        <v>7</v>
      </c>
      <c r="F14" s="870"/>
    </row>
    <row r="15" spans="1:12" ht="17.25" customHeight="1">
      <c r="A15" s="700">
        <v>3</v>
      </c>
      <c r="C15" s="550" t="s">
        <v>327</v>
      </c>
      <c r="D15" s="440">
        <f>ROUND(D13*D12,0)</f>
        <v>0</v>
      </c>
      <c r="E15" s="440">
        <f>ROUND(E13*E12,0)</f>
        <v>261797</v>
      </c>
      <c r="F15" s="869"/>
    </row>
    <row r="16" spans="1:12">
      <c r="A16" s="700"/>
      <c r="C16" s="550"/>
      <c r="D16" s="550"/>
      <c r="E16" s="550"/>
      <c r="F16" s="550"/>
    </row>
    <row r="17" spans="1:6">
      <c r="A17" s="700">
        <v>4</v>
      </c>
      <c r="C17" s="550" t="s">
        <v>328</v>
      </c>
      <c r="D17" s="871">
        <f>ROUND(D15/D12,4)</f>
        <v>0</v>
      </c>
      <c r="E17" s="871">
        <f>ROUND(E15/E12,4)</f>
        <v>0.05</v>
      </c>
      <c r="F17" s="871"/>
    </row>
    <row r="18" spans="1:6">
      <c r="C18" s="550"/>
      <c r="D18" s="550"/>
      <c r="E18" s="550"/>
      <c r="F18" s="550"/>
    </row>
    <row r="44" spans="3:4">
      <c r="C44" s="75"/>
      <c r="D44" s="63"/>
    </row>
  </sheetData>
  <phoneticPr fontId="0" type="noConversion"/>
  <pageMargins left="1" right="0.75" top="1" bottom="0.5" header="1" footer="0.25"/>
  <pageSetup scale="9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1"/>
    <pageSetUpPr fitToPage="1"/>
  </sheetPr>
  <dimension ref="A1:J89"/>
  <sheetViews>
    <sheetView zoomScaleNormal="100" workbookViewId="0"/>
  </sheetViews>
  <sheetFormatPr defaultColWidth="7.08984375" defaultRowHeight="15"/>
  <cols>
    <col min="1" max="1" width="7.08984375" style="119"/>
    <col min="2" max="2" width="1.36328125" style="119" customWidth="1"/>
    <col min="3" max="3" width="44" style="119" customWidth="1"/>
    <col min="4" max="5" width="14.6328125" style="119" customWidth="1"/>
    <col min="6" max="6" width="11.6328125" style="119" customWidth="1"/>
    <col min="7" max="12" width="16.1796875" style="119" bestFit="1" customWidth="1"/>
    <col min="13" max="13" width="16.81640625" style="119" bestFit="1" customWidth="1"/>
    <col min="14" max="14" width="7.81640625" style="119" bestFit="1" customWidth="1"/>
    <col min="15" max="15" width="8.1796875" style="119" bestFit="1" customWidth="1"/>
    <col min="16" max="16" width="9.90625" style="119" bestFit="1" customWidth="1"/>
    <col min="17" max="17" width="6.36328125" style="119" customWidth="1"/>
    <col min="18" max="18" width="9.90625" style="119" bestFit="1" customWidth="1"/>
    <col min="19" max="19" width="6.36328125" style="119" customWidth="1"/>
    <col min="20" max="20" width="9.90625" style="119" bestFit="1" customWidth="1"/>
    <col min="21" max="22" width="6.36328125" style="119" customWidth="1"/>
    <col min="23" max="23" width="9.90625" style="119" bestFit="1" customWidth="1"/>
    <col min="24" max="24" width="6.36328125" style="119" customWidth="1"/>
    <col min="25" max="25" width="9.90625" style="119" bestFit="1" customWidth="1"/>
    <col min="26" max="26" width="6.36328125" style="119" customWidth="1"/>
    <col min="27" max="27" width="9.90625" style="119" bestFit="1" customWidth="1"/>
    <col min="28" max="28" width="6.36328125" style="119" customWidth="1"/>
    <col min="29" max="29" width="9.90625" style="119" bestFit="1" customWidth="1"/>
    <col min="30" max="30" width="8.1796875" style="119" bestFit="1" customWidth="1"/>
    <col min="31" max="16384" width="7.08984375" style="119"/>
  </cols>
  <sheetData>
    <row r="1" spans="1:10" ht="15.6">
      <c r="A1" s="588" t="str">
        <f>'P1 ADIT'!A1</f>
        <v>Duke Energy Ohio and Duke Energy Kentucky</v>
      </c>
      <c r="B1" s="1143"/>
      <c r="C1" s="1143"/>
      <c r="D1" s="589"/>
      <c r="E1" s="589"/>
      <c r="I1" s="394"/>
      <c r="J1" s="394"/>
    </row>
    <row r="2" spans="1:10" ht="17.399999999999999">
      <c r="C2" s="116"/>
      <c r="D2" s="105"/>
      <c r="E2" s="105"/>
    </row>
    <row r="3" spans="1:10" ht="17.399999999999999">
      <c r="C3" s="116"/>
      <c r="D3" s="105"/>
      <c r="E3" s="376" t="s">
        <v>406</v>
      </c>
    </row>
    <row r="4" spans="1:10" ht="15.6">
      <c r="C4" s="104"/>
      <c r="D4" s="105"/>
      <c r="E4" s="514" t="str">
        <f>"Page 7 of "&amp;Workpaper</f>
        <v>Page 7 of 17</v>
      </c>
    </row>
    <row r="5" spans="1:10" ht="15.6">
      <c r="C5" s="104"/>
      <c r="D5" s="105"/>
      <c r="E5" s="261" t="str">
        <f>"For the 12 months ended: "&amp;TEXT(INPUT!$B$1,"mm/dd/yyyy")</f>
        <v>For the 12 months ended: 12/31/2018</v>
      </c>
    </row>
    <row r="6" spans="1:10" ht="15.6">
      <c r="C6" s="104"/>
      <c r="D6" s="105"/>
      <c r="E6" s="105"/>
    </row>
    <row r="7" spans="1:10" ht="15.6">
      <c r="A7" s="588" t="s">
        <v>323</v>
      </c>
      <c r="B7" s="1143"/>
      <c r="C7" s="1143"/>
      <c r="D7" s="589"/>
      <c r="E7" s="589"/>
    </row>
    <row r="8" spans="1:10" ht="15.6">
      <c r="C8" s="104"/>
      <c r="D8" s="105"/>
      <c r="E8" s="105"/>
    </row>
    <row r="9" spans="1:10">
      <c r="C9" s="93"/>
      <c r="D9" s="93"/>
      <c r="E9" s="93"/>
    </row>
    <row r="10" spans="1:10" ht="15.6">
      <c r="A10" s="745" t="s">
        <v>8</v>
      </c>
      <c r="B10" s="106"/>
      <c r="C10" s="106"/>
      <c r="D10" s="109"/>
      <c r="E10" s="109"/>
    </row>
    <row r="11" spans="1:10" ht="19.2">
      <c r="A11" s="638" t="s">
        <v>10</v>
      </c>
      <c r="B11" s="106"/>
      <c r="C11" s="1115" t="s">
        <v>429</v>
      </c>
      <c r="D11" s="110" t="s">
        <v>185</v>
      </c>
      <c r="E11" s="110" t="s">
        <v>186</v>
      </c>
    </row>
    <row r="12" spans="1:10" ht="19.2">
      <c r="C12" s="106"/>
      <c r="D12" s="110"/>
      <c r="E12" s="110"/>
    </row>
    <row r="13" spans="1:10">
      <c r="A13" s="1118">
        <v>1</v>
      </c>
      <c r="C13" s="119" t="s">
        <v>508</v>
      </c>
      <c r="D13" s="1061">
        <v>0</v>
      </c>
      <c r="E13" s="1061">
        <f>5838602+10665353</f>
        <v>16503955</v>
      </c>
    </row>
    <row r="14" spans="1:10" ht="16.8">
      <c r="A14" s="1118">
        <v>2</v>
      </c>
      <c r="C14" s="111" t="s">
        <v>217</v>
      </c>
      <c r="D14" s="509">
        <v>0</v>
      </c>
      <c r="E14" s="509">
        <v>0</v>
      </c>
    </row>
    <row r="15" spans="1:10" ht="33.6" customHeight="1">
      <c r="A15" s="1118">
        <v>3</v>
      </c>
      <c r="C15" s="379" t="s">
        <v>867</v>
      </c>
      <c r="D15" s="1063">
        <f>SUM(D13:D14)</f>
        <v>0</v>
      </c>
      <c r="E15" s="1063">
        <f>SUM(E13:E14)</f>
        <v>16503955</v>
      </c>
      <c r="F15" s="118"/>
    </row>
    <row r="16" spans="1:10">
      <c r="C16" s="106"/>
      <c r="D16" s="120"/>
      <c r="E16" s="120"/>
    </row>
    <row r="54" spans="4:5">
      <c r="D54" s="506"/>
      <c r="E54" s="506"/>
    </row>
    <row r="55" spans="4:5">
      <c r="D55" s="507"/>
      <c r="E55" s="507"/>
    </row>
    <row r="56" spans="4:5">
      <c r="D56" s="506"/>
      <c r="E56" s="506"/>
    </row>
    <row r="57" spans="4:5">
      <c r="D57" s="506"/>
      <c r="E57" s="506"/>
    </row>
    <row r="58" spans="4:5">
      <c r="D58" s="506"/>
      <c r="E58" s="506"/>
    </row>
    <row r="59" spans="4:5">
      <c r="D59" s="506"/>
      <c r="E59" s="506"/>
    </row>
    <row r="60" spans="4:5">
      <c r="D60" s="506"/>
      <c r="E60" s="506"/>
    </row>
    <row r="61" spans="4:5">
      <c r="D61" s="506"/>
      <c r="E61" s="506"/>
    </row>
    <row r="62" spans="4:5">
      <c r="D62" s="506"/>
      <c r="E62" s="506"/>
    </row>
    <row r="63" spans="4:5">
      <c r="D63" s="506"/>
      <c r="E63" s="506"/>
    </row>
    <row r="64" spans="4:5">
      <c r="D64" s="506"/>
      <c r="E64" s="506"/>
    </row>
    <row r="65" spans="4:5">
      <c r="D65" s="506"/>
      <c r="E65" s="506"/>
    </row>
    <row r="66" spans="4:5">
      <c r="D66" s="506"/>
      <c r="E66" s="506"/>
    </row>
    <row r="67" spans="4:5">
      <c r="D67" s="506"/>
      <c r="E67" s="506"/>
    </row>
    <row r="68" spans="4:5">
      <c r="D68" s="506"/>
      <c r="E68" s="506"/>
    </row>
    <row r="69" spans="4:5">
      <c r="D69" s="506"/>
      <c r="E69" s="506"/>
    </row>
    <row r="70" spans="4:5">
      <c r="D70" s="506"/>
      <c r="E70" s="506"/>
    </row>
    <row r="71" spans="4:5">
      <c r="D71" s="506"/>
      <c r="E71" s="506"/>
    </row>
    <row r="72" spans="4:5">
      <c r="D72" s="506"/>
      <c r="E72" s="506"/>
    </row>
    <row r="73" spans="4:5">
      <c r="D73" s="506"/>
      <c r="E73" s="506"/>
    </row>
    <row r="74" spans="4:5">
      <c r="D74" s="506"/>
      <c r="E74" s="506"/>
    </row>
    <row r="75" spans="4:5">
      <c r="D75" s="506"/>
      <c r="E75" s="505"/>
    </row>
    <row r="76" spans="4:5">
      <c r="D76" s="506"/>
      <c r="E76" s="505"/>
    </row>
    <row r="77" spans="4:5">
      <c r="D77" s="506"/>
      <c r="E77" s="505"/>
    </row>
    <row r="78" spans="4:5">
      <c r="D78" s="506"/>
      <c r="E78" s="505"/>
    </row>
    <row r="79" spans="4:5">
      <c r="D79" s="506"/>
      <c r="E79" s="505"/>
    </row>
    <row r="80" spans="4:5">
      <c r="D80" s="506"/>
      <c r="E80" s="505"/>
    </row>
    <row r="81" spans="4:5">
      <c r="D81" s="506"/>
      <c r="E81" s="505"/>
    </row>
    <row r="82" spans="4:5">
      <c r="D82" s="506"/>
      <c r="E82" s="505"/>
    </row>
    <row r="83" spans="4:5">
      <c r="D83" s="506"/>
      <c r="E83" s="505"/>
    </row>
    <row r="84" spans="4:5">
      <c r="D84" s="506"/>
      <c r="E84" s="505"/>
    </row>
    <row r="85" spans="4:5">
      <c r="D85" s="506"/>
      <c r="E85" s="505"/>
    </row>
    <row r="86" spans="4:5">
      <c r="D86" s="505"/>
      <c r="E86" s="505"/>
    </row>
    <row r="87" spans="4:5">
      <c r="D87" s="505"/>
      <c r="E87" s="505"/>
    </row>
    <row r="88" spans="4:5">
      <c r="D88" s="505"/>
      <c r="E88" s="505"/>
    </row>
    <row r="89" spans="4:5">
      <c r="D89" s="505"/>
      <c r="E89" s="505"/>
    </row>
  </sheetData>
  <pageMargins left="1" right="1" top="1" bottom="0.5" header="0.5" footer="0.5"/>
  <pageSetup scale="85"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theme="1"/>
    <pageSetUpPr fitToPage="1"/>
  </sheetPr>
  <dimension ref="A1:L83"/>
  <sheetViews>
    <sheetView zoomScale="80" zoomScaleNormal="80" workbookViewId="0"/>
  </sheetViews>
  <sheetFormatPr defaultColWidth="7.08984375" defaultRowHeight="15"/>
  <cols>
    <col min="1" max="1" width="7.08984375" style="106"/>
    <col min="2" max="2" width="0.81640625" style="106" customWidth="1"/>
    <col min="3" max="3" width="58.1796875" style="106" customWidth="1"/>
    <col min="4" max="4" width="1.6328125" style="106" customWidth="1"/>
    <col min="5" max="5" width="14.54296875" style="196" customWidth="1"/>
    <col min="6" max="6" width="2" style="196" customWidth="1"/>
    <col min="7" max="7" width="15.08984375" style="196" customWidth="1"/>
    <col min="8" max="8" width="2" style="196" customWidth="1"/>
    <col min="9" max="9" width="7.08984375" style="106"/>
    <col min="10" max="10" width="7.08984375" style="196"/>
    <col min="11" max="11" width="11.81640625" style="106" customWidth="1"/>
    <col min="12" max="12" width="16.90625" style="106" customWidth="1"/>
    <col min="13" max="13" width="5.36328125" style="106" customWidth="1"/>
    <col min="14" max="16384" width="7.08984375" style="106"/>
  </cols>
  <sheetData>
    <row r="1" spans="1:12" s="93" customFormat="1" ht="15.6">
      <c r="A1" s="588" t="str">
        <f>'P1 ADIT'!A1</f>
        <v>Duke Energy Ohio and Duke Energy Kentucky</v>
      </c>
      <c r="B1" s="589"/>
      <c r="C1" s="589"/>
      <c r="D1" s="588"/>
      <c r="E1" s="246"/>
      <c r="F1" s="246"/>
      <c r="G1" s="246"/>
      <c r="H1" s="246"/>
      <c r="I1" s="85"/>
      <c r="J1" s="337"/>
    </row>
    <row r="2" spans="1:12" s="93" customFormat="1" ht="15.6">
      <c r="C2" s="104"/>
      <c r="D2" s="104"/>
      <c r="E2" s="246"/>
      <c r="F2" s="246"/>
      <c r="G2" s="246"/>
      <c r="H2" s="246"/>
      <c r="I2" s="85"/>
      <c r="J2" s="337"/>
      <c r="K2" s="337"/>
      <c r="L2" s="337"/>
    </row>
    <row r="3" spans="1:12" s="93" customFormat="1" ht="15.6">
      <c r="C3" s="104"/>
      <c r="D3" s="104"/>
      <c r="E3" s="246"/>
      <c r="F3" s="246"/>
      <c r="G3" s="376" t="s">
        <v>406</v>
      </c>
      <c r="H3" s="246"/>
      <c r="J3" s="337"/>
    </row>
    <row r="4" spans="1:12" s="93" customFormat="1" ht="15.6">
      <c r="C4" s="104"/>
      <c r="D4" s="104"/>
      <c r="E4" s="246"/>
      <c r="F4" s="246"/>
      <c r="G4" s="514" t="str">
        <f>"Page 8 of "&amp;Workpaper</f>
        <v>Page 8 of 17</v>
      </c>
      <c r="H4" s="246"/>
      <c r="J4" s="337"/>
    </row>
    <row r="5" spans="1:12" s="93" customFormat="1" ht="15.6">
      <c r="C5" s="104"/>
      <c r="D5" s="104"/>
      <c r="E5" s="246"/>
      <c r="F5" s="246"/>
      <c r="G5" s="261" t="str">
        <f>"For the 12 months ended: "&amp;TEXT(INPUT!$B$1,"mm/dd/yyyy")</f>
        <v>For the 12 months ended: 12/31/2018</v>
      </c>
      <c r="H5" s="246"/>
      <c r="J5" s="337"/>
    </row>
    <row r="6" spans="1:12" s="93" customFormat="1" ht="15.6">
      <c r="C6" s="104"/>
      <c r="D6" s="104"/>
      <c r="E6" s="246"/>
      <c r="F6" s="246"/>
      <c r="G6" s="246"/>
      <c r="H6" s="196"/>
      <c r="J6" s="337"/>
    </row>
    <row r="7" spans="1:12" s="93" customFormat="1" ht="15.6">
      <c r="A7" s="588" t="s">
        <v>862</v>
      </c>
      <c r="B7" s="589"/>
      <c r="C7" s="589"/>
      <c r="D7" s="588"/>
      <c r="E7" s="246"/>
      <c r="F7" s="246"/>
      <c r="G7" s="246"/>
      <c r="H7" s="196"/>
      <c r="J7" s="337"/>
    </row>
    <row r="8" spans="1:12" s="93" customFormat="1" ht="15.6">
      <c r="C8" s="104"/>
      <c r="D8" s="104"/>
      <c r="E8" s="246"/>
      <c r="F8" s="246"/>
      <c r="G8" s="246"/>
      <c r="H8" s="196"/>
      <c r="J8" s="337"/>
    </row>
    <row r="9" spans="1:12" s="93" customFormat="1">
      <c r="E9" s="337"/>
      <c r="F9" s="337"/>
      <c r="G9" s="337"/>
      <c r="H9" s="196"/>
      <c r="J9" s="337"/>
    </row>
    <row r="10" spans="1:12">
      <c r="K10" s="93"/>
      <c r="L10" s="93"/>
    </row>
    <row r="11" spans="1:12" ht="19.2">
      <c r="C11" s="107"/>
      <c r="D11" s="107"/>
      <c r="H11" s="194"/>
      <c r="K11" s="93"/>
      <c r="L11" s="93"/>
    </row>
    <row r="12" spans="1:12" ht="19.2">
      <c r="A12" s="745" t="s">
        <v>8</v>
      </c>
      <c r="E12" s="193" t="s">
        <v>117</v>
      </c>
      <c r="F12" s="193"/>
      <c r="G12" s="193"/>
      <c r="H12" s="194"/>
      <c r="I12" s="338"/>
      <c r="K12" s="93"/>
      <c r="L12" s="93"/>
    </row>
    <row r="13" spans="1:12" ht="19.2">
      <c r="A13" s="638" t="s">
        <v>10</v>
      </c>
      <c r="C13" s="1115" t="s">
        <v>429</v>
      </c>
      <c r="E13" s="194" t="s">
        <v>185</v>
      </c>
      <c r="F13" s="194"/>
      <c r="G13" s="194" t="s">
        <v>186</v>
      </c>
      <c r="H13" s="194"/>
      <c r="I13" s="339"/>
      <c r="K13" s="93"/>
      <c r="L13" s="93"/>
    </row>
    <row r="14" spans="1:12">
      <c r="A14" s="1117">
        <v>1</v>
      </c>
      <c r="C14" s="979" t="s">
        <v>868</v>
      </c>
      <c r="D14" s="340"/>
      <c r="E14" s="500">
        <v>11260178</v>
      </c>
      <c r="F14" s="500"/>
      <c r="G14" s="500">
        <f>1069299</f>
        <v>1069299</v>
      </c>
      <c r="H14" s="500"/>
      <c r="I14" s="196"/>
      <c r="K14" s="841"/>
      <c r="L14" s="841"/>
    </row>
    <row r="15" spans="1:12">
      <c r="A15" s="1117">
        <v>2</v>
      </c>
      <c r="C15" s="978"/>
      <c r="E15" s="501"/>
      <c r="F15" s="501"/>
      <c r="G15" s="501"/>
      <c r="H15" s="501"/>
      <c r="I15" s="196"/>
      <c r="K15" s="978"/>
      <c r="L15" s="978"/>
    </row>
    <row r="16" spans="1:12">
      <c r="A16" s="1117">
        <v>3</v>
      </c>
      <c r="C16" s="978" t="s">
        <v>264</v>
      </c>
      <c r="E16" s="590">
        <f>90706+3807</f>
        <v>94513</v>
      </c>
      <c r="F16" s="590"/>
      <c r="G16" s="590">
        <v>11781</v>
      </c>
      <c r="H16" s="590"/>
      <c r="I16" s="196"/>
      <c r="K16" s="978"/>
      <c r="L16" s="978"/>
    </row>
    <row r="17" spans="1:12">
      <c r="A17" s="1117">
        <v>4</v>
      </c>
      <c r="C17" s="978"/>
      <c r="E17" s="501"/>
      <c r="F17" s="501"/>
      <c r="G17" s="501"/>
      <c r="H17" s="501"/>
      <c r="I17" s="196"/>
      <c r="K17" s="978"/>
      <c r="L17" s="978"/>
    </row>
    <row r="18" spans="1:12">
      <c r="A18" s="1117">
        <v>5</v>
      </c>
      <c r="C18" s="978" t="s">
        <v>118</v>
      </c>
      <c r="E18" s="502">
        <v>1371726</v>
      </c>
      <c r="F18" s="502"/>
      <c r="G18" s="502">
        <v>117581</v>
      </c>
      <c r="H18" s="502"/>
      <c r="I18" s="196"/>
      <c r="K18" s="978"/>
      <c r="L18" s="978"/>
    </row>
    <row r="19" spans="1:12" ht="16.8">
      <c r="A19" s="1117">
        <v>6</v>
      </c>
      <c r="C19" s="978" t="s">
        <v>860</v>
      </c>
      <c r="E19" s="1064">
        <f>'P15 Pole Counts'!E19</f>
        <v>5.8999999999999997E-2</v>
      </c>
      <c r="F19" s="1064"/>
      <c r="G19" s="1064">
        <f>'P15 Pole Counts'!I19</f>
        <v>1.9199999999999998E-2</v>
      </c>
      <c r="H19" s="774"/>
      <c r="I19" s="196"/>
      <c r="K19" s="983"/>
      <c r="L19" s="983"/>
    </row>
    <row r="20" spans="1:12" ht="16.8">
      <c r="A20" s="1117">
        <v>7</v>
      </c>
      <c r="C20" s="114" t="s">
        <v>762</v>
      </c>
      <c r="D20" s="341"/>
      <c r="E20" s="1065">
        <f>ROUND(E18*E19,0)</f>
        <v>80932</v>
      </c>
      <c r="F20" s="195"/>
      <c r="G20" s="1065">
        <f>ROUND(G18*G19,0)</f>
        <v>2258</v>
      </c>
      <c r="H20" s="344"/>
      <c r="I20" s="196"/>
      <c r="K20" s="978"/>
      <c r="L20" s="978"/>
    </row>
    <row r="21" spans="1:12" ht="16.8">
      <c r="A21" s="1117">
        <v>8</v>
      </c>
      <c r="C21" s="114"/>
      <c r="D21" s="341"/>
      <c r="E21" s="344"/>
      <c r="F21" s="344"/>
      <c r="G21" s="344"/>
      <c r="H21" s="344"/>
      <c r="I21" s="196"/>
      <c r="K21" s="978"/>
      <c r="L21" s="978"/>
    </row>
    <row r="22" spans="1:12" ht="16.8">
      <c r="A22" s="1117">
        <v>9</v>
      </c>
      <c r="C22" s="979" t="s">
        <v>541</v>
      </c>
      <c r="D22" s="341"/>
      <c r="E22" s="344">
        <f>E20+E16</f>
        <v>175445</v>
      </c>
      <c r="F22" s="344"/>
      <c r="G22" s="344">
        <f>G20+G16</f>
        <v>14039</v>
      </c>
      <c r="H22" s="344"/>
      <c r="I22" s="196"/>
      <c r="K22" s="114"/>
      <c r="L22" s="978"/>
    </row>
    <row r="23" spans="1:12">
      <c r="A23" s="1117">
        <v>10</v>
      </c>
      <c r="C23" s="978"/>
      <c r="E23" s="343"/>
      <c r="F23" s="343"/>
      <c r="G23" s="343"/>
      <c r="H23" s="343"/>
      <c r="I23" s="196"/>
      <c r="K23" s="978"/>
      <c r="L23" s="978"/>
    </row>
    <row r="24" spans="1:12" ht="15.6">
      <c r="A24" s="1117">
        <v>11</v>
      </c>
      <c r="C24" s="980"/>
      <c r="D24" s="107"/>
      <c r="I24" s="196"/>
      <c r="K24" s="978"/>
      <c r="L24" s="978"/>
    </row>
    <row r="25" spans="1:12" ht="19.2">
      <c r="A25" s="1117">
        <v>12</v>
      </c>
      <c r="C25" s="978"/>
      <c r="E25" s="193" t="s">
        <v>861</v>
      </c>
      <c r="F25" s="193"/>
      <c r="G25" s="1066"/>
      <c r="H25" s="194"/>
      <c r="I25" s="872"/>
      <c r="K25" s="978"/>
      <c r="L25" s="978"/>
    </row>
    <row r="26" spans="1:12" ht="19.2">
      <c r="A26" s="1117">
        <v>13</v>
      </c>
      <c r="C26" s="978"/>
      <c r="E26" s="194" t="s">
        <v>185</v>
      </c>
      <c r="F26" s="194"/>
      <c r="G26" s="194" t="s">
        <v>186</v>
      </c>
      <c r="H26" s="194"/>
      <c r="I26" s="873"/>
      <c r="K26" s="978"/>
      <c r="L26" s="978"/>
    </row>
    <row r="27" spans="1:12">
      <c r="A27" s="1117">
        <v>14</v>
      </c>
      <c r="C27" s="583" t="s">
        <v>870</v>
      </c>
      <c r="D27" s="111"/>
      <c r="E27" s="499">
        <v>22635583</v>
      </c>
      <c r="F27" s="499"/>
      <c r="G27" s="499">
        <v>18763040</v>
      </c>
      <c r="H27" s="499"/>
      <c r="I27" s="196"/>
      <c r="K27" s="978"/>
      <c r="L27" s="978"/>
    </row>
    <row r="28" spans="1:12" ht="16.8">
      <c r="A28" s="1117">
        <v>15</v>
      </c>
      <c r="C28" s="583"/>
      <c r="D28" s="111"/>
      <c r="E28" s="344"/>
      <c r="F28" s="344"/>
      <c r="G28" s="344"/>
      <c r="H28" s="344"/>
      <c r="I28" s="196"/>
      <c r="K28" s="978"/>
      <c r="L28" s="978"/>
    </row>
    <row r="29" spans="1:12">
      <c r="A29" s="1117">
        <v>16</v>
      </c>
      <c r="C29" s="982" t="s">
        <v>538</v>
      </c>
      <c r="D29" s="340"/>
      <c r="E29" s="502"/>
      <c r="F29" s="502"/>
      <c r="G29" s="502"/>
      <c r="H29" s="502"/>
      <c r="I29" s="196"/>
      <c r="K29" s="984"/>
      <c r="L29" s="984"/>
    </row>
    <row r="30" spans="1:12" ht="16.8">
      <c r="A30" s="1117">
        <v>17</v>
      </c>
      <c r="C30" s="592" t="s">
        <v>529</v>
      </c>
      <c r="D30" s="340"/>
      <c r="E30" s="499">
        <v>1450</v>
      </c>
      <c r="F30" s="499"/>
      <c r="G30" s="499">
        <v>0</v>
      </c>
      <c r="H30" s="499"/>
      <c r="I30" s="196"/>
      <c r="K30" s="978"/>
      <c r="L30" s="985"/>
    </row>
    <row r="31" spans="1:12">
      <c r="A31" s="1117">
        <v>18</v>
      </c>
      <c r="C31" s="592" t="s">
        <v>530</v>
      </c>
      <c r="D31" s="340"/>
      <c r="E31" s="1067">
        <v>-27311</v>
      </c>
      <c r="F31" s="1067"/>
      <c r="G31" s="1067">
        <v>0</v>
      </c>
      <c r="H31" s="590"/>
      <c r="I31" s="196"/>
      <c r="K31" s="978"/>
      <c r="L31" s="978"/>
    </row>
    <row r="32" spans="1:12">
      <c r="A32" s="1117">
        <v>19</v>
      </c>
      <c r="C32" s="592" t="s">
        <v>531</v>
      </c>
      <c r="E32" s="1067">
        <v>-45121</v>
      </c>
      <c r="F32" s="1067"/>
      <c r="G32" s="1067">
        <v>0</v>
      </c>
      <c r="H32" s="590"/>
      <c r="I32" s="196"/>
      <c r="K32" s="978"/>
      <c r="L32" s="978"/>
    </row>
    <row r="33" spans="1:12" ht="15.6" customHeight="1">
      <c r="A33" s="1117">
        <v>20</v>
      </c>
      <c r="C33" s="592" t="s">
        <v>532</v>
      </c>
      <c r="E33" s="1067">
        <v>141001</v>
      </c>
      <c r="F33" s="1067"/>
      <c r="G33" s="1067">
        <v>24348</v>
      </c>
      <c r="H33" s="590"/>
      <c r="I33" s="196"/>
      <c r="K33" s="978"/>
      <c r="L33" s="978"/>
    </row>
    <row r="34" spans="1:12">
      <c r="A34" s="1117">
        <v>21</v>
      </c>
      <c r="C34" s="592" t="s">
        <v>533</v>
      </c>
      <c r="E34" s="1067">
        <v>20065426</v>
      </c>
      <c r="F34" s="1067"/>
      <c r="G34" s="1067">
        <v>0</v>
      </c>
      <c r="H34" s="590"/>
      <c r="I34" s="196"/>
      <c r="K34" s="978"/>
      <c r="L34" s="978"/>
    </row>
    <row r="35" spans="1:12">
      <c r="A35" s="1117">
        <v>22</v>
      </c>
      <c r="C35" s="592" t="s">
        <v>540</v>
      </c>
      <c r="E35" s="1067">
        <v>1801397</v>
      </c>
      <c r="F35" s="1067"/>
      <c r="G35" s="1067">
        <v>0</v>
      </c>
      <c r="H35" s="590"/>
      <c r="I35" s="196"/>
      <c r="K35" s="978"/>
      <c r="L35" s="978"/>
    </row>
    <row r="36" spans="1:12">
      <c r="A36" s="1117">
        <v>23</v>
      </c>
      <c r="C36" s="592" t="s">
        <v>534</v>
      </c>
      <c r="E36" s="1067">
        <v>-144284</v>
      </c>
      <c r="F36" s="1067"/>
      <c r="G36" s="1067">
        <v>0</v>
      </c>
      <c r="H36" s="590"/>
      <c r="I36" s="196"/>
      <c r="K36" s="978"/>
      <c r="L36" s="978"/>
    </row>
    <row r="37" spans="1:12">
      <c r="A37" s="1117">
        <v>24</v>
      </c>
      <c r="C37" s="592" t="s">
        <v>535</v>
      </c>
      <c r="E37" s="1067">
        <v>179910</v>
      </c>
      <c r="F37" s="1067"/>
      <c r="G37" s="1067">
        <v>61823</v>
      </c>
      <c r="H37" s="590"/>
      <c r="I37" s="196"/>
      <c r="K37" s="978"/>
      <c r="L37" s="978"/>
    </row>
    <row r="38" spans="1:12">
      <c r="A38" s="1117">
        <v>25</v>
      </c>
      <c r="C38" s="592" t="s">
        <v>536</v>
      </c>
      <c r="E38" s="1067">
        <v>0</v>
      </c>
      <c r="F38" s="1067"/>
      <c r="G38" s="1067">
        <v>18647714</v>
      </c>
      <c r="H38" s="590"/>
      <c r="I38" s="413"/>
      <c r="K38" s="978"/>
      <c r="L38" s="978"/>
    </row>
    <row r="39" spans="1:12" ht="16.8">
      <c r="A39" s="1117">
        <v>26</v>
      </c>
      <c r="C39" s="592" t="s">
        <v>584</v>
      </c>
      <c r="D39" s="340"/>
      <c r="E39" s="1068">
        <v>0</v>
      </c>
      <c r="F39" s="1068"/>
      <c r="G39" s="1068">
        <v>0</v>
      </c>
      <c r="H39" s="586"/>
      <c r="I39" s="874"/>
      <c r="J39" s="381"/>
      <c r="K39" s="978"/>
      <c r="L39" s="978"/>
    </row>
    <row r="40" spans="1:12" ht="16.8">
      <c r="A40" s="1117">
        <v>27</v>
      </c>
      <c r="C40" s="982" t="s">
        <v>539</v>
      </c>
      <c r="D40" s="340"/>
      <c r="E40" s="344">
        <f>SUM(E30:E39)</f>
        <v>21972468</v>
      </c>
      <c r="F40" s="344"/>
      <c r="G40" s="344">
        <f>SUM(G30:G39)</f>
        <v>18733885</v>
      </c>
      <c r="H40" s="344"/>
      <c r="I40" s="874"/>
      <c r="J40" s="381"/>
      <c r="K40" s="978"/>
      <c r="L40" s="978"/>
    </row>
    <row r="41" spans="1:12" s="380" customFormat="1">
      <c r="A41" s="1117">
        <v>28</v>
      </c>
      <c r="C41" s="981"/>
      <c r="D41" s="340"/>
      <c r="E41" s="381"/>
      <c r="F41" s="381"/>
      <c r="G41" s="381"/>
      <c r="H41" s="381"/>
      <c r="I41" s="874"/>
      <c r="J41" s="381"/>
      <c r="K41" s="986"/>
      <c r="L41" s="986"/>
    </row>
    <row r="42" spans="1:12" ht="17.399999999999999" thickBot="1">
      <c r="A42" s="1117">
        <v>29</v>
      </c>
      <c r="C42" s="583" t="s">
        <v>537</v>
      </c>
      <c r="D42" s="196"/>
      <c r="E42" s="1069">
        <f>E27-E40</f>
        <v>663115</v>
      </c>
      <c r="F42" s="1070"/>
      <c r="G42" s="1069">
        <f>G27-G40</f>
        <v>29155</v>
      </c>
      <c r="H42" s="344"/>
      <c r="I42" s="196"/>
      <c r="K42" s="978"/>
      <c r="L42" s="978"/>
    </row>
    <row r="43" spans="1:12" ht="19.8" thickTop="1">
      <c r="C43" s="196"/>
      <c r="D43" s="196"/>
      <c r="E43" s="194"/>
      <c r="F43" s="194"/>
      <c r="G43" s="194"/>
      <c r="H43" s="194"/>
      <c r="I43" s="196"/>
      <c r="K43" s="978"/>
      <c r="L43" s="978"/>
    </row>
    <row r="44" spans="1:12">
      <c r="C44" s="413"/>
      <c r="D44" s="413"/>
      <c r="I44" s="196"/>
      <c r="K44" s="978"/>
      <c r="L44" s="978"/>
    </row>
    <row r="45" spans="1:12">
      <c r="C45" s="413"/>
      <c r="D45" s="413"/>
      <c r="E45" s="414"/>
      <c r="F45" s="414"/>
      <c r="G45" s="414"/>
      <c r="H45" s="414"/>
      <c r="K45" s="196"/>
      <c r="L45" s="978"/>
    </row>
    <row r="46" spans="1:12">
      <c r="C46" s="413"/>
      <c r="D46" s="413"/>
      <c r="E46" s="414"/>
      <c r="F46" s="414"/>
      <c r="G46" s="414"/>
      <c r="H46" s="414"/>
      <c r="I46" s="196"/>
      <c r="K46" s="978"/>
      <c r="L46" s="978"/>
    </row>
    <row r="47" spans="1:12">
      <c r="C47" s="413"/>
      <c r="D47" s="413"/>
      <c r="E47" s="419"/>
      <c r="F47" s="419"/>
      <c r="G47" s="419"/>
      <c r="H47" s="414"/>
      <c r="I47" s="196"/>
      <c r="K47" s="978"/>
      <c r="L47" s="978"/>
    </row>
    <row r="48" spans="1:12">
      <c r="C48" s="413"/>
      <c r="D48" s="413"/>
      <c r="E48" s="414"/>
      <c r="F48" s="414"/>
      <c r="G48" s="414"/>
      <c r="H48" s="414"/>
      <c r="I48" s="196"/>
      <c r="K48" s="978"/>
      <c r="L48" s="978"/>
    </row>
    <row r="49" spans="3:12">
      <c r="C49" s="413"/>
      <c r="D49" s="413"/>
      <c r="E49" s="414"/>
      <c r="F49" s="414"/>
      <c r="G49" s="414"/>
      <c r="H49" s="414"/>
      <c r="I49" s="196"/>
      <c r="K49" s="978"/>
      <c r="L49" s="978"/>
    </row>
    <row r="50" spans="3:12">
      <c r="C50" s="744"/>
      <c r="D50" s="413"/>
      <c r="E50" s="414"/>
      <c r="F50" s="414"/>
      <c r="G50" s="414"/>
      <c r="H50" s="414"/>
      <c r="I50" s="196"/>
      <c r="K50" s="978"/>
      <c r="L50" s="978"/>
    </row>
    <row r="51" spans="3:12">
      <c r="C51" s="196"/>
      <c r="D51" s="196"/>
      <c r="E51" s="414"/>
      <c r="F51" s="414"/>
      <c r="G51" s="415"/>
      <c r="H51" s="415"/>
      <c r="I51" s="196"/>
      <c r="K51" s="978"/>
      <c r="L51" s="978"/>
    </row>
    <row r="52" spans="3:12" ht="15.6">
      <c r="C52" s="416"/>
      <c r="D52" s="413"/>
      <c r="E52" s="417"/>
      <c r="F52" s="417"/>
      <c r="G52" s="417"/>
      <c r="H52" s="417"/>
      <c r="I52" s="196"/>
      <c r="K52" s="978"/>
      <c r="L52" s="978"/>
    </row>
    <row r="53" spans="3:12">
      <c r="C53" s="413"/>
      <c r="D53" s="413"/>
      <c r="E53" s="415"/>
      <c r="F53" s="415"/>
      <c r="G53" s="415"/>
      <c r="H53" s="415"/>
      <c r="I53" s="196"/>
      <c r="K53" s="978"/>
      <c r="L53" s="978"/>
    </row>
    <row r="54" spans="3:12">
      <c r="C54" s="413"/>
      <c r="D54" s="413"/>
      <c r="E54" s="414"/>
      <c r="F54" s="414"/>
      <c r="G54" s="414"/>
      <c r="H54" s="414"/>
      <c r="I54" s="196"/>
      <c r="K54" s="978"/>
      <c r="L54" s="978"/>
    </row>
    <row r="55" spans="3:12" ht="16.8">
      <c r="C55" s="413"/>
      <c r="D55" s="413"/>
      <c r="E55" s="418"/>
      <c r="F55" s="418"/>
      <c r="G55" s="418"/>
      <c r="H55" s="418"/>
      <c r="I55" s="196"/>
      <c r="K55" s="978"/>
      <c r="L55" s="978"/>
    </row>
    <row r="56" spans="3:12">
      <c r="C56" s="413"/>
      <c r="D56" s="413"/>
      <c r="E56" s="419"/>
      <c r="F56" s="419"/>
      <c r="G56" s="419"/>
      <c r="H56" s="419"/>
      <c r="I56" s="196"/>
      <c r="K56" s="978"/>
      <c r="L56" s="978"/>
    </row>
    <row r="57" spans="3:12">
      <c r="C57" s="196"/>
      <c r="D57" s="196"/>
      <c r="E57" s="419"/>
      <c r="F57" s="419"/>
      <c r="G57" s="419"/>
      <c r="H57" s="419"/>
      <c r="I57" s="196"/>
      <c r="K57" s="978"/>
      <c r="L57" s="978"/>
    </row>
    <row r="58" spans="3:12">
      <c r="C58" s="196"/>
      <c r="D58" s="196"/>
      <c r="E58" s="419"/>
      <c r="F58" s="419"/>
      <c r="G58" s="419"/>
      <c r="H58" s="419"/>
      <c r="I58" s="196"/>
      <c r="K58" s="978"/>
      <c r="L58" s="978"/>
    </row>
    <row r="59" spans="3:12">
      <c r="C59" s="196"/>
      <c r="D59" s="196"/>
      <c r="G59" s="419"/>
      <c r="H59" s="419"/>
      <c r="I59" s="196"/>
      <c r="K59" s="978"/>
      <c r="L59" s="978"/>
    </row>
    <row r="60" spans="3:12">
      <c r="C60" s="413"/>
      <c r="D60" s="413"/>
      <c r="E60" s="414"/>
      <c r="F60" s="414"/>
      <c r="G60" s="414"/>
      <c r="H60" s="414"/>
      <c r="I60" s="196"/>
      <c r="K60" s="978"/>
      <c r="L60" s="978"/>
    </row>
    <row r="61" spans="3:12">
      <c r="C61" s="413"/>
      <c r="D61" s="413"/>
      <c r="E61" s="414"/>
      <c r="F61" s="414"/>
      <c r="G61" s="414"/>
      <c r="H61" s="414"/>
      <c r="I61" s="196"/>
      <c r="K61" s="978"/>
      <c r="L61" s="978"/>
    </row>
    <row r="62" spans="3:12">
      <c r="C62" s="413"/>
      <c r="D62" s="413"/>
      <c r="E62" s="419"/>
      <c r="F62" s="414"/>
      <c r="G62" s="419"/>
      <c r="H62" s="419"/>
      <c r="I62" s="196"/>
      <c r="K62" s="978"/>
      <c r="L62" s="978"/>
    </row>
    <row r="63" spans="3:12">
      <c r="C63" s="413"/>
      <c r="D63" s="413"/>
      <c r="E63" s="414"/>
      <c r="F63" s="414"/>
      <c r="G63" s="414"/>
      <c r="H63" s="414"/>
      <c r="I63" s="196"/>
      <c r="K63" s="978"/>
      <c r="L63" s="978"/>
    </row>
    <row r="64" spans="3:12">
      <c r="C64" s="413"/>
      <c r="D64" s="413"/>
      <c r="E64" s="414"/>
      <c r="F64" s="414"/>
      <c r="G64" s="414"/>
      <c r="H64" s="414"/>
      <c r="I64" s="196"/>
      <c r="K64" s="978"/>
      <c r="L64" s="978"/>
    </row>
    <row r="65" spans="3:12">
      <c r="C65" s="413"/>
      <c r="D65" s="413"/>
      <c r="E65" s="414"/>
      <c r="F65" s="414"/>
      <c r="G65" s="414"/>
      <c r="H65" s="414"/>
      <c r="I65" s="196"/>
      <c r="K65" s="978"/>
      <c r="L65" s="978"/>
    </row>
    <row r="66" spans="3:12" ht="16.8">
      <c r="C66" s="413"/>
      <c r="D66" s="413"/>
      <c r="E66" s="420"/>
      <c r="F66" s="420"/>
      <c r="G66" s="420"/>
      <c r="H66" s="420"/>
      <c r="I66" s="196"/>
      <c r="K66" s="978"/>
      <c r="L66" s="978"/>
    </row>
    <row r="67" spans="3:12">
      <c r="C67" s="413"/>
      <c r="D67" s="413"/>
      <c r="E67" s="417"/>
      <c r="F67" s="417"/>
      <c r="G67" s="417"/>
      <c r="H67" s="417"/>
      <c r="I67" s="196"/>
      <c r="K67" s="978"/>
      <c r="L67" s="978"/>
    </row>
    <row r="68" spans="3:12">
      <c r="C68" s="196"/>
      <c r="D68" s="196"/>
      <c r="I68" s="196"/>
      <c r="K68" s="978"/>
      <c r="L68" s="978"/>
    </row>
    <row r="69" spans="3:12">
      <c r="C69" s="196"/>
      <c r="D69" s="196"/>
      <c r="I69" s="196"/>
      <c r="K69" s="978"/>
      <c r="L69" s="978"/>
    </row>
    <row r="70" spans="3:12">
      <c r="C70" s="196"/>
      <c r="D70" s="196"/>
      <c r="E70" s="417"/>
      <c r="I70" s="196"/>
      <c r="K70" s="978"/>
      <c r="L70" s="978"/>
    </row>
    <row r="71" spans="3:12">
      <c r="K71" s="978"/>
      <c r="L71" s="978"/>
    </row>
    <row r="72" spans="3:12">
      <c r="K72" s="978"/>
      <c r="L72" s="978"/>
    </row>
    <row r="73" spans="3:12">
      <c r="K73" s="978"/>
      <c r="L73" s="978"/>
    </row>
    <row r="74" spans="3:12">
      <c r="K74" s="978"/>
      <c r="L74" s="978"/>
    </row>
    <row r="75" spans="3:12">
      <c r="K75" s="978"/>
      <c r="L75" s="978"/>
    </row>
    <row r="83" spans="3:3">
      <c r="C83"/>
    </row>
  </sheetData>
  <phoneticPr fontId="43" type="noConversion"/>
  <pageMargins left="1" right="1" top="1" bottom="1" header="0.5" footer="0.5"/>
  <pageSetup scale="70"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1"/>
    <pageSetUpPr fitToPage="1"/>
  </sheetPr>
  <dimension ref="A1:O27"/>
  <sheetViews>
    <sheetView zoomScaleNormal="100" workbookViewId="0"/>
  </sheetViews>
  <sheetFormatPr defaultRowHeight="13.8"/>
  <cols>
    <col min="1" max="1" width="5.90625" style="571" customWidth="1"/>
    <col min="2" max="2" width="1.1796875" style="571" customWidth="1"/>
    <col min="3" max="3" width="57" style="238" customWidth="1"/>
    <col min="4" max="4" width="1.81640625" style="571" customWidth="1"/>
    <col min="5" max="5" width="16" style="238" bestFit="1" customWidth="1"/>
    <col min="6" max="6" width="2.81640625" style="238" customWidth="1"/>
    <col min="7" max="7" width="5.81640625" style="238" customWidth="1"/>
    <col min="8" max="8" width="5.453125" style="238" customWidth="1"/>
    <col min="9" max="248" width="8.81640625" style="238"/>
    <col min="249" max="249" width="54.6328125" style="238" customWidth="1"/>
    <col min="250" max="250" width="13.81640625" style="238" customWidth="1"/>
    <col min="251" max="251" width="0" style="238" hidden="1" customWidth="1"/>
    <col min="252" max="252" width="6.6328125" style="238" customWidth="1"/>
    <col min="253" max="253" width="15" style="238" customWidth="1"/>
    <col min="254" max="254" width="3.6328125" style="238" bestFit="1" customWidth="1"/>
    <col min="255" max="255" width="15.453125" style="238" bestFit="1" customWidth="1"/>
    <col min="256" max="256" width="3.81640625" style="238" customWidth="1"/>
    <col min="257" max="257" width="11.1796875" style="238" bestFit="1" customWidth="1"/>
    <col min="258" max="258" width="3.6328125" style="238" customWidth="1"/>
    <col min="259" max="259" width="13.54296875" style="238" customWidth="1"/>
    <col min="260" max="260" width="1" style="238" customWidth="1"/>
    <col min="261" max="261" width="14.1796875" style="238" bestFit="1" customWidth="1"/>
    <col min="262" max="262" width="3.36328125" style="238" customWidth="1"/>
    <col min="263" max="263" width="20.453125" style="238" customWidth="1"/>
    <col min="264" max="504" width="8.81640625" style="238"/>
    <col min="505" max="505" width="54.6328125" style="238" customWidth="1"/>
    <col min="506" max="506" width="13.81640625" style="238" customWidth="1"/>
    <col min="507" max="507" width="0" style="238" hidden="1" customWidth="1"/>
    <col min="508" max="508" width="6.6328125" style="238" customWidth="1"/>
    <col min="509" max="509" width="15" style="238" customWidth="1"/>
    <col min="510" max="510" width="3.6328125" style="238" bestFit="1" customWidth="1"/>
    <col min="511" max="511" width="15.453125" style="238" bestFit="1" customWidth="1"/>
    <col min="512" max="512" width="3.81640625" style="238" customWidth="1"/>
    <col min="513" max="513" width="11.1796875" style="238" bestFit="1" customWidth="1"/>
    <col min="514" max="514" width="3.6328125" style="238" customWidth="1"/>
    <col min="515" max="515" width="13.54296875" style="238" customWidth="1"/>
    <col min="516" max="516" width="1" style="238" customWidth="1"/>
    <col min="517" max="517" width="14.1796875" style="238" bestFit="1" customWidth="1"/>
    <col min="518" max="518" width="3.36328125" style="238" customWidth="1"/>
    <col min="519" max="519" width="20.453125" style="238" customWidth="1"/>
    <col min="520" max="760" width="8.81640625" style="238"/>
    <col min="761" max="761" width="54.6328125" style="238" customWidth="1"/>
    <col min="762" max="762" width="13.81640625" style="238" customWidth="1"/>
    <col min="763" max="763" width="0" style="238" hidden="1" customWidth="1"/>
    <col min="764" max="764" width="6.6328125" style="238" customWidth="1"/>
    <col min="765" max="765" width="15" style="238" customWidth="1"/>
    <col min="766" max="766" width="3.6328125" style="238" bestFit="1" customWidth="1"/>
    <col min="767" max="767" width="15.453125" style="238" bestFit="1" customWidth="1"/>
    <col min="768" max="768" width="3.81640625" style="238" customWidth="1"/>
    <col min="769" max="769" width="11.1796875" style="238" bestFit="1" customWidth="1"/>
    <col min="770" max="770" width="3.6328125" style="238" customWidth="1"/>
    <col min="771" max="771" width="13.54296875" style="238" customWidth="1"/>
    <col min="772" max="772" width="1" style="238" customWidth="1"/>
    <col min="773" max="773" width="14.1796875" style="238" bestFit="1" customWidth="1"/>
    <col min="774" max="774" width="3.36328125" style="238" customWidth="1"/>
    <col min="775" max="775" width="20.453125" style="238" customWidth="1"/>
    <col min="776" max="1016" width="8.81640625" style="238"/>
    <col min="1017" max="1017" width="54.6328125" style="238" customWidth="1"/>
    <col min="1018" max="1018" width="13.81640625" style="238" customWidth="1"/>
    <col min="1019" max="1019" width="0" style="238" hidden="1" customWidth="1"/>
    <col min="1020" max="1020" width="6.6328125" style="238" customWidth="1"/>
    <col min="1021" max="1021" width="15" style="238" customWidth="1"/>
    <col min="1022" max="1022" width="3.6328125" style="238" bestFit="1" customWidth="1"/>
    <col min="1023" max="1023" width="15.453125" style="238" bestFit="1" customWidth="1"/>
    <col min="1024" max="1024" width="3.81640625" style="238" customWidth="1"/>
    <col min="1025" max="1025" width="11.1796875" style="238" bestFit="1" customWidth="1"/>
    <col min="1026" max="1026" width="3.6328125" style="238" customWidth="1"/>
    <col min="1027" max="1027" width="13.54296875" style="238" customWidth="1"/>
    <col min="1028" max="1028" width="1" style="238" customWidth="1"/>
    <col min="1029" max="1029" width="14.1796875" style="238" bestFit="1" customWidth="1"/>
    <col min="1030" max="1030" width="3.36328125" style="238" customWidth="1"/>
    <col min="1031" max="1031" width="20.453125" style="238" customWidth="1"/>
    <col min="1032" max="1272" width="8.81640625" style="238"/>
    <col min="1273" max="1273" width="54.6328125" style="238" customWidth="1"/>
    <col min="1274" max="1274" width="13.81640625" style="238" customWidth="1"/>
    <col min="1275" max="1275" width="0" style="238" hidden="1" customWidth="1"/>
    <col min="1276" max="1276" width="6.6328125" style="238" customWidth="1"/>
    <col min="1277" max="1277" width="15" style="238" customWidth="1"/>
    <col min="1278" max="1278" width="3.6328125" style="238" bestFit="1" customWidth="1"/>
    <col min="1279" max="1279" width="15.453125" style="238" bestFit="1" customWidth="1"/>
    <col min="1280" max="1280" width="3.81640625" style="238" customWidth="1"/>
    <col min="1281" max="1281" width="11.1796875" style="238" bestFit="1" customWidth="1"/>
    <col min="1282" max="1282" width="3.6328125" style="238" customWidth="1"/>
    <col min="1283" max="1283" width="13.54296875" style="238" customWidth="1"/>
    <col min="1284" max="1284" width="1" style="238" customWidth="1"/>
    <col min="1285" max="1285" width="14.1796875" style="238" bestFit="1" customWidth="1"/>
    <col min="1286" max="1286" width="3.36328125" style="238" customWidth="1"/>
    <col min="1287" max="1287" width="20.453125" style="238" customWidth="1"/>
    <col min="1288" max="1528" width="8.81640625" style="238"/>
    <col min="1529" max="1529" width="54.6328125" style="238" customWidth="1"/>
    <col min="1530" max="1530" width="13.81640625" style="238" customWidth="1"/>
    <col min="1531" max="1531" width="0" style="238" hidden="1" customWidth="1"/>
    <col min="1532" max="1532" width="6.6328125" style="238" customWidth="1"/>
    <col min="1533" max="1533" width="15" style="238" customWidth="1"/>
    <col min="1534" max="1534" width="3.6328125" style="238" bestFit="1" customWidth="1"/>
    <col min="1535" max="1535" width="15.453125" style="238" bestFit="1" customWidth="1"/>
    <col min="1536" max="1536" width="3.81640625" style="238" customWidth="1"/>
    <col min="1537" max="1537" width="11.1796875" style="238" bestFit="1" customWidth="1"/>
    <col min="1538" max="1538" width="3.6328125" style="238" customWidth="1"/>
    <col min="1539" max="1539" width="13.54296875" style="238" customWidth="1"/>
    <col min="1540" max="1540" width="1" style="238" customWidth="1"/>
    <col min="1541" max="1541" width="14.1796875" style="238" bestFit="1" customWidth="1"/>
    <col min="1542" max="1542" width="3.36328125" style="238" customWidth="1"/>
    <col min="1543" max="1543" width="20.453125" style="238" customWidth="1"/>
    <col min="1544" max="1784" width="8.81640625" style="238"/>
    <col min="1785" max="1785" width="54.6328125" style="238" customWidth="1"/>
    <col min="1786" max="1786" width="13.81640625" style="238" customWidth="1"/>
    <col min="1787" max="1787" width="0" style="238" hidden="1" customWidth="1"/>
    <col min="1788" max="1788" width="6.6328125" style="238" customWidth="1"/>
    <col min="1789" max="1789" width="15" style="238" customWidth="1"/>
    <col min="1790" max="1790" width="3.6328125" style="238" bestFit="1" customWidth="1"/>
    <col min="1791" max="1791" width="15.453125" style="238" bestFit="1" customWidth="1"/>
    <col min="1792" max="1792" width="3.81640625" style="238" customWidth="1"/>
    <col min="1793" max="1793" width="11.1796875" style="238" bestFit="1" customWidth="1"/>
    <col min="1794" max="1794" width="3.6328125" style="238" customWidth="1"/>
    <col min="1795" max="1795" width="13.54296875" style="238" customWidth="1"/>
    <col min="1796" max="1796" width="1" style="238" customWidth="1"/>
    <col min="1797" max="1797" width="14.1796875" style="238" bestFit="1" customWidth="1"/>
    <col min="1798" max="1798" width="3.36328125" style="238" customWidth="1"/>
    <col min="1799" max="1799" width="20.453125" style="238" customWidth="1"/>
    <col min="1800" max="2040" width="8.81640625" style="238"/>
    <col min="2041" max="2041" width="54.6328125" style="238" customWidth="1"/>
    <col min="2042" max="2042" width="13.81640625" style="238" customWidth="1"/>
    <col min="2043" max="2043" width="0" style="238" hidden="1" customWidth="1"/>
    <col min="2044" max="2044" width="6.6328125" style="238" customWidth="1"/>
    <col min="2045" max="2045" width="15" style="238" customWidth="1"/>
    <col min="2046" max="2046" width="3.6328125" style="238" bestFit="1" customWidth="1"/>
    <col min="2047" max="2047" width="15.453125" style="238" bestFit="1" customWidth="1"/>
    <col min="2048" max="2048" width="3.81640625" style="238" customWidth="1"/>
    <col min="2049" max="2049" width="11.1796875" style="238" bestFit="1" customWidth="1"/>
    <col min="2050" max="2050" width="3.6328125" style="238" customWidth="1"/>
    <col min="2051" max="2051" width="13.54296875" style="238" customWidth="1"/>
    <col min="2052" max="2052" width="1" style="238" customWidth="1"/>
    <col min="2053" max="2053" width="14.1796875" style="238" bestFit="1" customWidth="1"/>
    <col min="2054" max="2054" width="3.36328125" style="238" customWidth="1"/>
    <col min="2055" max="2055" width="20.453125" style="238" customWidth="1"/>
    <col min="2056" max="2296" width="8.81640625" style="238"/>
    <col min="2297" max="2297" width="54.6328125" style="238" customWidth="1"/>
    <col min="2298" max="2298" width="13.81640625" style="238" customWidth="1"/>
    <col min="2299" max="2299" width="0" style="238" hidden="1" customWidth="1"/>
    <col min="2300" max="2300" width="6.6328125" style="238" customWidth="1"/>
    <col min="2301" max="2301" width="15" style="238" customWidth="1"/>
    <col min="2302" max="2302" width="3.6328125" style="238" bestFit="1" customWidth="1"/>
    <col min="2303" max="2303" width="15.453125" style="238" bestFit="1" customWidth="1"/>
    <col min="2304" max="2304" width="3.81640625" style="238" customWidth="1"/>
    <col min="2305" max="2305" width="11.1796875" style="238" bestFit="1" customWidth="1"/>
    <col min="2306" max="2306" width="3.6328125" style="238" customWidth="1"/>
    <col min="2307" max="2307" width="13.54296875" style="238" customWidth="1"/>
    <col min="2308" max="2308" width="1" style="238" customWidth="1"/>
    <col min="2309" max="2309" width="14.1796875" style="238" bestFit="1" customWidth="1"/>
    <col min="2310" max="2310" width="3.36328125" style="238" customWidth="1"/>
    <col min="2311" max="2311" width="20.453125" style="238" customWidth="1"/>
    <col min="2312" max="2552" width="8.81640625" style="238"/>
    <col min="2553" max="2553" width="54.6328125" style="238" customWidth="1"/>
    <col min="2554" max="2554" width="13.81640625" style="238" customWidth="1"/>
    <col min="2555" max="2555" width="0" style="238" hidden="1" customWidth="1"/>
    <col min="2556" max="2556" width="6.6328125" style="238" customWidth="1"/>
    <col min="2557" max="2557" width="15" style="238" customWidth="1"/>
    <col min="2558" max="2558" width="3.6328125" style="238" bestFit="1" customWidth="1"/>
    <col min="2559" max="2559" width="15.453125" style="238" bestFit="1" customWidth="1"/>
    <col min="2560" max="2560" width="3.81640625" style="238" customWidth="1"/>
    <col min="2561" max="2561" width="11.1796875" style="238" bestFit="1" customWidth="1"/>
    <col min="2562" max="2562" width="3.6328125" style="238" customWidth="1"/>
    <col min="2563" max="2563" width="13.54296875" style="238" customWidth="1"/>
    <col min="2564" max="2564" width="1" style="238" customWidth="1"/>
    <col min="2565" max="2565" width="14.1796875" style="238" bestFit="1" customWidth="1"/>
    <col min="2566" max="2566" width="3.36328125" style="238" customWidth="1"/>
    <col min="2567" max="2567" width="20.453125" style="238" customWidth="1"/>
    <col min="2568" max="2808" width="8.81640625" style="238"/>
    <col min="2809" max="2809" width="54.6328125" style="238" customWidth="1"/>
    <col min="2810" max="2810" width="13.81640625" style="238" customWidth="1"/>
    <col min="2811" max="2811" width="0" style="238" hidden="1" customWidth="1"/>
    <col min="2812" max="2812" width="6.6328125" style="238" customWidth="1"/>
    <col min="2813" max="2813" width="15" style="238" customWidth="1"/>
    <col min="2814" max="2814" width="3.6328125" style="238" bestFit="1" customWidth="1"/>
    <col min="2815" max="2815" width="15.453125" style="238" bestFit="1" customWidth="1"/>
    <col min="2816" max="2816" width="3.81640625" style="238" customWidth="1"/>
    <col min="2817" max="2817" width="11.1796875" style="238" bestFit="1" customWidth="1"/>
    <col min="2818" max="2818" width="3.6328125" style="238" customWidth="1"/>
    <col min="2819" max="2819" width="13.54296875" style="238" customWidth="1"/>
    <col min="2820" max="2820" width="1" style="238" customWidth="1"/>
    <col min="2821" max="2821" width="14.1796875" style="238" bestFit="1" customWidth="1"/>
    <col min="2822" max="2822" width="3.36328125" style="238" customWidth="1"/>
    <col min="2823" max="2823" width="20.453125" style="238" customWidth="1"/>
    <col min="2824" max="3064" width="8.81640625" style="238"/>
    <col min="3065" max="3065" width="54.6328125" style="238" customWidth="1"/>
    <col min="3066" max="3066" width="13.81640625" style="238" customWidth="1"/>
    <col min="3067" max="3067" width="0" style="238" hidden="1" customWidth="1"/>
    <col min="3068" max="3068" width="6.6328125" style="238" customWidth="1"/>
    <col min="3069" max="3069" width="15" style="238" customWidth="1"/>
    <col min="3070" max="3070" width="3.6328125" style="238" bestFit="1" customWidth="1"/>
    <col min="3071" max="3071" width="15.453125" style="238" bestFit="1" customWidth="1"/>
    <col min="3072" max="3072" width="3.81640625" style="238" customWidth="1"/>
    <col min="3073" max="3073" width="11.1796875" style="238" bestFit="1" customWidth="1"/>
    <col min="3074" max="3074" width="3.6328125" style="238" customWidth="1"/>
    <col min="3075" max="3075" width="13.54296875" style="238" customWidth="1"/>
    <col min="3076" max="3076" width="1" style="238" customWidth="1"/>
    <col min="3077" max="3077" width="14.1796875" style="238" bestFit="1" customWidth="1"/>
    <col min="3078" max="3078" width="3.36328125" style="238" customWidth="1"/>
    <col min="3079" max="3079" width="20.453125" style="238" customWidth="1"/>
    <col min="3080" max="3320" width="8.81640625" style="238"/>
    <col min="3321" max="3321" width="54.6328125" style="238" customWidth="1"/>
    <col min="3322" max="3322" width="13.81640625" style="238" customWidth="1"/>
    <col min="3323" max="3323" width="0" style="238" hidden="1" customWidth="1"/>
    <col min="3324" max="3324" width="6.6328125" style="238" customWidth="1"/>
    <col min="3325" max="3325" width="15" style="238" customWidth="1"/>
    <col min="3326" max="3326" width="3.6328125" style="238" bestFit="1" customWidth="1"/>
    <col min="3327" max="3327" width="15.453125" style="238" bestFit="1" customWidth="1"/>
    <col min="3328" max="3328" width="3.81640625" style="238" customWidth="1"/>
    <col min="3329" max="3329" width="11.1796875" style="238" bestFit="1" customWidth="1"/>
    <col min="3330" max="3330" width="3.6328125" style="238" customWidth="1"/>
    <col min="3331" max="3331" width="13.54296875" style="238" customWidth="1"/>
    <col min="3332" max="3332" width="1" style="238" customWidth="1"/>
    <col min="3333" max="3333" width="14.1796875" style="238" bestFit="1" customWidth="1"/>
    <col min="3334" max="3334" width="3.36328125" style="238" customWidth="1"/>
    <col min="3335" max="3335" width="20.453125" style="238" customWidth="1"/>
    <col min="3336" max="3576" width="8.81640625" style="238"/>
    <col min="3577" max="3577" width="54.6328125" style="238" customWidth="1"/>
    <col min="3578" max="3578" width="13.81640625" style="238" customWidth="1"/>
    <col min="3579" max="3579" width="0" style="238" hidden="1" customWidth="1"/>
    <col min="3580" max="3580" width="6.6328125" style="238" customWidth="1"/>
    <col min="3581" max="3581" width="15" style="238" customWidth="1"/>
    <col min="3582" max="3582" width="3.6328125" style="238" bestFit="1" customWidth="1"/>
    <col min="3583" max="3583" width="15.453125" style="238" bestFit="1" customWidth="1"/>
    <col min="3584" max="3584" width="3.81640625" style="238" customWidth="1"/>
    <col min="3585" max="3585" width="11.1796875" style="238" bestFit="1" customWidth="1"/>
    <col min="3586" max="3586" width="3.6328125" style="238" customWidth="1"/>
    <col min="3587" max="3587" width="13.54296875" style="238" customWidth="1"/>
    <col min="3588" max="3588" width="1" style="238" customWidth="1"/>
    <col min="3589" max="3589" width="14.1796875" style="238" bestFit="1" customWidth="1"/>
    <col min="3590" max="3590" width="3.36328125" style="238" customWidth="1"/>
    <col min="3591" max="3591" width="20.453125" style="238" customWidth="1"/>
    <col min="3592" max="3832" width="8.81640625" style="238"/>
    <col min="3833" max="3833" width="54.6328125" style="238" customWidth="1"/>
    <col min="3834" max="3834" width="13.81640625" style="238" customWidth="1"/>
    <col min="3835" max="3835" width="0" style="238" hidden="1" customWidth="1"/>
    <col min="3836" max="3836" width="6.6328125" style="238" customWidth="1"/>
    <col min="3837" max="3837" width="15" style="238" customWidth="1"/>
    <col min="3838" max="3838" width="3.6328125" style="238" bestFit="1" customWidth="1"/>
    <col min="3839" max="3839" width="15.453125" style="238" bestFit="1" customWidth="1"/>
    <col min="3840" max="3840" width="3.81640625" style="238" customWidth="1"/>
    <col min="3841" max="3841" width="11.1796875" style="238" bestFit="1" customWidth="1"/>
    <col min="3842" max="3842" width="3.6328125" style="238" customWidth="1"/>
    <col min="3843" max="3843" width="13.54296875" style="238" customWidth="1"/>
    <col min="3844" max="3844" width="1" style="238" customWidth="1"/>
    <col min="3845" max="3845" width="14.1796875" style="238" bestFit="1" customWidth="1"/>
    <col min="3846" max="3846" width="3.36328125" style="238" customWidth="1"/>
    <col min="3847" max="3847" width="20.453125" style="238" customWidth="1"/>
    <col min="3848" max="4088" width="8.81640625" style="238"/>
    <col min="4089" max="4089" width="54.6328125" style="238" customWidth="1"/>
    <col min="4090" max="4090" width="13.81640625" style="238" customWidth="1"/>
    <col min="4091" max="4091" width="0" style="238" hidden="1" customWidth="1"/>
    <col min="4092" max="4092" width="6.6328125" style="238" customWidth="1"/>
    <col min="4093" max="4093" width="15" style="238" customWidth="1"/>
    <col min="4094" max="4094" width="3.6328125" style="238" bestFit="1" customWidth="1"/>
    <col min="4095" max="4095" width="15.453125" style="238" bestFit="1" customWidth="1"/>
    <col min="4096" max="4096" width="3.81640625" style="238" customWidth="1"/>
    <col min="4097" max="4097" width="11.1796875" style="238" bestFit="1" customWidth="1"/>
    <col min="4098" max="4098" width="3.6328125" style="238" customWidth="1"/>
    <col min="4099" max="4099" width="13.54296875" style="238" customWidth="1"/>
    <col min="4100" max="4100" width="1" style="238" customWidth="1"/>
    <col min="4101" max="4101" width="14.1796875" style="238" bestFit="1" customWidth="1"/>
    <col min="4102" max="4102" width="3.36328125" style="238" customWidth="1"/>
    <col min="4103" max="4103" width="20.453125" style="238" customWidth="1"/>
    <col min="4104" max="4344" width="8.81640625" style="238"/>
    <col min="4345" max="4345" width="54.6328125" style="238" customWidth="1"/>
    <col min="4346" max="4346" width="13.81640625" style="238" customWidth="1"/>
    <col min="4347" max="4347" width="0" style="238" hidden="1" customWidth="1"/>
    <col min="4348" max="4348" width="6.6328125" style="238" customWidth="1"/>
    <col min="4349" max="4349" width="15" style="238" customWidth="1"/>
    <col min="4350" max="4350" width="3.6328125" style="238" bestFit="1" customWidth="1"/>
    <col min="4351" max="4351" width="15.453125" style="238" bestFit="1" customWidth="1"/>
    <col min="4352" max="4352" width="3.81640625" style="238" customWidth="1"/>
    <col min="4353" max="4353" width="11.1796875" style="238" bestFit="1" customWidth="1"/>
    <col min="4354" max="4354" width="3.6328125" style="238" customWidth="1"/>
    <col min="4355" max="4355" width="13.54296875" style="238" customWidth="1"/>
    <col min="4356" max="4356" width="1" style="238" customWidth="1"/>
    <col min="4357" max="4357" width="14.1796875" style="238" bestFit="1" customWidth="1"/>
    <col min="4358" max="4358" width="3.36328125" style="238" customWidth="1"/>
    <col min="4359" max="4359" width="20.453125" style="238" customWidth="1"/>
    <col min="4360" max="4600" width="8.81640625" style="238"/>
    <col min="4601" max="4601" width="54.6328125" style="238" customWidth="1"/>
    <col min="4602" max="4602" width="13.81640625" style="238" customWidth="1"/>
    <col min="4603" max="4603" width="0" style="238" hidden="1" customWidth="1"/>
    <col min="4604" max="4604" width="6.6328125" style="238" customWidth="1"/>
    <col min="4605" max="4605" width="15" style="238" customWidth="1"/>
    <col min="4606" max="4606" width="3.6328125" style="238" bestFit="1" customWidth="1"/>
    <col min="4607" max="4607" width="15.453125" style="238" bestFit="1" customWidth="1"/>
    <col min="4608" max="4608" width="3.81640625" style="238" customWidth="1"/>
    <col min="4609" max="4609" width="11.1796875" style="238" bestFit="1" customWidth="1"/>
    <col min="4610" max="4610" width="3.6328125" style="238" customWidth="1"/>
    <col min="4611" max="4611" width="13.54296875" style="238" customWidth="1"/>
    <col min="4612" max="4612" width="1" style="238" customWidth="1"/>
    <col min="4613" max="4613" width="14.1796875" style="238" bestFit="1" customWidth="1"/>
    <col min="4614" max="4614" width="3.36328125" style="238" customWidth="1"/>
    <col min="4615" max="4615" width="20.453125" style="238" customWidth="1"/>
    <col min="4616" max="4856" width="8.81640625" style="238"/>
    <col min="4857" max="4857" width="54.6328125" style="238" customWidth="1"/>
    <col min="4858" max="4858" width="13.81640625" style="238" customWidth="1"/>
    <col min="4859" max="4859" width="0" style="238" hidden="1" customWidth="1"/>
    <col min="4860" max="4860" width="6.6328125" style="238" customWidth="1"/>
    <col min="4861" max="4861" width="15" style="238" customWidth="1"/>
    <col min="4862" max="4862" width="3.6328125" style="238" bestFit="1" customWidth="1"/>
    <col min="4863" max="4863" width="15.453125" style="238" bestFit="1" customWidth="1"/>
    <col min="4864" max="4864" width="3.81640625" style="238" customWidth="1"/>
    <col min="4865" max="4865" width="11.1796875" style="238" bestFit="1" customWidth="1"/>
    <col min="4866" max="4866" width="3.6328125" style="238" customWidth="1"/>
    <col min="4867" max="4867" width="13.54296875" style="238" customWidth="1"/>
    <col min="4868" max="4868" width="1" style="238" customWidth="1"/>
    <col min="4869" max="4869" width="14.1796875" style="238" bestFit="1" customWidth="1"/>
    <col min="4870" max="4870" width="3.36328125" style="238" customWidth="1"/>
    <col min="4871" max="4871" width="20.453125" style="238" customWidth="1"/>
    <col min="4872" max="5112" width="8.81640625" style="238"/>
    <col min="5113" max="5113" width="54.6328125" style="238" customWidth="1"/>
    <col min="5114" max="5114" width="13.81640625" style="238" customWidth="1"/>
    <col min="5115" max="5115" width="0" style="238" hidden="1" customWidth="1"/>
    <col min="5116" max="5116" width="6.6328125" style="238" customWidth="1"/>
    <col min="5117" max="5117" width="15" style="238" customWidth="1"/>
    <col min="5118" max="5118" width="3.6328125" style="238" bestFit="1" customWidth="1"/>
    <col min="5119" max="5119" width="15.453125" style="238" bestFit="1" customWidth="1"/>
    <col min="5120" max="5120" width="3.81640625" style="238" customWidth="1"/>
    <col min="5121" max="5121" width="11.1796875" style="238" bestFit="1" customWidth="1"/>
    <col min="5122" max="5122" width="3.6328125" style="238" customWidth="1"/>
    <col min="5123" max="5123" width="13.54296875" style="238" customWidth="1"/>
    <col min="5124" max="5124" width="1" style="238" customWidth="1"/>
    <col min="5125" max="5125" width="14.1796875" style="238" bestFit="1" customWidth="1"/>
    <col min="5126" max="5126" width="3.36328125" style="238" customWidth="1"/>
    <col min="5127" max="5127" width="20.453125" style="238" customWidth="1"/>
    <col min="5128" max="5368" width="8.81640625" style="238"/>
    <col min="5369" max="5369" width="54.6328125" style="238" customWidth="1"/>
    <col min="5370" max="5370" width="13.81640625" style="238" customWidth="1"/>
    <col min="5371" max="5371" width="0" style="238" hidden="1" customWidth="1"/>
    <col min="5372" max="5372" width="6.6328125" style="238" customWidth="1"/>
    <col min="5373" max="5373" width="15" style="238" customWidth="1"/>
    <col min="5374" max="5374" width="3.6328125" style="238" bestFit="1" customWidth="1"/>
    <col min="5375" max="5375" width="15.453125" style="238" bestFit="1" customWidth="1"/>
    <col min="5376" max="5376" width="3.81640625" style="238" customWidth="1"/>
    <col min="5377" max="5377" width="11.1796875" style="238" bestFit="1" customWidth="1"/>
    <col min="5378" max="5378" width="3.6328125" style="238" customWidth="1"/>
    <col min="5379" max="5379" width="13.54296875" style="238" customWidth="1"/>
    <col min="5380" max="5380" width="1" style="238" customWidth="1"/>
    <col min="5381" max="5381" width="14.1796875" style="238" bestFit="1" customWidth="1"/>
    <col min="5382" max="5382" width="3.36328125" style="238" customWidth="1"/>
    <col min="5383" max="5383" width="20.453125" style="238" customWidth="1"/>
    <col min="5384" max="5624" width="8.81640625" style="238"/>
    <col min="5625" max="5625" width="54.6328125" style="238" customWidth="1"/>
    <col min="5626" max="5626" width="13.81640625" style="238" customWidth="1"/>
    <col min="5627" max="5627" width="0" style="238" hidden="1" customWidth="1"/>
    <col min="5628" max="5628" width="6.6328125" style="238" customWidth="1"/>
    <col min="5629" max="5629" width="15" style="238" customWidth="1"/>
    <col min="5630" max="5630" width="3.6328125" style="238" bestFit="1" customWidth="1"/>
    <col min="5631" max="5631" width="15.453125" style="238" bestFit="1" customWidth="1"/>
    <col min="5632" max="5632" width="3.81640625" style="238" customWidth="1"/>
    <col min="5633" max="5633" width="11.1796875" style="238" bestFit="1" customWidth="1"/>
    <col min="5634" max="5634" width="3.6328125" style="238" customWidth="1"/>
    <col min="5635" max="5635" width="13.54296875" style="238" customWidth="1"/>
    <col min="5636" max="5636" width="1" style="238" customWidth="1"/>
    <col min="5637" max="5637" width="14.1796875" style="238" bestFit="1" customWidth="1"/>
    <col min="5638" max="5638" width="3.36328125" style="238" customWidth="1"/>
    <col min="5639" max="5639" width="20.453125" style="238" customWidth="1"/>
    <col min="5640" max="5880" width="8.81640625" style="238"/>
    <col min="5881" max="5881" width="54.6328125" style="238" customWidth="1"/>
    <col min="5882" max="5882" width="13.81640625" style="238" customWidth="1"/>
    <col min="5883" max="5883" width="0" style="238" hidden="1" customWidth="1"/>
    <col min="5884" max="5884" width="6.6328125" style="238" customWidth="1"/>
    <col min="5885" max="5885" width="15" style="238" customWidth="1"/>
    <col min="5886" max="5886" width="3.6328125" style="238" bestFit="1" customWidth="1"/>
    <col min="5887" max="5887" width="15.453125" style="238" bestFit="1" customWidth="1"/>
    <col min="5888" max="5888" width="3.81640625" style="238" customWidth="1"/>
    <col min="5889" max="5889" width="11.1796875" style="238" bestFit="1" customWidth="1"/>
    <col min="5890" max="5890" width="3.6328125" style="238" customWidth="1"/>
    <col min="5891" max="5891" width="13.54296875" style="238" customWidth="1"/>
    <col min="5892" max="5892" width="1" style="238" customWidth="1"/>
    <col min="5893" max="5893" width="14.1796875" style="238" bestFit="1" customWidth="1"/>
    <col min="5894" max="5894" width="3.36328125" style="238" customWidth="1"/>
    <col min="5895" max="5895" width="20.453125" style="238" customWidth="1"/>
    <col min="5896" max="6136" width="8.81640625" style="238"/>
    <col min="6137" max="6137" width="54.6328125" style="238" customWidth="1"/>
    <col min="6138" max="6138" width="13.81640625" style="238" customWidth="1"/>
    <col min="6139" max="6139" width="0" style="238" hidden="1" customWidth="1"/>
    <col min="6140" max="6140" width="6.6328125" style="238" customWidth="1"/>
    <col min="6141" max="6141" width="15" style="238" customWidth="1"/>
    <col min="6142" max="6142" width="3.6328125" style="238" bestFit="1" customWidth="1"/>
    <col min="6143" max="6143" width="15.453125" style="238" bestFit="1" customWidth="1"/>
    <col min="6144" max="6144" width="3.81640625" style="238" customWidth="1"/>
    <col min="6145" max="6145" width="11.1796875" style="238" bestFit="1" customWidth="1"/>
    <col min="6146" max="6146" width="3.6328125" style="238" customWidth="1"/>
    <col min="6147" max="6147" width="13.54296875" style="238" customWidth="1"/>
    <col min="6148" max="6148" width="1" style="238" customWidth="1"/>
    <col min="6149" max="6149" width="14.1796875" style="238" bestFit="1" customWidth="1"/>
    <col min="6150" max="6150" width="3.36328125" style="238" customWidth="1"/>
    <col min="6151" max="6151" width="20.453125" style="238" customWidth="1"/>
    <col min="6152" max="6392" width="8.81640625" style="238"/>
    <col min="6393" max="6393" width="54.6328125" style="238" customWidth="1"/>
    <col min="6394" max="6394" width="13.81640625" style="238" customWidth="1"/>
    <col min="6395" max="6395" width="0" style="238" hidden="1" customWidth="1"/>
    <col min="6396" max="6396" width="6.6328125" style="238" customWidth="1"/>
    <col min="6397" max="6397" width="15" style="238" customWidth="1"/>
    <col min="6398" max="6398" width="3.6328125" style="238" bestFit="1" customWidth="1"/>
    <col min="6399" max="6399" width="15.453125" style="238" bestFit="1" customWidth="1"/>
    <col min="6400" max="6400" width="3.81640625" style="238" customWidth="1"/>
    <col min="6401" max="6401" width="11.1796875" style="238" bestFit="1" customWidth="1"/>
    <col min="6402" max="6402" width="3.6328125" style="238" customWidth="1"/>
    <col min="6403" max="6403" width="13.54296875" style="238" customWidth="1"/>
    <col min="6404" max="6404" width="1" style="238" customWidth="1"/>
    <col min="6405" max="6405" width="14.1796875" style="238" bestFit="1" customWidth="1"/>
    <col min="6406" max="6406" width="3.36328125" style="238" customWidth="1"/>
    <col min="6407" max="6407" width="20.453125" style="238" customWidth="1"/>
    <col min="6408" max="6648" width="8.81640625" style="238"/>
    <col min="6649" max="6649" width="54.6328125" style="238" customWidth="1"/>
    <col min="6650" max="6650" width="13.81640625" style="238" customWidth="1"/>
    <col min="6651" max="6651" width="0" style="238" hidden="1" customWidth="1"/>
    <col min="6652" max="6652" width="6.6328125" style="238" customWidth="1"/>
    <col min="6653" max="6653" width="15" style="238" customWidth="1"/>
    <col min="6654" max="6654" width="3.6328125" style="238" bestFit="1" customWidth="1"/>
    <col min="6655" max="6655" width="15.453125" style="238" bestFit="1" customWidth="1"/>
    <col min="6656" max="6656" width="3.81640625" style="238" customWidth="1"/>
    <col min="6657" max="6657" width="11.1796875" style="238" bestFit="1" customWidth="1"/>
    <col min="6658" max="6658" width="3.6328125" style="238" customWidth="1"/>
    <col min="6659" max="6659" width="13.54296875" style="238" customWidth="1"/>
    <col min="6660" max="6660" width="1" style="238" customWidth="1"/>
    <col min="6661" max="6661" width="14.1796875" style="238" bestFit="1" customWidth="1"/>
    <col min="6662" max="6662" width="3.36328125" style="238" customWidth="1"/>
    <col min="6663" max="6663" width="20.453125" style="238" customWidth="1"/>
    <col min="6664" max="6904" width="8.81640625" style="238"/>
    <col min="6905" max="6905" width="54.6328125" style="238" customWidth="1"/>
    <col min="6906" max="6906" width="13.81640625" style="238" customWidth="1"/>
    <col min="6907" max="6907" width="0" style="238" hidden="1" customWidth="1"/>
    <col min="6908" max="6908" width="6.6328125" style="238" customWidth="1"/>
    <col min="6909" max="6909" width="15" style="238" customWidth="1"/>
    <col min="6910" max="6910" width="3.6328125" style="238" bestFit="1" customWidth="1"/>
    <col min="6911" max="6911" width="15.453125" style="238" bestFit="1" customWidth="1"/>
    <col min="6912" max="6912" width="3.81640625" style="238" customWidth="1"/>
    <col min="6913" max="6913" width="11.1796875" style="238" bestFit="1" customWidth="1"/>
    <col min="6914" max="6914" width="3.6328125" style="238" customWidth="1"/>
    <col min="6915" max="6915" width="13.54296875" style="238" customWidth="1"/>
    <col min="6916" max="6916" width="1" style="238" customWidth="1"/>
    <col min="6917" max="6917" width="14.1796875" style="238" bestFit="1" customWidth="1"/>
    <col min="6918" max="6918" width="3.36328125" style="238" customWidth="1"/>
    <col min="6919" max="6919" width="20.453125" style="238" customWidth="1"/>
    <col min="6920" max="7160" width="8.81640625" style="238"/>
    <col min="7161" max="7161" width="54.6328125" style="238" customWidth="1"/>
    <col min="7162" max="7162" width="13.81640625" style="238" customWidth="1"/>
    <col min="7163" max="7163" width="0" style="238" hidden="1" customWidth="1"/>
    <col min="7164" max="7164" width="6.6328125" style="238" customWidth="1"/>
    <col min="7165" max="7165" width="15" style="238" customWidth="1"/>
    <col min="7166" max="7166" width="3.6328125" style="238" bestFit="1" customWidth="1"/>
    <col min="7167" max="7167" width="15.453125" style="238" bestFit="1" customWidth="1"/>
    <col min="7168" max="7168" width="3.81640625" style="238" customWidth="1"/>
    <col min="7169" max="7169" width="11.1796875" style="238" bestFit="1" customWidth="1"/>
    <col min="7170" max="7170" width="3.6328125" style="238" customWidth="1"/>
    <col min="7171" max="7171" width="13.54296875" style="238" customWidth="1"/>
    <col min="7172" max="7172" width="1" style="238" customWidth="1"/>
    <col min="7173" max="7173" width="14.1796875" style="238" bestFit="1" customWidth="1"/>
    <col min="7174" max="7174" width="3.36328125" style="238" customWidth="1"/>
    <col min="7175" max="7175" width="20.453125" style="238" customWidth="1"/>
    <col min="7176" max="7416" width="8.81640625" style="238"/>
    <col min="7417" max="7417" width="54.6328125" style="238" customWidth="1"/>
    <col min="7418" max="7418" width="13.81640625" style="238" customWidth="1"/>
    <col min="7419" max="7419" width="0" style="238" hidden="1" customWidth="1"/>
    <col min="7420" max="7420" width="6.6328125" style="238" customWidth="1"/>
    <col min="7421" max="7421" width="15" style="238" customWidth="1"/>
    <col min="7422" max="7422" width="3.6328125" style="238" bestFit="1" customWidth="1"/>
    <col min="7423" max="7423" width="15.453125" style="238" bestFit="1" customWidth="1"/>
    <col min="7424" max="7424" width="3.81640625" style="238" customWidth="1"/>
    <col min="7425" max="7425" width="11.1796875" style="238" bestFit="1" customWidth="1"/>
    <col min="7426" max="7426" width="3.6328125" style="238" customWidth="1"/>
    <col min="7427" max="7427" width="13.54296875" style="238" customWidth="1"/>
    <col min="7428" max="7428" width="1" style="238" customWidth="1"/>
    <col min="7429" max="7429" width="14.1796875" style="238" bestFit="1" customWidth="1"/>
    <col min="7430" max="7430" width="3.36328125" style="238" customWidth="1"/>
    <col min="7431" max="7431" width="20.453125" style="238" customWidth="1"/>
    <col min="7432" max="7672" width="8.81640625" style="238"/>
    <col min="7673" max="7673" width="54.6328125" style="238" customWidth="1"/>
    <col min="7674" max="7674" width="13.81640625" style="238" customWidth="1"/>
    <col min="7675" max="7675" width="0" style="238" hidden="1" customWidth="1"/>
    <col min="7676" max="7676" width="6.6328125" style="238" customWidth="1"/>
    <col min="7677" max="7677" width="15" style="238" customWidth="1"/>
    <col min="7678" max="7678" width="3.6328125" style="238" bestFit="1" customWidth="1"/>
    <col min="7679" max="7679" width="15.453125" style="238" bestFit="1" customWidth="1"/>
    <col min="7680" max="7680" width="3.81640625" style="238" customWidth="1"/>
    <col min="7681" max="7681" width="11.1796875" style="238" bestFit="1" customWidth="1"/>
    <col min="7682" max="7682" width="3.6328125" style="238" customWidth="1"/>
    <col min="7683" max="7683" width="13.54296875" style="238" customWidth="1"/>
    <col min="7684" max="7684" width="1" style="238" customWidth="1"/>
    <col min="7685" max="7685" width="14.1796875" style="238" bestFit="1" customWidth="1"/>
    <col min="7686" max="7686" width="3.36328125" style="238" customWidth="1"/>
    <col min="7687" max="7687" width="20.453125" style="238" customWidth="1"/>
    <col min="7688" max="7928" width="8.81640625" style="238"/>
    <col min="7929" max="7929" width="54.6328125" style="238" customWidth="1"/>
    <col min="7930" max="7930" width="13.81640625" style="238" customWidth="1"/>
    <col min="7931" max="7931" width="0" style="238" hidden="1" customWidth="1"/>
    <col min="7932" max="7932" width="6.6328125" style="238" customWidth="1"/>
    <col min="7933" max="7933" width="15" style="238" customWidth="1"/>
    <col min="7934" max="7934" width="3.6328125" style="238" bestFit="1" customWidth="1"/>
    <col min="7935" max="7935" width="15.453125" style="238" bestFit="1" customWidth="1"/>
    <col min="7936" max="7936" width="3.81640625" style="238" customWidth="1"/>
    <col min="7937" max="7937" width="11.1796875" style="238" bestFit="1" customWidth="1"/>
    <col min="7938" max="7938" width="3.6328125" style="238" customWidth="1"/>
    <col min="7939" max="7939" width="13.54296875" style="238" customWidth="1"/>
    <col min="7940" max="7940" width="1" style="238" customWidth="1"/>
    <col min="7941" max="7941" width="14.1796875" style="238" bestFit="1" customWidth="1"/>
    <col min="7942" max="7942" width="3.36328125" style="238" customWidth="1"/>
    <col min="7943" max="7943" width="20.453125" style="238" customWidth="1"/>
    <col min="7944" max="8184" width="8.81640625" style="238"/>
    <col min="8185" max="8185" width="54.6328125" style="238" customWidth="1"/>
    <col min="8186" max="8186" width="13.81640625" style="238" customWidth="1"/>
    <col min="8187" max="8187" width="0" style="238" hidden="1" customWidth="1"/>
    <col min="8188" max="8188" width="6.6328125" style="238" customWidth="1"/>
    <col min="8189" max="8189" width="15" style="238" customWidth="1"/>
    <col min="8190" max="8190" width="3.6328125" style="238" bestFit="1" customWidth="1"/>
    <col min="8191" max="8191" width="15.453125" style="238" bestFit="1" customWidth="1"/>
    <col min="8192" max="8192" width="3.81640625" style="238" customWidth="1"/>
    <col min="8193" max="8193" width="11.1796875" style="238" bestFit="1" customWidth="1"/>
    <col min="8194" max="8194" width="3.6328125" style="238" customWidth="1"/>
    <col min="8195" max="8195" width="13.54296875" style="238" customWidth="1"/>
    <col min="8196" max="8196" width="1" style="238" customWidth="1"/>
    <col min="8197" max="8197" width="14.1796875" style="238" bestFit="1" customWidth="1"/>
    <col min="8198" max="8198" width="3.36328125" style="238" customWidth="1"/>
    <col min="8199" max="8199" width="20.453125" style="238" customWidth="1"/>
    <col min="8200" max="8440" width="8.81640625" style="238"/>
    <col min="8441" max="8441" width="54.6328125" style="238" customWidth="1"/>
    <col min="8442" max="8442" width="13.81640625" style="238" customWidth="1"/>
    <col min="8443" max="8443" width="0" style="238" hidden="1" customWidth="1"/>
    <col min="8444" max="8444" width="6.6328125" style="238" customWidth="1"/>
    <col min="8445" max="8445" width="15" style="238" customWidth="1"/>
    <col min="8446" max="8446" width="3.6328125" style="238" bestFit="1" customWidth="1"/>
    <col min="8447" max="8447" width="15.453125" style="238" bestFit="1" customWidth="1"/>
    <col min="8448" max="8448" width="3.81640625" style="238" customWidth="1"/>
    <col min="8449" max="8449" width="11.1796875" style="238" bestFit="1" customWidth="1"/>
    <col min="8450" max="8450" width="3.6328125" style="238" customWidth="1"/>
    <col min="8451" max="8451" width="13.54296875" style="238" customWidth="1"/>
    <col min="8452" max="8452" width="1" style="238" customWidth="1"/>
    <col min="8453" max="8453" width="14.1796875" style="238" bestFit="1" customWidth="1"/>
    <col min="8454" max="8454" width="3.36328125" style="238" customWidth="1"/>
    <col min="8455" max="8455" width="20.453125" style="238" customWidth="1"/>
    <col min="8456" max="8696" width="8.81640625" style="238"/>
    <col min="8697" max="8697" width="54.6328125" style="238" customWidth="1"/>
    <col min="8698" max="8698" width="13.81640625" style="238" customWidth="1"/>
    <col min="8699" max="8699" width="0" style="238" hidden="1" customWidth="1"/>
    <col min="8700" max="8700" width="6.6328125" style="238" customWidth="1"/>
    <col min="8701" max="8701" width="15" style="238" customWidth="1"/>
    <col min="8702" max="8702" width="3.6328125" style="238" bestFit="1" customWidth="1"/>
    <col min="8703" max="8703" width="15.453125" style="238" bestFit="1" customWidth="1"/>
    <col min="8704" max="8704" width="3.81640625" style="238" customWidth="1"/>
    <col min="8705" max="8705" width="11.1796875" style="238" bestFit="1" customWidth="1"/>
    <col min="8706" max="8706" width="3.6328125" style="238" customWidth="1"/>
    <col min="8707" max="8707" width="13.54296875" style="238" customWidth="1"/>
    <col min="8708" max="8708" width="1" style="238" customWidth="1"/>
    <col min="8709" max="8709" width="14.1796875" style="238" bestFit="1" customWidth="1"/>
    <col min="8710" max="8710" width="3.36328125" style="238" customWidth="1"/>
    <col min="8711" max="8711" width="20.453125" style="238" customWidth="1"/>
    <col min="8712" max="8952" width="8.81640625" style="238"/>
    <col min="8953" max="8953" width="54.6328125" style="238" customWidth="1"/>
    <col min="8954" max="8954" width="13.81640625" style="238" customWidth="1"/>
    <col min="8955" max="8955" width="0" style="238" hidden="1" customWidth="1"/>
    <col min="8956" max="8956" width="6.6328125" style="238" customWidth="1"/>
    <col min="8957" max="8957" width="15" style="238" customWidth="1"/>
    <col min="8958" max="8958" width="3.6328125" style="238" bestFit="1" customWidth="1"/>
    <col min="8959" max="8959" width="15.453125" style="238" bestFit="1" customWidth="1"/>
    <col min="8960" max="8960" width="3.81640625" style="238" customWidth="1"/>
    <col min="8961" max="8961" width="11.1796875" style="238" bestFit="1" customWidth="1"/>
    <col min="8962" max="8962" width="3.6328125" style="238" customWidth="1"/>
    <col min="8963" max="8963" width="13.54296875" style="238" customWidth="1"/>
    <col min="8964" max="8964" width="1" style="238" customWidth="1"/>
    <col min="8965" max="8965" width="14.1796875" style="238" bestFit="1" customWidth="1"/>
    <col min="8966" max="8966" width="3.36328125" style="238" customWidth="1"/>
    <col min="8967" max="8967" width="20.453125" style="238" customWidth="1"/>
    <col min="8968" max="9208" width="8.81640625" style="238"/>
    <col min="9209" max="9209" width="54.6328125" style="238" customWidth="1"/>
    <col min="9210" max="9210" width="13.81640625" style="238" customWidth="1"/>
    <col min="9211" max="9211" width="0" style="238" hidden="1" customWidth="1"/>
    <col min="9212" max="9212" width="6.6328125" style="238" customWidth="1"/>
    <col min="9213" max="9213" width="15" style="238" customWidth="1"/>
    <col min="9214" max="9214" width="3.6328125" style="238" bestFit="1" customWidth="1"/>
    <col min="9215" max="9215" width="15.453125" style="238" bestFit="1" customWidth="1"/>
    <col min="9216" max="9216" width="3.81640625" style="238" customWidth="1"/>
    <col min="9217" max="9217" width="11.1796875" style="238" bestFit="1" customWidth="1"/>
    <col min="9218" max="9218" width="3.6328125" style="238" customWidth="1"/>
    <col min="9219" max="9219" width="13.54296875" style="238" customWidth="1"/>
    <col min="9220" max="9220" width="1" style="238" customWidth="1"/>
    <col min="9221" max="9221" width="14.1796875" style="238" bestFit="1" customWidth="1"/>
    <col min="9222" max="9222" width="3.36328125" style="238" customWidth="1"/>
    <col min="9223" max="9223" width="20.453125" style="238" customWidth="1"/>
    <col min="9224" max="9464" width="8.81640625" style="238"/>
    <col min="9465" max="9465" width="54.6328125" style="238" customWidth="1"/>
    <col min="9466" max="9466" width="13.81640625" style="238" customWidth="1"/>
    <col min="9467" max="9467" width="0" style="238" hidden="1" customWidth="1"/>
    <col min="9468" max="9468" width="6.6328125" style="238" customWidth="1"/>
    <col min="9469" max="9469" width="15" style="238" customWidth="1"/>
    <col min="9470" max="9470" width="3.6328125" style="238" bestFit="1" customWidth="1"/>
    <col min="9471" max="9471" width="15.453125" style="238" bestFit="1" customWidth="1"/>
    <col min="9472" max="9472" width="3.81640625" style="238" customWidth="1"/>
    <col min="9473" max="9473" width="11.1796875" style="238" bestFit="1" customWidth="1"/>
    <col min="9474" max="9474" width="3.6328125" style="238" customWidth="1"/>
    <col min="9475" max="9475" width="13.54296875" style="238" customWidth="1"/>
    <col min="9476" max="9476" width="1" style="238" customWidth="1"/>
    <col min="9477" max="9477" width="14.1796875" style="238" bestFit="1" customWidth="1"/>
    <col min="9478" max="9478" width="3.36328125" style="238" customWidth="1"/>
    <col min="9479" max="9479" width="20.453125" style="238" customWidth="1"/>
    <col min="9480" max="9720" width="8.81640625" style="238"/>
    <col min="9721" max="9721" width="54.6328125" style="238" customWidth="1"/>
    <col min="9722" max="9722" width="13.81640625" style="238" customWidth="1"/>
    <col min="9723" max="9723" width="0" style="238" hidden="1" customWidth="1"/>
    <col min="9724" max="9724" width="6.6328125" style="238" customWidth="1"/>
    <col min="9725" max="9725" width="15" style="238" customWidth="1"/>
    <col min="9726" max="9726" width="3.6328125" style="238" bestFit="1" customWidth="1"/>
    <col min="9727" max="9727" width="15.453125" style="238" bestFit="1" customWidth="1"/>
    <col min="9728" max="9728" width="3.81640625" style="238" customWidth="1"/>
    <col min="9729" max="9729" width="11.1796875" style="238" bestFit="1" customWidth="1"/>
    <col min="9730" max="9730" width="3.6328125" style="238" customWidth="1"/>
    <col min="9731" max="9731" width="13.54296875" style="238" customWidth="1"/>
    <col min="9732" max="9732" width="1" style="238" customWidth="1"/>
    <col min="9733" max="9733" width="14.1796875" style="238" bestFit="1" customWidth="1"/>
    <col min="9734" max="9734" width="3.36328125" style="238" customWidth="1"/>
    <col min="9735" max="9735" width="20.453125" style="238" customWidth="1"/>
    <col min="9736" max="9976" width="8.81640625" style="238"/>
    <col min="9977" max="9977" width="54.6328125" style="238" customWidth="1"/>
    <col min="9978" max="9978" width="13.81640625" style="238" customWidth="1"/>
    <col min="9979" max="9979" width="0" style="238" hidden="1" customWidth="1"/>
    <col min="9980" max="9980" width="6.6328125" style="238" customWidth="1"/>
    <col min="9981" max="9981" width="15" style="238" customWidth="1"/>
    <col min="9982" max="9982" width="3.6328125" style="238" bestFit="1" customWidth="1"/>
    <col min="9983" max="9983" width="15.453125" style="238" bestFit="1" customWidth="1"/>
    <col min="9984" max="9984" width="3.81640625" style="238" customWidth="1"/>
    <col min="9985" max="9985" width="11.1796875" style="238" bestFit="1" customWidth="1"/>
    <col min="9986" max="9986" width="3.6328125" style="238" customWidth="1"/>
    <col min="9987" max="9987" width="13.54296875" style="238" customWidth="1"/>
    <col min="9988" max="9988" width="1" style="238" customWidth="1"/>
    <col min="9989" max="9989" width="14.1796875" style="238" bestFit="1" customWidth="1"/>
    <col min="9990" max="9990" width="3.36328125" style="238" customWidth="1"/>
    <col min="9991" max="9991" width="20.453125" style="238" customWidth="1"/>
    <col min="9992" max="10232" width="8.81640625" style="238"/>
    <col min="10233" max="10233" width="54.6328125" style="238" customWidth="1"/>
    <col min="10234" max="10234" width="13.81640625" style="238" customWidth="1"/>
    <col min="10235" max="10235" width="0" style="238" hidden="1" customWidth="1"/>
    <col min="10236" max="10236" width="6.6328125" style="238" customWidth="1"/>
    <col min="10237" max="10237" width="15" style="238" customWidth="1"/>
    <col min="10238" max="10238" width="3.6328125" style="238" bestFit="1" customWidth="1"/>
    <col min="10239" max="10239" width="15.453125" style="238" bestFit="1" customWidth="1"/>
    <col min="10240" max="10240" width="3.81640625" style="238" customWidth="1"/>
    <col min="10241" max="10241" width="11.1796875" style="238" bestFit="1" customWidth="1"/>
    <col min="10242" max="10242" width="3.6328125" style="238" customWidth="1"/>
    <col min="10243" max="10243" width="13.54296875" style="238" customWidth="1"/>
    <col min="10244" max="10244" width="1" style="238" customWidth="1"/>
    <col min="10245" max="10245" width="14.1796875" style="238" bestFit="1" customWidth="1"/>
    <col min="10246" max="10246" width="3.36328125" style="238" customWidth="1"/>
    <col min="10247" max="10247" width="20.453125" style="238" customWidth="1"/>
    <col min="10248" max="10488" width="8.81640625" style="238"/>
    <col min="10489" max="10489" width="54.6328125" style="238" customWidth="1"/>
    <col min="10490" max="10490" width="13.81640625" style="238" customWidth="1"/>
    <col min="10491" max="10491" width="0" style="238" hidden="1" customWidth="1"/>
    <col min="10492" max="10492" width="6.6328125" style="238" customWidth="1"/>
    <col min="10493" max="10493" width="15" style="238" customWidth="1"/>
    <col min="10494" max="10494" width="3.6328125" style="238" bestFit="1" customWidth="1"/>
    <col min="10495" max="10495" width="15.453125" style="238" bestFit="1" customWidth="1"/>
    <col min="10496" max="10496" width="3.81640625" style="238" customWidth="1"/>
    <col min="10497" max="10497" width="11.1796875" style="238" bestFit="1" customWidth="1"/>
    <col min="10498" max="10498" width="3.6328125" style="238" customWidth="1"/>
    <col min="10499" max="10499" width="13.54296875" style="238" customWidth="1"/>
    <col min="10500" max="10500" width="1" style="238" customWidth="1"/>
    <col min="10501" max="10501" width="14.1796875" style="238" bestFit="1" customWidth="1"/>
    <col min="10502" max="10502" width="3.36328125" style="238" customWidth="1"/>
    <col min="10503" max="10503" width="20.453125" style="238" customWidth="1"/>
    <col min="10504" max="10744" width="8.81640625" style="238"/>
    <col min="10745" max="10745" width="54.6328125" style="238" customWidth="1"/>
    <col min="10746" max="10746" width="13.81640625" style="238" customWidth="1"/>
    <col min="10747" max="10747" width="0" style="238" hidden="1" customWidth="1"/>
    <col min="10748" max="10748" width="6.6328125" style="238" customWidth="1"/>
    <col min="10749" max="10749" width="15" style="238" customWidth="1"/>
    <col min="10750" max="10750" width="3.6328125" style="238" bestFit="1" customWidth="1"/>
    <col min="10751" max="10751" width="15.453125" style="238" bestFit="1" customWidth="1"/>
    <col min="10752" max="10752" width="3.81640625" style="238" customWidth="1"/>
    <col min="10753" max="10753" width="11.1796875" style="238" bestFit="1" customWidth="1"/>
    <col min="10754" max="10754" width="3.6328125" style="238" customWidth="1"/>
    <col min="10755" max="10755" width="13.54296875" style="238" customWidth="1"/>
    <col min="10756" max="10756" width="1" style="238" customWidth="1"/>
    <col min="10757" max="10757" width="14.1796875" style="238" bestFit="1" customWidth="1"/>
    <col min="10758" max="10758" width="3.36328125" style="238" customWidth="1"/>
    <col min="10759" max="10759" width="20.453125" style="238" customWidth="1"/>
    <col min="10760" max="11000" width="8.81640625" style="238"/>
    <col min="11001" max="11001" width="54.6328125" style="238" customWidth="1"/>
    <col min="11002" max="11002" width="13.81640625" style="238" customWidth="1"/>
    <col min="11003" max="11003" width="0" style="238" hidden="1" customWidth="1"/>
    <col min="11004" max="11004" width="6.6328125" style="238" customWidth="1"/>
    <col min="11005" max="11005" width="15" style="238" customWidth="1"/>
    <col min="11006" max="11006" width="3.6328125" style="238" bestFit="1" customWidth="1"/>
    <col min="11007" max="11007" width="15.453125" style="238" bestFit="1" customWidth="1"/>
    <col min="11008" max="11008" width="3.81640625" style="238" customWidth="1"/>
    <col min="11009" max="11009" width="11.1796875" style="238" bestFit="1" customWidth="1"/>
    <col min="11010" max="11010" width="3.6328125" style="238" customWidth="1"/>
    <col min="11011" max="11011" width="13.54296875" style="238" customWidth="1"/>
    <col min="11012" max="11012" width="1" style="238" customWidth="1"/>
    <col min="11013" max="11013" width="14.1796875" style="238" bestFit="1" customWidth="1"/>
    <col min="11014" max="11014" width="3.36328125" style="238" customWidth="1"/>
    <col min="11015" max="11015" width="20.453125" style="238" customWidth="1"/>
    <col min="11016" max="11256" width="8.81640625" style="238"/>
    <col min="11257" max="11257" width="54.6328125" style="238" customWidth="1"/>
    <col min="11258" max="11258" width="13.81640625" style="238" customWidth="1"/>
    <col min="11259" max="11259" width="0" style="238" hidden="1" customWidth="1"/>
    <col min="11260" max="11260" width="6.6328125" style="238" customWidth="1"/>
    <col min="11261" max="11261" width="15" style="238" customWidth="1"/>
    <col min="11262" max="11262" width="3.6328125" style="238" bestFit="1" customWidth="1"/>
    <col min="11263" max="11263" width="15.453125" style="238" bestFit="1" customWidth="1"/>
    <col min="11264" max="11264" width="3.81640625" style="238" customWidth="1"/>
    <col min="11265" max="11265" width="11.1796875" style="238" bestFit="1" customWidth="1"/>
    <col min="11266" max="11266" width="3.6328125" style="238" customWidth="1"/>
    <col min="11267" max="11267" width="13.54296875" style="238" customWidth="1"/>
    <col min="11268" max="11268" width="1" style="238" customWidth="1"/>
    <col min="11269" max="11269" width="14.1796875" style="238" bestFit="1" customWidth="1"/>
    <col min="11270" max="11270" width="3.36328125" style="238" customWidth="1"/>
    <col min="11271" max="11271" width="20.453125" style="238" customWidth="1"/>
    <col min="11272" max="11512" width="8.81640625" style="238"/>
    <col min="11513" max="11513" width="54.6328125" style="238" customWidth="1"/>
    <col min="11514" max="11514" width="13.81640625" style="238" customWidth="1"/>
    <col min="11515" max="11515" width="0" style="238" hidden="1" customWidth="1"/>
    <col min="11516" max="11516" width="6.6328125" style="238" customWidth="1"/>
    <col min="11517" max="11517" width="15" style="238" customWidth="1"/>
    <col min="11518" max="11518" width="3.6328125" style="238" bestFit="1" customWidth="1"/>
    <col min="11519" max="11519" width="15.453125" style="238" bestFit="1" customWidth="1"/>
    <col min="11520" max="11520" width="3.81640625" style="238" customWidth="1"/>
    <col min="11521" max="11521" width="11.1796875" style="238" bestFit="1" customWidth="1"/>
    <col min="11522" max="11522" width="3.6328125" style="238" customWidth="1"/>
    <col min="11523" max="11523" width="13.54296875" style="238" customWidth="1"/>
    <col min="11524" max="11524" width="1" style="238" customWidth="1"/>
    <col min="11525" max="11525" width="14.1796875" style="238" bestFit="1" customWidth="1"/>
    <col min="11526" max="11526" width="3.36328125" style="238" customWidth="1"/>
    <col min="11527" max="11527" width="20.453125" style="238" customWidth="1"/>
    <col min="11528" max="11768" width="8.81640625" style="238"/>
    <col min="11769" max="11769" width="54.6328125" style="238" customWidth="1"/>
    <col min="11770" max="11770" width="13.81640625" style="238" customWidth="1"/>
    <col min="11771" max="11771" width="0" style="238" hidden="1" customWidth="1"/>
    <col min="11772" max="11772" width="6.6328125" style="238" customWidth="1"/>
    <col min="11773" max="11773" width="15" style="238" customWidth="1"/>
    <col min="11774" max="11774" width="3.6328125" style="238" bestFit="1" customWidth="1"/>
    <col min="11775" max="11775" width="15.453125" style="238" bestFit="1" customWidth="1"/>
    <col min="11776" max="11776" width="3.81640625" style="238" customWidth="1"/>
    <col min="11777" max="11777" width="11.1796875" style="238" bestFit="1" customWidth="1"/>
    <col min="11778" max="11778" width="3.6328125" style="238" customWidth="1"/>
    <col min="11779" max="11779" width="13.54296875" style="238" customWidth="1"/>
    <col min="11780" max="11780" width="1" style="238" customWidth="1"/>
    <col min="11781" max="11781" width="14.1796875" style="238" bestFit="1" customWidth="1"/>
    <col min="11782" max="11782" width="3.36328125" style="238" customWidth="1"/>
    <col min="11783" max="11783" width="20.453125" style="238" customWidth="1"/>
    <col min="11784" max="12024" width="8.81640625" style="238"/>
    <col min="12025" max="12025" width="54.6328125" style="238" customWidth="1"/>
    <col min="12026" max="12026" width="13.81640625" style="238" customWidth="1"/>
    <col min="12027" max="12027" width="0" style="238" hidden="1" customWidth="1"/>
    <col min="12028" max="12028" width="6.6328125" style="238" customWidth="1"/>
    <col min="12029" max="12029" width="15" style="238" customWidth="1"/>
    <col min="12030" max="12030" width="3.6328125" style="238" bestFit="1" customWidth="1"/>
    <col min="12031" max="12031" width="15.453125" style="238" bestFit="1" customWidth="1"/>
    <col min="12032" max="12032" width="3.81640625" style="238" customWidth="1"/>
    <col min="12033" max="12033" width="11.1796875" style="238" bestFit="1" customWidth="1"/>
    <col min="12034" max="12034" width="3.6328125" style="238" customWidth="1"/>
    <col min="12035" max="12035" width="13.54296875" style="238" customWidth="1"/>
    <col min="12036" max="12036" width="1" style="238" customWidth="1"/>
    <col min="12037" max="12037" width="14.1796875" style="238" bestFit="1" customWidth="1"/>
    <col min="12038" max="12038" width="3.36328125" style="238" customWidth="1"/>
    <col min="12039" max="12039" width="20.453125" style="238" customWidth="1"/>
    <col min="12040" max="12280" width="8.81640625" style="238"/>
    <col min="12281" max="12281" width="54.6328125" style="238" customWidth="1"/>
    <col min="12282" max="12282" width="13.81640625" style="238" customWidth="1"/>
    <col min="12283" max="12283" width="0" style="238" hidden="1" customWidth="1"/>
    <col min="12284" max="12284" width="6.6328125" style="238" customWidth="1"/>
    <col min="12285" max="12285" width="15" style="238" customWidth="1"/>
    <col min="12286" max="12286" width="3.6328125" style="238" bestFit="1" customWidth="1"/>
    <col min="12287" max="12287" width="15.453125" style="238" bestFit="1" customWidth="1"/>
    <col min="12288" max="12288" width="3.81640625" style="238" customWidth="1"/>
    <col min="12289" max="12289" width="11.1796875" style="238" bestFit="1" customWidth="1"/>
    <col min="12290" max="12290" width="3.6328125" style="238" customWidth="1"/>
    <col min="12291" max="12291" width="13.54296875" style="238" customWidth="1"/>
    <col min="12292" max="12292" width="1" style="238" customWidth="1"/>
    <col min="12293" max="12293" width="14.1796875" style="238" bestFit="1" customWidth="1"/>
    <col min="12294" max="12294" width="3.36328125" style="238" customWidth="1"/>
    <col min="12295" max="12295" width="20.453125" style="238" customWidth="1"/>
    <col min="12296" max="12536" width="8.81640625" style="238"/>
    <col min="12537" max="12537" width="54.6328125" style="238" customWidth="1"/>
    <col min="12538" max="12538" width="13.81640625" style="238" customWidth="1"/>
    <col min="12539" max="12539" width="0" style="238" hidden="1" customWidth="1"/>
    <col min="12540" max="12540" width="6.6328125" style="238" customWidth="1"/>
    <col min="12541" max="12541" width="15" style="238" customWidth="1"/>
    <col min="12542" max="12542" width="3.6328125" style="238" bestFit="1" customWidth="1"/>
    <col min="12543" max="12543" width="15.453125" style="238" bestFit="1" customWidth="1"/>
    <col min="12544" max="12544" width="3.81640625" style="238" customWidth="1"/>
    <col min="12545" max="12545" width="11.1796875" style="238" bestFit="1" customWidth="1"/>
    <col min="12546" max="12546" width="3.6328125" style="238" customWidth="1"/>
    <col min="12547" max="12547" width="13.54296875" style="238" customWidth="1"/>
    <col min="12548" max="12548" width="1" style="238" customWidth="1"/>
    <col min="12549" max="12549" width="14.1796875" style="238" bestFit="1" customWidth="1"/>
    <col min="12550" max="12550" width="3.36328125" style="238" customWidth="1"/>
    <col min="12551" max="12551" width="20.453125" style="238" customWidth="1"/>
    <col min="12552" max="12792" width="8.81640625" style="238"/>
    <col min="12793" max="12793" width="54.6328125" style="238" customWidth="1"/>
    <col min="12794" max="12794" width="13.81640625" style="238" customWidth="1"/>
    <col min="12795" max="12795" width="0" style="238" hidden="1" customWidth="1"/>
    <col min="12796" max="12796" width="6.6328125" style="238" customWidth="1"/>
    <col min="12797" max="12797" width="15" style="238" customWidth="1"/>
    <col min="12798" max="12798" width="3.6328125" style="238" bestFit="1" customWidth="1"/>
    <col min="12799" max="12799" width="15.453125" style="238" bestFit="1" customWidth="1"/>
    <col min="12800" max="12800" width="3.81640625" style="238" customWidth="1"/>
    <col min="12801" max="12801" width="11.1796875" style="238" bestFit="1" customWidth="1"/>
    <col min="12802" max="12802" width="3.6328125" style="238" customWidth="1"/>
    <col min="12803" max="12803" width="13.54296875" style="238" customWidth="1"/>
    <col min="12804" max="12804" width="1" style="238" customWidth="1"/>
    <col min="12805" max="12805" width="14.1796875" style="238" bestFit="1" customWidth="1"/>
    <col min="12806" max="12806" width="3.36328125" style="238" customWidth="1"/>
    <col min="12807" max="12807" width="20.453125" style="238" customWidth="1"/>
    <col min="12808" max="13048" width="8.81640625" style="238"/>
    <col min="13049" max="13049" width="54.6328125" style="238" customWidth="1"/>
    <col min="13050" max="13050" width="13.81640625" style="238" customWidth="1"/>
    <col min="13051" max="13051" width="0" style="238" hidden="1" customWidth="1"/>
    <col min="13052" max="13052" width="6.6328125" style="238" customWidth="1"/>
    <col min="13053" max="13053" width="15" style="238" customWidth="1"/>
    <col min="13054" max="13054" width="3.6328125" style="238" bestFit="1" customWidth="1"/>
    <col min="13055" max="13055" width="15.453125" style="238" bestFit="1" customWidth="1"/>
    <col min="13056" max="13056" width="3.81640625" style="238" customWidth="1"/>
    <col min="13057" max="13057" width="11.1796875" style="238" bestFit="1" customWidth="1"/>
    <col min="13058" max="13058" width="3.6328125" style="238" customWidth="1"/>
    <col min="13059" max="13059" width="13.54296875" style="238" customWidth="1"/>
    <col min="13060" max="13060" width="1" style="238" customWidth="1"/>
    <col min="13061" max="13061" width="14.1796875" style="238" bestFit="1" customWidth="1"/>
    <col min="13062" max="13062" width="3.36328125" style="238" customWidth="1"/>
    <col min="13063" max="13063" width="20.453125" style="238" customWidth="1"/>
    <col min="13064" max="13304" width="8.81640625" style="238"/>
    <col min="13305" max="13305" width="54.6328125" style="238" customWidth="1"/>
    <col min="13306" max="13306" width="13.81640625" style="238" customWidth="1"/>
    <col min="13307" max="13307" width="0" style="238" hidden="1" customWidth="1"/>
    <col min="13308" max="13308" width="6.6328125" style="238" customWidth="1"/>
    <col min="13309" max="13309" width="15" style="238" customWidth="1"/>
    <col min="13310" max="13310" width="3.6328125" style="238" bestFit="1" customWidth="1"/>
    <col min="13311" max="13311" width="15.453125" style="238" bestFit="1" customWidth="1"/>
    <col min="13312" max="13312" width="3.81640625" style="238" customWidth="1"/>
    <col min="13313" max="13313" width="11.1796875" style="238" bestFit="1" customWidth="1"/>
    <col min="13314" max="13314" width="3.6328125" style="238" customWidth="1"/>
    <col min="13315" max="13315" width="13.54296875" style="238" customWidth="1"/>
    <col min="13316" max="13316" width="1" style="238" customWidth="1"/>
    <col min="13317" max="13317" width="14.1796875" style="238" bestFit="1" customWidth="1"/>
    <col min="13318" max="13318" width="3.36328125" style="238" customWidth="1"/>
    <col min="13319" max="13319" width="20.453125" style="238" customWidth="1"/>
    <col min="13320" max="13560" width="8.81640625" style="238"/>
    <col min="13561" max="13561" width="54.6328125" style="238" customWidth="1"/>
    <col min="13562" max="13562" width="13.81640625" style="238" customWidth="1"/>
    <col min="13563" max="13563" width="0" style="238" hidden="1" customWidth="1"/>
    <col min="13564" max="13564" width="6.6328125" style="238" customWidth="1"/>
    <col min="13565" max="13565" width="15" style="238" customWidth="1"/>
    <col min="13566" max="13566" width="3.6328125" style="238" bestFit="1" customWidth="1"/>
    <col min="13567" max="13567" width="15.453125" style="238" bestFit="1" customWidth="1"/>
    <col min="13568" max="13568" width="3.81640625" style="238" customWidth="1"/>
    <col min="13569" max="13569" width="11.1796875" style="238" bestFit="1" customWidth="1"/>
    <col min="13570" max="13570" width="3.6328125" style="238" customWidth="1"/>
    <col min="13571" max="13571" width="13.54296875" style="238" customWidth="1"/>
    <col min="13572" max="13572" width="1" style="238" customWidth="1"/>
    <col min="13573" max="13573" width="14.1796875" style="238" bestFit="1" customWidth="1"/>
    <col min="13574" max="13574" width="3.36328125" style="238" customWidth="1"/>
    <col min="13575" max="13575" width="20.453125" style="238" customWidth="1"/>
    <col min="13576" max="13816" width="8.81640625" style="238"/>
    <col min="13817" max="13817" width="54.6328125" style="238" customWidth="1"/>
    <col min="13818" max="13818" width="13.81640625" style="238" customWidth="1"/>
    <col min="13819" max="13819" width="0" style="238" hidden="1" customWidth="1"/>
    <col min="13820" max="13820" width="6.6328125" style="238" customWidth="1"/>
    <col min="13821" max="13821" width="15" style="238" customWidth="1"/>
    <col min="13822" max="13822" width="3.6328125" style="238" bestFit="1" customWidth="1"/>
    <col min="13823" max="13823" width="15.453125" style="238" bestFit="1" customWidth="1"/>
    <col min="13824" max="13824" width="3.81640625" style="238" customWidth="1"/>
    <col min="13825" max="13825" width="11.1796875" style="238" bestFit="1" customWidth="1"/>
    <col min="13826" max="13826" width="3.6328125" style="238" customWidth="1"/>
    <col min="13827" max="13827" width="13.54296875" style="238" customWidth="1"/>
    <col min="13828" max="13828" width="1" style="238" customWidth="1"/>
    <col min="13829" max="13829" width="14.1796875" style="238" bestFit="1" customWidth="1"/>
    <col min="13830" max="13830" width="3.36328125" style="238" customWidth="1"/>
    <col min="13831" max="13831" width="20.453125" style="238" customWidth="1"/>
    <col min="13832" max="14072" width="8.81640625" style="238"/>
    <col min="14073" max="14073" width="54.6328125" style="238" customWidth="1"/>
    <col min="14074" max="14074" width="13.81640625" style="238" customWidth="1"/>
    <col min="14075" max="14075" width="0" style="238" hidden="1" customWidth="1"/>
    <col min="14076" max="14076" width="6.6328125" style="238" customWidth="1"/>
    <col min="14077" max="14077" width="15" style="238" customWidth="1"/>
    <col min="14078" max="14078" width="3.6328125" style="238" bestFit="1" customWidth="1"/>
    <col min="14079" max="14079" width="15.453125" style="238" bestFit="1" customWidth="1"/>
    <col min="14080" max="14080" width="3.81640625" style="238" customWidth="1"/>
    <col min="14081" max="14081" width="11.1796875" style="238" bestFit="1" customWidth="1"/>
    <col min="14082" max="14082" width="3.6328125" style="238" customWidth="1"/>
    <col min="14083" max="14083" width="13.54296875" style="238" customWidth="1"/>
    <col min="14084" max="14084" width="1" style="238" customWidth="1"/>
    <col min="14085" max="14085" width="14.1796875" style="238" bestFit="1" customWidth="1"/>
    <col min="14086" max="14086" width="3.36328125" style="238" customWidth="1"/>
    <col min="14087" max="14087" width="20.453125" style="238" customWidth="1"/>
    <col min="14088" max="14328" width="8.81640625" style="238"/>
    <col min="14329" max="14329" width="54.6328125" style="238" customWidth="1"/>
    <col min="14330" max="14330" width="13.81640625" style="238" customWidth="1"/>
    <col min="14331" max="14331" width="0" style="238" hidden="1" customWidth="1"/>
    <col min="14332" max="14332" width="6.6328125" style="238" customWidth="1"/>
    <col min="14333" max="14333" width="15" style="238" customWidth="1"/>
    <col min="14334" max="14334" width="3.6328125" style="238" bestFit="1" customWidth="1"/>
    <col min="14335" max="14335" width="15.453125" style="238" bestFit="1" customWidth="1"/>
    <col min="14336" max="14336" width="3.81640625" style="238" customWidth="1"/>
    <col min="14337" max="14337" width="11.1796875" style="238" bestFit="1" customWidth="1"/>
    <col min="14338" max="14338" width="3.6328125" style="238" customWidth="1"/>
    <col min="14339" max="14339" width="13.54296875" style="238" customWidth="1"/>
    <col min="14340" max="14340" width="1" style="238" customWidth="1"/>
    <col min="14341" max="14341" width="14.1796875" style="238" bestFit="1" customWidth="1"/>
    <col min="14342" max="14342" width="3.36328125" style="238" customWidth="1"/>
    <col min="14343" max="14343" width="20.453125" style="238" customWidth="1"/>
    <col min="14344" max="14584" width="8.81640625" style="238"/>
    <col min="14585" max="14585" width="54.6328125" style="238" customWidth="1"/>
    <col min="14586" max="14586" width="13.81640625" style="238" customWidth="1"/>
    <col min="14587" max="14587" width="0" style="238" hidden="1" customWidth="1"/>
    <col min="14588" max="14588" width="6.6328125" style="238" customWidth="1"/>
    <col min="14589" max="14589" width="15" style="238" customWidth="1"/>
    <col min="14590" max="14590" width="3.6328125" style="238" bestFit="1" customWidth="1"/>
    <col min="14591" max="14591" width="15.453125" style="238" bestFit="1" customWidth="1"/>
    <col min="14592" max="14592" width="3.81640625" style="238" customWidth="1"/>
    <col min="14593" max="14593" width="11.1796875" style="238" bestFit="1" customWidth="1"/>
    <col min="14594" max="14594" width="3.6328125" style="238" customWidth="1"/>
    <col min="14595" max="14595" width="13.54296875" style="238" customWidth="1"/>
    <col min="14596" max="14596" width="1" style="238" customWidth="1"/>
    <col min="14597" max="14597" width="14.1796875" style="238" bestFit="1" customWidth="1"/>
    <col min="14598" max="14598" width="3.36328125" style="238" customWidth="1"/>
    <col min="14599" max="14599" width="20.453125" style="238" customWidth="1"/>
    <col min="14600" max="14840" width="8.81640625" style="238"/>
    <col min="14841" max="14841" width="54.6328125" style="238" customWidth="1"/>
    <col min="14842" max="14842" width="13.81640625" style="238" customWidth="1"/>
    <col min="14843" max="14843" width="0" style="238" hidden="1" customWidth="1"/>
    <col min="14844" max="14844" width="6.6328125" style="238" customWidth="1"/>
    <col min="14845" max="14845" width="15" style="238" customWidth="1"/>
    <col min="14846" max="14846" width="3.6328125" style="238" bestFit="1" customWidth="1"/>
    <col min="14847" max="14847" width="15.453125" style="238" bestFit="1" customWidth="1"/>
    <col min="14848" max="14848" width="3.81640625" style="238" customWidth="1"/>
    <col min="14849" max="14849" width="11.1796875" style="238" bestFit="1" customWidth="1"/>
    <col min="14850" max="14850" width="3.6328125" style="238" customWidth="1"/>
    <col min="14851" max="14851" width="13.54296875" style="238" customWidth="1"/>
    <col min="14852" max="14852" width="1" style="238" customWidth="1"/>
    <col min="14853" max="14853" width="14.1796875" style="238" bestFit="1" customWidth="1"/>
    <col min="14854" max="14854" width="3.36328125" style="238" customWidth="1"/>
    <col min="14855" max="14855" width="20.453125" style="238" customWidth="1"/>
    <col min="14856" max="15096" width="8.81640625" style="238"/>
    <col min="15097" max="15097" width="54.6328125" style="238" customWidth="1"/>
    <col min="15098" max="15098" width="13.81640625" style="238" customWidth="1"/>
    <col min="15099" max="15099" width="0" style="238" hidden="1" customWidth="1"/>
    <col min="15100" max="15100" width="6.6328125" style="238" customWidth="1"/>
    <col min="15101" max="15101" width="15" style="238" customWidth="1"/>
    <col min="15102" max="15102" width="3.6328125" style="238" bestFit="1" customWidth="1"/>
    <col min="15103" max="15103" width="15.453125" style="238" bestFit="1" customWidth="1"/>
    <col min="15104" max="15104" width="3.81640625" style="238" customWidth="1"/>
    <col min="15105" max="15105" width="11.1796875" style="238" bestFit="1" customWidth="1"/>
    <col min="15106" max="15106" width="3.6328125" style="238" customWidth="1"/>
    <col min="15107" max="15107" width="13.54296875" style="238" customWidth="1"/>
    <col min="15108" max="15108" width="1" style="238" customWidth="1"/>
    <col min="15109" max="15109" width="14.1796875" style="238" bestFit="1" customWidth="1"/>
    <col min="15110" max="15110" width="3.36328125" style="238" customWidth="1"/>
    <col min="15111" max="15111" width="20.453125" style="238" customWidth="1"/>
    <col min="15112" max="15352" width="8.81640625" style="238"/>
    <col min="15353" max="15353" width="54.6328125" style="238" customWidth="1"/>
    <col min="15354" max="15354" width="13.81640625" style="238" customWidth="1"/>
    <col min="15355" max="15355" width="0" style="238" hidden="1" customWidth="1"/>
    <col min="15356" max="15356" width="6.6328125" style="238" customWidth="1"/>
    <col min="15357" max="15357" width="15" style="238" customWidth="1"/>
    <col min="15358" max="15358" width="3.6328125" style="238" bestFit="1" customWidth="1"/>
    <col min="15359" max="15359" width="15.453125" style="238" bestFit="1" customWidth="1"/>
    <col min="15360" max="15360" width="3.81640625" style="238" customWidth="1"/>
    <col min="15361" max="15361" width="11.1796875" style="238" bestFit="1" customWidth="1"/>
    <col min="15362" max="15362" width="3.6328125" style="238" customWidth="1"/>
    <col min="15363" max="15363" width="13.54296875" style="238" customWidth="1"/>
    <col min="15364" max="15364" width="1" style="238" customWidth="1"/>
    <col min="15365" max="15365" width="14.1796875" style="238" bestFit="1" customWidth="1"/>
    <col min="15366" max="15366" width="3.36328125" style="238" customWidth="1"/>
    <col min="15367" max="15367" width="20.453125" style="238" customWidth="1"/>
    <col min="15368" max="15608" width="8.81640625" style="238"/>
    <col min="15609" max="15609" width="54.6328125" style="238" customWidth="1"/>
    <col min="15610" max="15610" width="13.81640625" style="238" customWidth="1"/>
    <col min="15611" max="15611" width="0" style="238" hidden="1" customWidth="1"/>
    <col min="15612" max="15612" width="6.6328125" style="238" customWidth="1"/>
    <col min="15613" max="15613" width="15" style="238" customWidth="1"/>
    <col min="15614" max="15614" width="3.6328125" style="238" bestFit="1" customWidth="1"/>
    <col min="15615" max="15615" width="15.453125" style="238" bestFit="1" customWidth="1"/>
    <col min="15616" max="15616" width="3.81640625" style="238" customWidth="1"/>
    <col min="15617" max="15617" width="11.1796875" style="238" bestFit="1" customWidth="1"/>
    <col min="15618" max="15618" width="3.6328125" style="238" customWidth="1"/>
    <col min="15619" max="15619" width="13.54296875" style="238" customWidth="1"/>
    <col min="15620" max="15620" width="1" style="238" customWidth="1"/>
    <col min="15621" max="15621" width="14.1796875" style="238" bestFit="1" customWidth="1"/>
    <col min="15622" max="15622" width="3.36328125" style="238" customWidth="1"/>
    <col min="15623" max="15623" width="20.453125" style="238" customWidth="1"/>
    <col min="15624" max="15864" width="8.81640625" style="238"/>
    <col min="15865" max="15865" width="54.6328125" style="238" customWidth="1"/>
    <col min="15866" max="15866" width="13.81640625" style="238" customWidth="1"/>
    <col min="15867" max="15867" width="0" style="238" hidden="1" customWidth="1"/>
    <col min="15868" max="15868" width="6.6328125" style="238" customWidth="1"/>
    <col min="15869" max="15869" width="15" style="238" customWidth="1"/>
    <col min="15870" max="15870" width="3.6328125" style="238" bestFit="1" customWidth="1"/>
    <col min="15871" max="15871" width="15.453125" style="238" bestFit="1" customWidth="1"/>
    <col min="15872" max="15872" width="3.81640625" style="238" customWidth="1"/>
    <col min="15873" max="15873" width="11.1796875" style="238" bestFit="1" customWidth="1"/>
    <col min="15874" max="15874" width="3.6328125" style="238" customWidth="1"/>
    <col min="15875" max="15875" width="13.54296875" style="238" customWidth="1"/>
    <col min="15876" max="15876" width="1" style="238" customWidth="1"/>
    <col min="15877" max="15877" width="14.1796875" style="238" bestFit="1" customWidth="1"/>
    <col min="15878" max="15878" width="3.36328125" style="238" customWidth="1"/>
    <col min="15879" max="15879" width="20.453125" style="238" customWidth="1"/>
    <col min="15880" max="16120" width="8.81640625" style="238"/>
    <col min="16121" max="16121" width="54.6328125" style="238" customWidth="1"/>
    <col min="16122" max="16122" width="13.81640625" style="238" customWidth="1"/>
    <col min="16123" max="16123" width="0" style="238" hidden="1" customWidth="1"/>
    <col min="16124" max="16124" width="6.6328125" style="238" customWidth="1"/>
    <col min="16125" max="16125" width="15" style="238" customWidth="1"/>
    <col min="16126" max="16126" width="3.6328125" style="238" bestFit="1" customWidth="1"/>
    <col min="16127" max="16127" width="15.453125" style="238" bestFit="1" customWidth="1"/>
    <col min="16128" max="16128" width="3.81640625" style="238" customWidth="1"/>
    <col min="16129" max="16129" width="11.1796875" style="238" bestFit="1" customWidth="1"/>
    <col min="16130" max="16130" width="3.6328125" style="238" customWidth="1"/>
    <col min="16131" max="16131" width="13.54296875" style="238" customWidth="1"/>
    <col min="16132" max="16132" width="1" style="238" customWidth="1"/>
    <col min="16133" max="16133" width="14.1796875" style="238" bestFit="1" customWidth="1"/>
    <col min="16134" max="16134" width="3.36328125" style="238" customWidth="1"/>
    <col min="16135" max="16135" width="20.453125" style="238" customWidth="1"/>
    <col min="16136" max="16374" width="8.81640625" style="238"/>
    <col min="16375" max="16384" width="8.81640625" style="238" customWidth="1"/>
  </cols>
  <sheetData>
    <row r="1" spans="1:12" s="394" customFormat="1" ht="21">
      <c r="A1" s="935" t="str">
        <f>'P1 ADIT'!A1</f>
        <v>Duke Energy Ohio and Duke Energy Kentucky</v>
      </c>
      <c r="B1" s="1145"/>
      <c r="C1" s="1145"/>
      <c r="D1" s="935"/>
      <c r="E1" s="424"/>
      <c r="F1" s="648"/>
      <c r="G1" s="649"/>
    </row>
    <row r="2" spans="1:12" s="394" customFormat="1" ht="15.6">
      <c r="C2" s="785"/>
      <c r="D2" s="785"/>
      <c r="E2" s="785"/>
      <c r="F2" s="648"/>
      <c r="G2" s="649"/>
    </row>
    <row r="3" spans="1:12" s="394" customFormat="1" ht="15.6">
      <c r="C3" s="640"/>
      <c r="D3" s="640"/>
      <c r="E3" s="641" t="s">
        <v>406</v>
      </c>
      <c r="F3" s="648"/>
      <c r="G3" s="649"/>
      <c r="H3" s="642"/>
    </row>
    <row r="4" spans="1:12" s="394" customFormat="1" ht="15.6">
      <c r="C4" s="640"/>
      <c r="D4" s="640"/>
      <c r="E4" s="514" t="str">
        <f>"Page 9 of "&amp;Workpaper</f>
        <v>Page 9 of 17</v>
      </c>
      <c r="F4" s="648"/>
      <c r="G4" s="649"/>
      <c r="H4" s="642"/>
    </row>
    <row r="5" spans="1:12" ht="15.6">
      <c r="C5" s="643"/>
      <c r="D5" s="643"/>
      <c r="E5" s="261" t="str">
        <f>"For the 12 months ended: "&amp;TEXT(INPUT!$B$1,"mm/dd/yyyy")</f>
        <v>For the 12 months ended: 12/31/2018</v>
      </c>
      <c r="F5" s="648"/>
      <c r="G5" s="649"/>
      <c r="H5" s="643"/>
    </row>
    <row r="6" spans="1:12" s="571" customFormat="1" ht="15.6">
      <c r="C6" s="643"/>
      <c r="D6" s="643"/>
      <c r="E6" s="643"/>
      <c r="F6" s="648"/>
      <c r="G6" s="649"/>
      <c r="H6" s="643"/>
    </row>
    <row r="7" spans="1:12" ht="15.6">
      <c r="A7" s="936" t="s">
        <v>4</v>
      </c>
      <c r="B7" s="1144"/>
      <c r="C7" s="1144"/>
      <c r="D7" s="936"/>
      <c r="E7" s="644"/>
      <c r="F7" s="648"/>
      <c r="G7" s="649"/>
      <c r="H7" s="643"/>
    </row>
    <row r="8" spans="1:12" ht="15.6">
      <c r="A8" s="937" t="s">
        <v>5</v>
      </c>
      <c r="B8" s="1144"/>
      <c r="C8" s="1144"/>
      <c r="D8" s="937"/>
      <c r="E8" s="644"/>
      <c r="F8" s="648"/>
      <c r="G8" s="649"/>
      <c r="H8" s="643"/>
    </row>
    <row r="9" spans="1:12" ht="15.6">
      <c r="A9" s="938" t="s">
        <v>853</v>
      </c>
      <c r="B9" s="1144"/>
      <c r="C9" s="1144"/>
      <c r="D9" s="938"/>
      <c r="E9" s="645"/>
      <c r="F9" s="648"/>
      <c r="G9" s="649"/>
      <c r="H9" s="643"/>
    </row>
    <row r="10" spans="1:12" ht="15.6">
      <c r="A10" s="939" t="s">
        <v>267</v>
      </c>
      <c r="B10" s="1144"/>
      <c r="C10" s="1144"/>
      <c r="D10" s="939"/>
      <c r="E10" s="646"/>
      <c r="F10" s="648"/>
      <c r="G10" s="649"/>
      <c r="H10" s="643"/>
    </row>
    <row r="11" spans="1:12" ht="15.6">
      <c r="C11" s="647"/>
      <c r="D11" s="647"/>
      <c r="E11" s="647"/>
      <c r="F11" s="648"/>
      <c r="G11" s="649"/>
      <c r="H11" s="643"/>
    </row>
    <row r="12" spans="1:12" ht="15.6">
      <c r="A12" s="745" t="s">
        <v>8</v>
      </c>
      <c r="C12" s="643"/>
      <c r="D12" s="643"/>
      <c r="E12" s="943" t="s">
        <v>568</v>
      </c>
      <c r="F12" s="648"/>
      <c r="G12" s="649"/>
      <c r="H12" s="650"/>
      <c r="I12" s="605"/>
    </row>
    <row r="13" spans="1:12" ht="19.2">
      <c r="A13" s="638" t="s">
        <v>10</v>
      </c>
      <c r="C13" s="1115" t="s">
        <v>429</v>
      </c>
      <c r="D13" s="1115"/>
      <c r="E13" s="1115" t="s">
        <v>569</v>
      </c>
      <c r="F13" s="648"/>
      <c r="G13" s="651"/>
      <c r="H13" s="648"/>
    </row>
    <row r="14" spans="1:12" s="239" customFormat="1" ht="15.6" customHeight="1">
      <c r="C14" s="620"/>
      <c r="D14" s="620"/>
      <c r="E14" s="653"/>
      <c r="F14" s="654"/>
      <c r="G14" s="654"/>
      <c r="H14" s="655"/>
      <c r="I14" s="571"/>
    </row>
    <row r="15" spans="1:12" ht="15">
      <c r="A15" s="1116">
        <v>1</v>
      </c>
      <c r="C15" s="111" t="s">
        <v>900</v>
      </c>
      <c r="D15" s="111"/>
      <c r="E15" s="1061">
        <v>3455424163</v>
      </c>
      <c r="F15" s="657"/>
      <c r="G15" s="658"/>
      <c r="H15" s="652"/>
      <c r="I15" s="571"/>
      <c r="J15" s="239"/>
    </row>
    <row r="16" spans="1:12" ht="15.6">
      <c r="A16" s="1116"/>
      <c r="C16" s="659"/>
      <c r="D16" s="659"/>
      <c r="E16" s="656"/>
      <c r="F16" s="660"/>
      <c r="G16" s="656"/>
      <c r="H16" s="643"/>
      <c r="I16" s="571"/>
      <c r="J16" s="571"/>
      <c r="K16" s="571"/>
      <c r="L16" s="571"/>
    </row>
    <row r="17" spans="1:15" ht="15">
      <c r="A17" s="1116">
        <v>2</v>
      </c>
      <c r="C17" s="485" t="s">
        <v>901</v>
      </c>
      <c r="D17" s="485"/>
      <c r="E17" s="1061">
        <v>746918647</v>
      </c>
      <c r="F17" s="662"/>
      <c r="G17" s="661"/>
      <c r="H17" s="643"/>
      <c r="I17" s="571"/>
      <c r="L17" s="571"/>
      <c r="M17" s="571"/>
      <c r="N17" s="571"/>
      <c r="O17" s="571"/>
    </row>
    <row r="18" spans="1:15" s="571" customFormat="1" ht="15.6">
      <c r="A18" s="1116"/>
      <c r="C18" s="485"/>
      <c r="D18" s="485"/>
      <c r="E18" s="661"/>
      <c r="F18" s="662"/>
      <c r="G18" s="661"/>
      <c r="H18" s="643"/>
      <c r="I18" s="1101"/>
    </row>
    <row r="19" spans="1:15" ht="16.2" thickBot="1">
      <c r="A19" s="1116">
        <v>3</v>
      </c>
      <c r="C19" s="663" t="s">
        <v>269</v>
      </c>
      <c r="D19" s="663"/>
      <c r="E19" s="940">
        <f>E15-E17</f>
        <v>2708505516</v>
      </c>
      <c r="F19" s="664"/>
      <c r="G19" s="665"/>
      <c r="H19" s="652"/>
    </row>
    <row r="20" spans="1:15" ht="14.4" thickTop="1">
      <c r="C20" s="604"/>
      <c r="D20" s="604"/>
      <c r="E20" s="421"/>
      <c r="F20" s="422"/>
      <c r="G20" s="607"/>
      <c r="H20" s="572"/>
    </row>
    <row r="21" spans="1:15" s="572" customFormat="1">
      <c r="C21" s="606"/>
      <c r="D21" s="606"/>
      <c r="F21" s="423"/>
      <c r="G21" s="423"/>
      <c r="H21" s="603"/>
    </row>
    <row r="22" spans="1:15">
      <c r="C22" s="238" t="s">
        <v>7</v>
      </c>
      <c r="E22" s="571"/>
    </row>
    <row r="23" spans="1:15">
      <c r="E23" s="571"/>
    </row>
    <row r="25" spans="1:15">
      <c r="E25" s="571"/>
    </row>
    <row r="26" spans="1:15">
      <c r="E26" s="571"/>
    </row>
    <row r="27" spans="1:15">
      <c r="E27" s="571"/>
    </row>
  </sheetData>
  <phoneticPr fontId="43" type="noConversion"/>
  <pageMargins left="1" right="1" top="1" bottom="1" header="0.5" footer="0.5"/>
  <pageSetup scale="85"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theme="1"/>
    <pageSetUpPr fitToPage="1"/>
  </sheetPr>
  <dimension ref="A1:O39"/>
  <sheetViews>
    <sheetView zoomScale="80" zoomScaleNormal="80" zoomScaleSheetLayoutView="85" workbookViewId="0"/>
  </sheetViews>
  <sheetFormatPr defaultColWidth="7.08984375" defaultRowHeight="13.2"/>
  <cols>
    <col min="1" max="1" width="7.08984375" style="81"/>
    <col min="2" max="2" width="1.6328125" style="81" customWidth="1"/>
    <col min="3" max="3" width="9.90625" style="81" customWidth="1"/>
    <col min="4" max="4" width="10.90625" style="81" customWidth="1"/>
    <col min="5" max="5" width="8.54296875" style="81" bestFit="1" customWidth="1"/>
    <col min="6" max="6" width="9.54296875" style="81" bestFit="1" customWidth="1"/>
    <col min="7" max="7" width="9.54296875" style="81" customWidth="1"/>
    <col min="8" max="8" width="8.453125" style="81" bestFit="1" customWidth="1"/>
    <col min="9" max="16384" width="7.08984375" style="81"/>
  </cols>
  <sheetData>
    <row r="1" spans="1:15" ht="15.6">
      <c r="A1" s="397" t="str">
        <f>'P1 ADIT'!A1</f>
        <v>Duke Energy Ohio and Duke Energy Kentucky</v>
      </c>
      <c r="B1" s="1146"/>
      <c r="C1" s="1146"/>
      <c r="D1" s="87"/>
      <c r="E1" s="1146"/>
      <c r="F1" s="1146"/>
      <c r="G1" s="1170"/>
      <c r="H1" s="1170"/>
      <c r="J1" s="376"/>
      <c r="K1" s="254"/>
      <c r="L1" s="550"/>
      <c r="M1" s="550"/>
      <c r="N1" s="550"/>
      <c r="O1" s="411"/>
    </row>
    <row r="2" spans="1:15" ht="15.6">
      <c r="C2" s="87"/>
      <c r="D2" s="87"/>
      <c r="G2" s="626"/>
      <c r="H2" s="626"/>
      <c r="J2" s="376"/>
      <c r="K2" s="254"/>
    </row>
    <row r="3" spans="1:15" ht="15.6">
      <c r="C3" s="87"/>
      <c r="D3" s="87"/>
      <c r="G3" s="87"/>
      <c r="H3" s="226" t="s">
        <v>406</v>
      </c>
      <c r="J3" s="376"/>
    </row>
    <row r="4" spans="1:15" ht="15.6">
      <c r="C4" s="87"/>
      <c r="D4" s="87"/>
      <c r="G4" s="87"/>
      <c r="H4" s="512" t="str">
        <f>"Page 10 of "&amp;Workpaper</f>
        <v>Page 10 of 17</v>
      </c>
      <c r="J4" s="376"/>
    </row>
    <row r="5" spans="1:15" ht="15.6">
      <c r="C5" s="87"/>
      <c r="D5" s="87"/>
      <c r="G5" s="87"/>
      <c r="H5" s="639" t="str">
        <f>"For the 12 months ended: "&amp;TEXT(INPUT!$B$1,"mm/dd/yyyy")</f>
        <v>For the 12 months ended: 12/31/2018</v>
      </c>
    </row>
    <row r="7" spans="1:15">
      <c r="A7" s="1166" t="s">
        <v>927</v>
      </c>
      <c r="B7" s="1167"/>
      <c r="C7" s="1167"/>
      <c r="D7" s="1168"/>
      <c r="E7" s="1168"/>
      <c r="F7" s="1146"/>
      <c r="G7" s="1146"/>
      <c r="H7" s="88"/>
    </row>
    <row r="8" spans="1:15">
      <c r="A8" s="1166" t="s">
        <v>924</v>
      </c>
      <c r="B8" s="1167"/>
      <c r="C8" s="1169"/>
      <c r="D8" s="1169"/>
      <c r="E8" s="1169"/>
      <c r="F8" s="1146"/>
      <c r="G8" s="1146"/>
      <c r="H8" s="1146"/>
    </row>
    <row r="9" spans="1:15">
      <c r="C9" s="82"/>
      <c r="D9" s="82"/>
      <c r="E9" s="82"/>
    </row>
    <row r="10" spans="1:15">
      <c r="A10" s="1112" t="s">
        <v>8</v>
      </c>
      <c r="C10" s="1155"/>
      <c r="D10" s="1156" t="s">
        <v>920</v>
      </c>
    </row>
    <row r="11" spans="1:15" ht="22.8">
      <c r="A11" s="1113" t="s">
        <v>10</v>
      </c>
      <c r="C11" s="1157" t="s">
        <v>728</v>
      </c>
      <c r="D11" s="1157" t="s">
        <v>926</v>
      </c>
      <c r="E11" s="83"/>
      <c r="F11" s="83"/>
      <c r="G11" s="83"/>
      <c r="H11" s="83"/>
    </row>
    <row r="12" spans="1:15" ht="16.8">
      <c r="C12" s="1155"/>
      <c r="D12" s="1158"/>
      <c r="E12" s="496"/>
      <c r="F12" s="83"/>
      <c r="G12" s="83"/>
      <c r="H12" s="83"/>
    </row>
    <row r="13" spans="1:15">
      <c r="A13" s="1114">
        <v>1</v>
      </c>
      <c r="C13" s="1159" t="s">
        <v>160</v>
      </c>
      <c r="D13" s="1160">
        <v>4770000</v>
      </c>
      <c r="E13" s="875"/>
      <c r="F13" s="626"/>
      <c r="G13" s="626"/>
      <c r="H13" s="626"/>
    </row>
    <row r="14" spans="1:15">
      <c r="A14" s="1114">
        <v>2</v>
      </c>
      <c r="C14" s="1155" t="s">
        <v>161</v>
      </c>
      <c r="D14" s="1160">
        <v>4039000</v>
      </c>
      <c r="E14" s="875"/>
      <c r="F14" s="626"/>
      <c r="G14" s="626"/>
      <c r="H14" s="626"/>
    </row>
    <row r="15" spans="1:15">
      <c r="A15" s="1114">
        <v>3</v>
      </c>
      <c r="C15" s="1155" t="s">
        <v>162</v>
      </c>
      <c r="D15" s="1160">
        <v>3716000</v>
      </c>
      <c r="E15" s="875"/>
      <c r="F15" s="626"/>
      <c r="G15" s="626"/>
      <c r="H15" s="626"/>
    </row>
    <row r="16" spans="1:15">
      <c r="A16" s="1114">
        <v>4</v>
      </c>
      <c r="C16" s="1155" t="s">
        <v>163</v>
      </c>
      <c r="D16" s="1160">
        <v>3526000</v>
      </c>
      <c r="E16" s="875"/>
      <c r="F16" s="626"/>
      <c r="G16" s="626"/>
      <c r="H16" s="626"/>
    </row>
    <row r="17" spans="1:8">
      <c r="A17" s="1114">
        <v>5</v>
      </c>
      <c r="C17" s="1155" t="s">
        <v>272</v>
      </c>
      <c r="D17" s="1160">
        <v>4702000</v>
      </c>
      <c r="E17" s="875"/>
      <c r="F17" s="626"/>
      <c r="G17" s="626"/>
      <c r="H17" s="626"/>
    </row>
    <row r="18" spans="1:8">
      <c r="A18" s="1114">
        <v>6</v>
      </c>
      <c r="C18" s="1155" t="s">
        <v>164</v>
      </c>
      <c r="D18" s="1160">
        <v>5198000</v>
      </c>
      <c r="E18" s="875"/>
      <c r="F18" s="626"/>
      <c r="G18" s="626"/>
      <c r="H18" s="626"/>
    </row>
    <row r="19" spans="1:8">
      <c r="A19" s="1114">
        <v>7</v>
      </c>
      <c r="C19" s="1155" t="s">
        <v>273</v>
      </c>
      <c r="D19" s="1160">
        <v>5133000</v>
      </c>
      <c r="E19" s="875"/>
      <c r="F19" s="626"/>
      <c r="G19" s="626"/>
      <c r="H19" s="626"/>
    </row>
    <row r="20" spans="1:8">
      <c r="A20" s="1114">
        <v>8</v>
      </c>
      <c r="C20" s="1155" t="s">
        <v>165</v>
      </c>
      <c r="D20" s="1160">
        <v>5036000</v>
      </c>
      <c r="E20" s="875"/>
      <c r="F20" s="626"/>
      <c r="G20" s="626"/>
      <c r="H20" s="626"/>
    </row>
    <row r="21" spans="1:8">
      <c r="A21" s="1114">
        <v>9</v>
      </c>
      <c r="C21" s="1155" t="s">
        <v>274</v>
      </c>
      <c r="D21" s="1160">
        <v>5119000</v>
      </c>
      <c r="E21" s="875"/>
      <c r="F21" s="626"/>
      <c r="G21" s="626"/>
      <c r="H21" s="626"/>
    </row>
    <row r="22" spans="1:8">
      <c r="A22" s="1114">
        <v>10</v>
      </c>
      <c r="C22" s="1155" t="s">
        <v>275</v>
      </c>
      <c r="D22" s="1160">
        <v>4639000</v>
      </c>
      <c r="E22" s="875"/>
      <c r="F22" s="626"/>
      <c r="G22" s="626"/>
      <c r="H22" s="626"/>
    </row>
    <row r="23" spans="1:8">
      <c r="A23" s="1114">
        <v>11</v>
      </c>
      <c r="C23" s="1155" t="s">
        <v>276</v>
      </c>
      <c r="D23" s="1160">
        <v>3975000</v>
      </c>
      <c r="E23" s="875"/>
      <c r="F23" s="626"/>
      <c r="G23" s="626"/>
      <c r="H23" s="626"/>
    </row>
    <row r="24" spans="1:8" ht="15">
      <c r="A24" s="1114">
        <v>12</v>
      </c>
      <c r="C24" s="1155" t="s">
        <v>166</v>
      </c>
      <c r="D24" s="1161">
        <v>3990000</v>
      </c>
      <c r="E24" s="875"/>
      <c r="F24" s="626"/>
      <c r="G24" s="626"/>
      <c r="H24" s="626"/>
    </row>
    <row r="25" spans="1:8">
      <c r="A25" s="1114">
        <v>13</v>
      </c>
      <c r="C25" s="1155" t="s">
        <v>12</v>
      </c>
      <c r="D25" s="1162">
        <f>SUM(D13:D24)</f>
        <v>53843000</v>
      </c>
      <c r="E25" s="875"/>
      <c r="F25" s="626"/>
      <c r="G25" s="626"/>
      <c r="H25" s="626"/>
    </row>
    <row r="26" spans="1:8">
      <c r="A26" s="1114"/>
      <c r="C26" s="1155"/>
      <c r="D26" s="1162"/>
      <c r="E26" s="875"/>
      <c r="F26" s="626"/>
      <c r="G26" s="626"/>
      <c r="H26" s="626"/>
    </row>
    <row r="27" spans="1:8" ht="15">
      <c r="A27" s="1114">
        <v>14</v>
      </c>
      <c r="C27" s="1155" t="s">
        <v>167</v>
      </c>
      <c r="D27" s="1163">
        <f>ROUND(D25/12,0)</f>
        <v>4486917</v>
      </c>
      <c r="E27" s="875"/>
      <c r="F27" s="626"/>
      <c r="G27" s="626"/>
      <c r="H27" s="626"/>
    </row>
    <row r="28" spans="1:8">
      <c r="A28" s="1114"/>
      <c r="D28" s="626"/>
      <c r="E28" s="626"/>
      <c r="F28" s="626"/>
      <c r="G28" s="626"/>
      <c r="H28" s="626"/>
    </row>
    <row r="30" spans="1:8" ht="16.8">
      <c r="A30" s="1164" t="s">
        <v>168</v>
      </c>
      <c r="B30" s="1155"/>
      <c r="C30" s="1155"/>
      <c r="D30" s="495"/>
      <c r="E30" s="83"/>
      <c r="F30" s="83"/>
      <c r="G30" s="83"/>
      <c r="H30" s="83"/>
    </row>
    <row r="31" spans="1:8">
      <c r="A31" s="568" t="s">
        <v>921</v>
      </c>
      <c r="B31" s="1155"/>
      <c r="C31" s="1155"/>
      <c r="D31" s="411"/>
    </row>
    <row r="32" spans="1:8">
      <c r="A32" s="1165" t="s">
        <v>922</v>
      </c>
      <c r="B32" s="1155"/>
      <c r="C32" s="567"/>
    </row>
    <row r="33" spans="1:11" ht="15">
      <c r="A33" s="1165" t="s">
        <v>923</v>
      </c>
      <c r="B33" s="1155"/>
      <c r="C33" s="570"/>
    </row>
    <row r="34" spans="1:11">
      <c r="C34" s="412"/>
      <c r="D34" s="411"/>
      <c r="E34" s="411"/>
      <c r="F34" s="411"/>
      <c r="G34" s="411"/>
    </row>
    <row r="35" spans="1:11">
      <c r="E35" s="411"/>
      <c r="F35" s="411"/>
      <c r="G35" s="411"/>
    </row>
    <row r="36" spans="1:11">
      <c r="E36" s="411"/>
      <c r="F36" s="411"/>
      <c r="G36" s="411"/>
    </row>
    <row r="37" spans="1:11">
      <c r="E37" s="411"/>
      <c r="F37" s="411"/>
      <c r="G37" s="411"/>
      <c r="K37" s="254"/>
    </row>
    <row r="38" spans="1:11">
      <c r="E38" s="411"/>
      <c r="F38" s="411"/>
      <c r="G38" s="411"/>
      <c r="K38" s="254"/>
    </row>
    <row r="39" spans="1:11">
      <c r="C39" s="254"/>
    </row>
  </sheetData>
  <phoneticPr fontId="35" type="noConversion"/>
  <pageMargins left="1" right="0.5" top="1" bottom="0.5" header="0.25" footer="0.25"/>
  <pageSetup fitToHeight="2" orientation="portrait" blackAndWhite="1"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
    <tabColor theme="1"/>
    <pageSetUpPr fitToPage="1"/>
  </sheetPr>
  <dimension ref="B1:Q49"/>
  <sheetViews>
    <sheetView zoomScale="70" zoomScaleNormal="70" workbookViewId="0"/>
  </sheetViews>
  <sheetFormatPr defaultColWidth="7.453125" defaultRowHeight="15"/>
  <cols>
    <col min="1" max="1" width="7.453125" style="703"/>
    <col min="2" max="2" width="5.36328125" style="703" customWidth="1"/>
    <col min="3" max="3" width="8.54296875" style="703" customWidth="1"/>
    <col min="4" max="4" width="60.1796875" style="703" customWidth="1"/>
    <col min="5" max="5" width="1.36328125" style="703" customWidth="1"/>
    <col min="6" max="6" width="12.54296875" style="703" customWidth="1"/>
    <col min="7" max="7" width="13.453125" style="703" customWidth="1"/>
    <col min="8" max="8" width="13" style="703" bestFit="1" customWidth="1"/>
    <col min="9" max="9" width="1.36328125" style="703" customWidth="1"/>
    <col min="10" max="10" width="63.90625" style="703" customWidth="1"/>
    <col min="11" max="11" width="11.6328125" style="703" customWidth="1"/>
    <col min="12" max="12" width="2.1796875" style="703" customWidth="1"/>
    <col min="13" max="16384" width="7.453125" style="703"/>
  </cols>
  <sheetData>
    <row r="1" spans="2:17" ht="15.6">
      <c r="B1" s="704" t="s">
        <v>181</v>
      </c>
      <c r="C1" s="704"/>
      <c r="D1" s="704"/>
      <c r="E1" s="704"/>
      <c r="F1" s="704"/>
      <c r="G1" s="704"/>
      <c r="H1" s="704"/>
      <c r="I1" s="704"/>
      <c r="J1" s="704"/>
      <c r="K1" s="704"/>
      <c r="M1" s="769"/>
      <c r="N1" s="769"/>
      <c r="O1" s="769"/>
      <c r="P1" s="769"/>
      <c r="Q1" s="769"/>
    </row>
    <row r="2" spans="2:17" ht="15.6">
      <c r="B2" s="969" t="s">
        <v>845</v>
      </c>
      <c r="C2" s="704"/>
      <c r="D2" s="704"/>
      <c r="E2" s="704"/>
      <c r="F2" s="704"/>
      <c r="G2" s="704"/>
      <c r="H2" s="704"/>
      <c r="I2" s="704"/>
      <c r="J2" s="704"/>
      <c r="K2" s="704"/>
      <c r="M2" s="769"/>
      <c r="N2" s="769"/>
      <c r="O2" s="769"/>
      <c r="P2" s="769"/>
      <c r="Q2" s="769"/>
    </row>
    <row r="3" spans="2:17" ht="15.6">
      <c r="B3" s="704" t="s">
        <v>639</v>
      </c>
      <c r="C3" s="704"/>
      <c r="D3" s="704"/>
      <c r="E3" s="704"/>
      <c r="F3" s="704"/>
      <c r="G3" s="704"/>
      <c r="H3" s="704"/>
      <c r="I3" s="704"/>
      <c r="J3" s="704"/>
      <c r="K3" s="704"/>
    </row>
    <row r="4" spans="2:17" ht="15.6">
      <c r="B4" s="969" t="s">
        <v>846</v>
      </c>
      <c r="C4" s="704"/>
      <c r="D4" s="704"/>
      <c r="E4" s="704"/>
      <c r="F4" s="704"/>
      <c r="G4" s="704"/>
      <c r="H4" s="704"/>
      <c r="I4" s="704"/>
      <c r="J4" s="704"/>
      <c r="K4" s="704"/>
    </row>
    <row r="5" spans="2:17" ht="15.6">
      <c r="B5" s="704"/>
      <c r="C5" s="704"/>
      <c r="D5" s="704"/>
      <c r="E5" s="704"/>
      <c r="F5" s="704"/>
      <c r="G5" s="704"/>
      <c r="H5" s="704"/>
      <c r="I5" s="704"/>
      <c r="J5" s="704"/>
      <c r="K5" s="516" t="s">
        <v>406</v>
      </c>
    </row>
    <row r="6" spans="2:17" ht="15.6">
      <c r="B6" s="704"/>
      <c r="C6" s="704"/>
      <c r="D6" s="704"/>
      <c r="E6" s="704"/>
      <c r="F6" s="704"/>
      <c r="G6" s="704"/>
      <c r="H6" s="704"/>
      <c r="I6" s="704"/>
      <c r="J6" s="704"/>
      <c r="K6" s="514" t="str">
        <f>"Page 11 of "&amp;Workpaper</f>
        <v>Page 11 of 17</v>
      </c>
    </row>
    <row r="7" spans="2:17" ht="15.6">
      <c r="B7" s="704"/>
      <c r="C7" s="704"/>
      <c r="D7" s="704"/>
      <c r="E7" s="704"/>
      <c r="F7" s="704"/>
      <c r="G7" s="704"/>
      <c r="H7" s="704"/>
      <c r="I7" s="704"/>
      <c r="J7" s="704"/>
      <c r="K7" s="261" t="str">
        <f>"For the 12 months ended: "&amp;TEXT(INPUT!$B$1,"mm/dd/yyyy")</f>
        <v>For the 12 months ended: 12/31/2018</v>
      </c>
    </row>
    <row r="9" spans="2:17" ht="15.6">
      <c r="B9" s="705"/>
      <c r="C9" s="706" t="s">
        <v>640</v>
      </c>
      <c r="D9" s="707"/>
      <c r="E9" s="707"/>
      <c r="F9" s="707"/>
      <c r="G9" s="707"/>
      <c r="H9" s="707"/>
      <c r="I9" s="707"/>
      <c r="J9" s="707"/>
      <c r="K9" s="708"/>
    </row>
    <row r="10" spans="2:17" ht="34.5" customHeight="1">
      <c r="B10" s="709" t="s">
        <v>8</v>
      </c>
      <c r="C10" s="710" t="s">
        <v>641</v>
      </c>
      <c r="D10" s="707" t="s">
        <v>642</v>
      </c>
      <c r="E10" s="707"/>
      <c r="F10" s="707"/>
      <c r="G10" s="707"/>
      <c r="H10" s="707"/>
      <c r="I10" s="711"/>
      <c r="J10" s="706" t="s">
        <v>654</v>
      </c>
      <c r="K10" s="712"/>
    </row>
    <row r="11" spans="2:17" ht="15.6">
      <c r="B11" s="713"/>
      <c r="C11" s="714"/>
      <c r="D11" s="715"/>
      <c r="E11" s="715"/>
      <c r="F11" s="716"/>
      <c r="G11" s="716"/>
      <c r="H11" s="716"/>
      <c r="I11" s="717"/>
      <c r="J11" s="718"/>
      <c r="K11" s="719"/>
      <c r="L11" s="717"/>
    </row>
    <row r="12" spans="2:17" ht="61.2" customHeight="1">
      <c r="B12" s="720">
        <v>1</v>
      </c>
      <c r="C12" s="721">
        <v>926</v>
      </c>
      <c r="E12" s="717"/>
      <c r="F12" s="722" t="s">
        <v>643</v>
      </c>
      <c r="G12" s="722" t="s">
        <v>644</v>
      </c>
      <c r="H12" s="722" t="s">
        <v>645</v>
      </c>
      <c r="I12" s="717"/>
      <c r="J12" s="723"/>
      <c r="K12" s="719"/>
      <c r="L12" s="717"/>
    </row>
    <row r="13" spans="2:17">
      <c r="B13" s="720">
        <f t="shared" ref="B13:B42" si="0">B12+1</f>
        <v>2</v>
      </c>
      <c r="C13" s="713"/>
      <c r="D13" s="729" t="s">
        <v>646</v>
      </c>
      <c r="E13" s="717"/>
      <c r="F13" s="717"/>
      <c r="G13" s="717"/>
      <c r="H13" s="717"/>
      <c r="I13" s="717"/>
      <c r="J13" s="723"/>
      <c r="K13" s="719"/>
      <c r="L13" s="717"/>
    </row>
    <row r="14" spans="2:17" ht="45">
      <c r="B14" s="728">
        <f t="shared" si="0"/>
        <v>3</v>
      </c>
      <c r="C14" s="765"/>
      <c r="D14" s="766" t="s">
        <v>888</v>
      </c>
      <c r="E14" s="730"/>
      <c r="F14" s="1148">
        <v>305824</v>
      </c>
      <c r="G14" s="1148">
        <v>1782753</v>
      </c>
      <c r="H14" s="725"/>
      <c r="I14" s="717"/>
      <c r="J14" s="731" t="s">
        <v>873</v>
      </c>
      <c r="K14" s="973" t="s">
        <v>874</v>
      </c>
      <c r="L14" s="717"/>
    </row>
    <row r="15" spans="2:17">
      <c r="B15" s="720">
        <f t="shared" si="0"/>
        <v>4</v>
      </c>
      <c r="C15" s="713"/>
      <c r="D15" s="724" t="s">
        <v>889</v>
      </c>
      <c r="E15" s="717"/>
      <c r="F15" s="737"/>
      <c r="G15" s="737"/>
      <c r="H15" s="727"/>
      <c r="I15" s="717"/>
      <c r="J15" s="726"/>
      <c r="K15" s="739"/>
      <c r="L15" s="717"/>
    </row>
    <row r="16" spans="2:17" ht="52.2" customHeight="1">
      <c r="B16" s="728">
        <f t="shared" si="0"/>
        <v>5</v>
      </c>
      <c r="C16" s="765"/>
      <c r="D16" s="766" t="s">
        <v>649</v>
      </c>
      <c r="E16" s="717"/>
      <c r="F16" s="1171">
        <v>154760</v>
      </c>
      <c r="G16" s="1171">
        <v>-197530</v>
      </c>
      <c r="H16" s="727"/>
      <c r="I16" s="717"/>
      <c r="J16" s="1172" t="s">
        <v>925</v>
      </c>
      <c r="K16" s="973" t="s">
        <v>913</v>
      </c>
      <c r="L16" s="717"/>
    </row>
    <row r="17" spans="2:12" ht="52.95" customHeight="1">
      <c r="B17" s="728">
        <f t="shared" si="0"/>
        <v>6</v>
      </c>
      <c r="C17" s="765"/>
      <c r="D17" s="766" t="s">
        <v>650</v>
      </c>
      <c r="E17" s="717"/>
      <c r="F17" s="1171">
        <v>0</v>
      </c>
      <c r="G17" s="1171">
        <v>-669701</v>
      </c>
      <c r="H17" s="727"/>
      <c r="I17" s="717"/>
      <c r="J17" s="1172" t="s">
        <v>925</v>
      </c>
      <c r="K17" s="973" t="s">
        <v>914</v>
      </c>
      <c r="L17" s="717"/>
    </row>
    <row r="18" spans="2:12">
      <c r="B18" s="720">
        <f t="shared" si="0"/>
        <v>7</v>
      </c>
      <c r="C18" s="713"/>
      <c r="D18" s="724" t="s">
        <v>890</v>
      </c>
      <c r="E18" s="717"/>
      <c r="F18" s="737">
        <v>456216</v>
      </c>
      <c r="G18" s="737">
        <v>3429900</v>
      </c>
      <c r="H18" s="727"/>
      <c r="I18" s="717"/>
      <c r="J18" s="726" t="s">
        <v>694</v>
      </c>
      <c r="K18" s="739"/>
      <c r="L18" s="717"/>
    </row>
    <row r="19" spans="2:12">
      <c r="B19" s="720">
        <f t="shared" si="0"/>
        <v>8</v>
      </c>
      <c r="C19" s="713"/>
      <c r="D19" s="717"/>
      <c r="E19" s="717"/>
      <c r="F19" s="737"/>
      <c r="G19" s="737"/>
      <c r="H19" s="717"/>
      <c r="I19" s="717"/>
      <c r="J19" s="723"/>
      <c r="K19" s="739"/>
      <c r="L19" s="717"/>
    </row>
    <row r="20" spans="2:12" ht="15.6" thickBot="1">
      <c r="B20" s="720">
        <f t="shared" si="0"/>
        <v>9</v>
      </c>
      <c r="C20" s="713"/>
      <c r="D20" s="724" t="s">
        <v>891</v>
      </c>
      <c r="E20" s="717"/>
      <c r="F20" s="1149">
        <f>SUM(F14:F19)</f>
        <v>916800</v>
      </c>
      <c r="G20" s="1149">
        <f>SUM(G14:G19)</f>
        <v>4345422</v>
      </c>
      <c r="H20" s="727"/>
      <c r="I20" s="717"/>
      <c r="J20" s="723"/>
      <c r="K20" s="739"/>
      <c r="L20" s="717"/>
    </row>
    <row r="21" spans="2:12" ht="15.6" thickTop="1">
      <c r="B21" s="720">
        <f t="shared" si="0"/>
        <v>10</v>
      </c>
      <c r="C21" s="713"/>
      <c r="D21" s="724"/>
      <c r="E21" s="717"/>
      <c r="F21" s="727"/>
      <c r="G21" s="727"/>
      <c r="H21" s="727"/>
      <c r="I21" s="717"/>
      <c r="J21" s="723"/>
      <c r="K21" s="739"/>
      <c r="L21" s="717"/>
    </row>
    <row r="22" spans="2:12">
      <c r="B22" s="720">
        <f t="shared" si="0"/>
        <v>11</v>
      </c>
      <c r="C22" s="713"/>
      <c r="D22" s="729" t="s">
        <v>878</v>
      </c>
      <c r="E22" s="730"/>
      <c r="F22" s="876">
        <v>0.63019999999999998</v>
      </c>
      <c r="G22" s="876">
        <v>1</v>
      </c>
      <c r="H22" s="727"/>
      <c r="I22" s="717"/>
      <c r="J22" s="731" t="s">
        <v>849</v>
      </c>
      <c r="K22" s="739"/>
      <c r="L22" s="717"/>
    </row>
    <row r="23" spans="2:12" ht="21.6" customHeight="1">
      <c r="B23" s="720">
        <f t="shared" si="0"/>
        <v>12</v>
      </c>
      <c r="C23" s="765"/>
      <c r="D23" s="766" t="s">
        <v>693</v>
      </c>
      <c r="E23" s="730"/>
      <c r="F23" s="876">
        <v>0.70310000000000006</v>
      </c>
      <c r="G23" s="768"/>
      <c r="H23" s="767"/>
      <c r="I23" s="730"/>
      <c r="J23" s="901" t="s">
        <v>850</v>
      </c>
      <c r="K23" s="739"/>
      <c r="L23" s="717"/>
    </row>
    <row r="24" spans="2:12">
      <c r="B24" s="720">
        <f t="shared" si="0"/>
        <v>13</v>
      </c>
      <c r="C24" s="713"/>
      <c r="D24" s="724" t="s">
        <v>892</v>
      </c>
      <c r="E24" s="717"/>
      <c r="F24" s="737"/>
      <c r="G24" s="877">
        <v>0.10275240209416581</v>
      </c>
      <c r="H24" s="727"/>
      <c r="I24" s="717"/>
      <c r="J24" s="726" t="s">
        <v>851</v>
      </c>
      <c r="K24" s="739"/>
      <c r="L24" s="717"/>
    </row>
    <row r="25" spans="2:12">
      <c r="B25" s="720">
        <f t="shared" si="0"/>
        <v>14</v>
      </c>
      <c r="C25" s="713"/>
      <c r="D25" s="717" t="s">
        <v>893</v>
      </c>
      <c r="E25" s="717"/>
      <c r="F25" s="727"/>
      <c r="G25" s="727"/>
      <c r="H25" s="1148">
        <v>-29897</v>
      </c>
      <c r="I25" s="717"/>
      <c r="J25" s="723"/>
      <c r="K25" s="739"/>
      <c r="L25" s="717"/>
    </row>
    <row r="26" spans="2:12">
      <c r="B26" s="720">
        <f t="shared" si="0"/>
        <v>15</v>
      </c>
      <c r="C26" s="713"/>
      <c r="F26" s="769"/>
      <c r="G26" s="769"/>
      <c r="H26" s="769"/>
      <c r="I26" s="717"/>
      <c r="J26" s="723"/>
      <c r="K26" s="739"/>
      <c r="L26" s="717"/>
    </row>
    <row r="27" spans="2:12">
      <c r="B27" s="720">
        <f t="shared" si="0"/>
        <v>16</v>
      </c>
      <c r="C27" s="713"/>
      <c r="D27" s="724" t="s">
        <v>894</v>
      </c>
      <c r="E27" s="717"/>
      <c r="F27" s="1150">
        <f>ROUND((F20*F22*F23),0)</f>
        <v>406228</v>
      </c>
      <c r="G27" s="1150">
        <f>ROUND(G20*G22*G24,0)</f>
        <v>446503</v>
      </c>
      <c r="H27" s="1151">
        <f>SUM(F27:G27)</f>
        <v>852731</v>
      </c>
      <c r="I27" s="717"/>
      <c r="J27" s="723"/>
      <c r="K27" s="739"/>
      <c r="L27" s="717"/>
    </row>
    <row r="28" spans="2:12">
      <c r="B28" s="720">
        <f t="shared" si="0"/>
        <v>17</v>
      </c>
      <c r="C28" s="713"/>
      <c r="D28" s="717"/>
      <c r="E28" s="717"/>
      <c r="F28" s="727"/>
      <c r="G28" s="727"/>
      <c r="H28" s="717"/>
      <c r="I28" s="717"/>
      <c r="J28" s="723"/>
      <c r="K28" s="739"/>
      <c r="L28" s="717"/>
    </row>
    <row r="29" spans="2:12">
      <c r="B29" s="720">
        <f t="shared" si="0"/>
        <v>18</v>
      </c>
      <c r="C29" s="713"/>
      <c r="D29" s="717" t="s">
        <v>895</v>
      </c>
      <c r="E29" s="717"/>
      <c r="F29" s="727"/>
      <c r="G29" s="727"/>
      <c r="H29" s="1152">
        <f>H25+H27</f>
        <v>822834</v>
      </c>
      <c r="I29" s="717"/>
      <c r="J29" s="723"/>
      <c r="K29" s="739"/>
      <c r="L29" s="717"/>
    </row>
    <row r="30" spans="2:12">
      <c r="B30" s="720">
        <f t="shared" si="0"/>
        <v>19</v>
      </c>
      <c r="C30" s="713"/>
      <c r="D30" s="717"/>
      <c r="E30" s="717"/>
      <c r="F30" s="727"/>
      <c r="G30" s="727"/>
      <c r="H30" s="717"/>
      <c r="I30" s="717"/>
      <c r="J30" s="723"/>
      <c r="K30" s="739"/>
      <c r="L30" s="717"/>
    </row>
    <row r="31" spans="2:12">
      <c r="B31" s="720">
        <f t="shared" si="0"/>
        <v>20</v>
      </c>
      <c r="C31" s="713"/>
      <c r="D31" s="724" t="s">
        <v>646</v>
      </c>
      <c r="E31" s="717"/>
      <c r="F31" s="727"/>
      <c r="G31" s="727"/>
      <c r="H31" s="717"/>
      <c r="I31" s="717"/>
      <c r="J31" s="723"/>
      <c r="K31" s="739"/>
      <c r="L31" s="717"/>
    </row>
    <row r="32" spans="2:12" ht="45">
      <c r="B32" s="728">
        <f t="shared" si="0"/>
        <v>21</v>
      </c>
      <c r="C32" s="765"/>
      <c r="D32" s="766" t="s">
        <v>883</v>
      </c>
      <c r="E32" s="730"/>
      <c r="F32" s="1148">
        <v>365863</v>
      </c>
      <c r="G32" s="1148">
        <v>41310</v>
      </c>
      <c r="H32" s="717"/>
      <c r="I32" s="717"/>
      <c r="J32" s="731" t="s">
        <v>873</v>
      </c>
      <c r="K32" s="973" t="s">
        <v>874</v>
      </c>
      <c r="L32" s="717"/>
    </row>
    <row r="33" spans="2:12">
      <c r="B33" s="720">
        <f t="shared" si="0"/>
        <v>22</v>
      </c>
      <c r="C33" s="713"/>
      <c r="D33" s="724" t="s">
        <v>647</v>
      </c>
      <c r="E33" s="717"/>
      <c r="F33" s="1104">
        <v>1584346</v>
      </c>
      <c r="G33" s="1104"/>
      <c r="H33" s="717"/>
      <c r="I33" s="717"/>
      <c r="J33" s="726" t="s">
        <v>919</v>
      </c>
      <c r="K33" s="1154"/>
      <c r="L33" s="717"/>
    </row>
    <row r="34" spans="2:12">
      <c r="B34" s="720">
        <f t="shared" si="0"/>
        <v>23</v>
      </c>
      <c r="C34" s="713"/>
      <c r="D34" s="724" t="s">
        <v>884</v>
      </c>
      <c r="E34" s="717"/>
      <c r="F34" s="1152">
        <f>F32+F33</f>
        <v>1950209</v>
      </c>
      <c r="G34" s="1152">
        <f>G32+G33</f>
        <v>41310</v>
      </c>
      <c r="H34" s="717"/>
      <c r="I34" s="717"/>
      <c r="J34" s="723"/>
      <c r="K34" s="739"/>
      <c r="L34" s="717"/>
    </row>
    <row r="35" spans="2:12">
      <c r="B35" s="720">
        <f t="shared" si="0"/>
        <v>24</v>
      </c>
      <c r="C35" s="713"/>
      <c r="D35" s="717"/>
      <c r="E35" s="717"/>
      <c r="F35" s="727"/>
      <c r="G35" s="727"/>
      <c r="H35" s="717"/>
      <c r="I35" s="717"/>
      <c r="J35" s="723"/>
      <c r="K35" s="739"/>
      <c r="L35" s="717"/>
    </row>
    <row r="36" spans="2:12">
      <c r="B36" s="720">
        <f t="shared" si="0"/>
        <v>25</v>
      </c>
      <c r="C36" s="713"/>
      <c r="D36" s="766" t="s">
        <v>693</v>
      </c>
      <c r="E36" s="717"/>
      <c r="F36" s="876">
        <f>F23</f>
        <v>0.70310000000000006</v>
      </c>
      <c r="G36" s="876"/>
      <c r="H36" s="717"/>
      <c r="I36" s="717"/>
      <c r="J36" s="901" t="s">
        <v>850</v>
      </c>
      <c r="K36" s="739"/>
      <c r="L36" s="717"/>
    </row>
    <row r="37" spans="2:12">
      <c r="B37" s="720">
        <f t="shared" si="0"/>
        <v>26</v>
      </c>
      <c r="C37" s="713"/>
      <c r="D37" s="724" t="s">
        <v>896</v>
      </c>
      <c r="E37" s="717"/>
      <c r="F37" s="876"/>
      <c r="G37" s="876">
        <v>0.11053051318642523</v>
      </c>
      <c r="H37" s="717"/>
      <c r="I37" s="717"/>
      <c r="J37" s="726" t="s">
        <v>897</v>
      </c>
      <c r="K37" s="739"/>
      <c r="L37" s="717"/>
    </row>
    <row r="38" spans="2:12">
      <c r="B38" s="720">
        <f t="shared" si="0"/>
        <v>27</v>
      </c>
      <c r="C38" s="713"/>
      <c r="D38" s="724"/>
      <c r="E38" s="717"/>
      <c r="F38" s="1105"/>
      <c r="G38" s="1105"/>
      <c r="H38" s="717"/>
      <c r="I38" s="717"/>
      <c r="J38" s="723"/>
      <c r="K38" s="739"/>
      <c r="L38" s="717"/>
    </row>
    <row r="39" spans="2:12" ht="30">
      <c r="B39" s="728">
        <f t="shared" si="0"/>
        <v>28</v>
      </c>
      <c r="C39" s="713"/>
      <c r="D39" s="977" t="s">
        <v>898</v>
      </c>
      <c r="E39" s="717"/>
      <c r="F39" s="1150">
        <f>ROUND((F34*F36),0)</f>
        <v>1371192</v>
      </c>
      <c r="G39" s="1150">
        <f>ROUND((G34*G37),0)</f>
        <v>4566</v>
      </c>
      <c r="H39" s="1153">
        <f>F39+G39</f>
        <v>1375758</v>
      </c>
      <c r="I39" s="717"/>
      <c r="J39" s="723"/>
      <c r="K39" s="739"/>
      <c r="L39" s="717"/>
    </row>
    <row r="40" spans="2:12">
      <c r="B40" s="720">
        <f t="shared" si="0"/>
        <v>29</v>
      </c>
      <c r="C40" s="713"/>
      <c r="D40" s="724"/>
      <c r="E40" s="717"/>
      <c r="F40" s="727"/>
      <c r="G40" s="727"/>
      <c r="H40" s="717"/>
      <c r="I40" s="717"/>
      <c r="J40" s="723"/>
      <c r="K40" s="739"/>
      <c r="L40" s="717"/>
    </row>
    <row r="41" spans="2:12">
      <c r="B41" s="720">
        <f t="shared" si="0"/>
        <v>30</v>
      </c>
      <c r="C41" s="713"/>
      <c r="D41" s="717"/>
      <c r="E41" s="717"/>
      <c r="F41" s="727"/>
      <c r="G41" s="727"/>
      <c r="H41" s="717"/>
      <c r="I41" s="717"/>
      <c r="J41" s="723"/>
      <c r="K41" s="739"/>
      <c r="L41" s="717"/>
    </row>
    <row r="42" spans="2:12" ht="16.2" thickBot="1">
      <c r="B42" s="720">
        <f t="shared" si="0"/>
        <v>31</v>
      </c>
      <c r="C42" s="713"/>
      <c r="D42" s="734" t="s">
        <v>916</v>
      </c>
      <c r="E42" s="717"/>
      <c r="F42" s="727"/>
      <c r="G42" s="727"/>
      <c r="H42" s="878">
        <f>H29+H39</f>
        <v>2198592</v>
      </c>
      <c r="I42" s="717"/>
      <c r="J42" s="723"/>
      <c r="K42" s="739"/>
      <c r="L42" s="717"/>
    </row>
    <row r="43" spans="2:12" ht="15.6" thickTop="1">
      <c r="B43" s="720"/>
      <c r="C43" s="735"/>
      <c r="D43" s="717"/>
      <c r="E43" s="717"/>
      <c r="F43" s="717"/>
      <c r="G43" s="732"/>
      <c r="H43" s="727"/>
      <c r="I43" s="717"/>
      <c r="J43" s="723"/>
      <c r="K43" s="740"/>
      <c r="L43" s="717"/>
    </row>
    <row r="44" spans="2:12">
      <c r="B44" s="736"/>
      <c r="D44" s="736"/>
      <c r="E44" s="736"/>
      <c r="F44" s="736"/>
      <c r="H44" s="736"/>
      <c r="I44" s="736"/>
      <c r="J44" s="736"/>
      <c r="K44" s="736"/>
      <c r="L44" s="717"/>
    </row>
    <row r="45" spans="2:12">
      <c r="B45" s="717"/>
      <c r="D45" s="717"/>
      <c r="E45" s="717"/>
      <c r="F45" s="717"/>
      <c r="H45" s="717"/>
      <c r="I45" s="717"/>
      <c r="J45" s="717"/>
      <c r="K45" s="717"/>
      <c r="L45" s="717"/>
    </row>
    <row r="46" spans="2:12">
      <c r="H46" s="737"/>
    </row>
    <row r="47" spans="2:12">
      <c r="H47" s="738"/>
    </row>
    <row r="48" spans="2:12">
      <c r="F48" s="733"/>
      <c r="G48" s="733"/>
    </row>
    <row r="49" spans="6:11">
      <c r="F49" s="737"/>
      <c r="K49" s="771"/>
    </row>
  </sheetData>
  <printOptions horizontalCentered="1"/>
  <pageMargins left="0.45" right="0.45" top="1" bottom="0.75" header="0.3" footer="0.3"/>
  <pageSetup scale="5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tabColor theme="1"/>
    <pageSetUpPr fitToPage="1"/>
  </sheetPr>
  <dimension ref="B1:P55"/>
  <sheetViews>
    <sheetView zoomScale="70" zoomScaleNormal="70" workbookViewId="0"/>
  </sheetViews>
  <sheetFormatPr defaultColWidth="7.453125" defaultRowHeight="15"/>
  <cols>
    <col min="1" max="1" width="7.453125" style="703"/>
    <col min="2" max="2" width="5.36328125" style="703" customWidth="1"/>
    <col min="3" max="3" width="8.54296875" style="703" customWidth="1"/>
    <col min="4" max="4" width="60.08984375" style="703" customWidth="1"/>
    <col min="5" max="5" width="1.36328125" style="703" customWidth="1"/>
    <col min="6" max="6" width="12.54296875" style="703" customWidth="1"/>
    <col min="7" max="7" width="13.453125" style="703" customWidth="1"/>
    <col min="8" max="8" width="13" style="703" bestFit="1" customWidth="1"/>
    <col min="9" max="9" width="1.36328125" style="703" customWidth="1"/>
    <col min="10" max="10" width="63.90625" style="703" customWidth="1"/>
    <col min="11" max="11" width="11.81640625" style="703" customWidth="1"/>
    <col min="12" max="12" width="2.1796875" style="703" customWidth="1"/>
    <col min="13" max="16384" width="7.453125" style="703"/>
  </cols>
  <sheetData>
    <row r="1" spans="2:16" ht="15.6">
      <c r="B1" s="704" t="s">
        <v>182</v>
      </c>
      <c r="C1" s="704"/>
      <c r="D1" s="704"/>
      <c r="E1" s="704"/>
      <c r="F1" s="704"/>
      <c r="G1" s="704"/>
      <c r="H1" s="704"/>
      <c r="I1" s="704"/>
      <c r="J1" s="704"/>
      <c r="K1" s="704"/>
    </row>
    <row r="2" spans="2:16" ht="15.6">
      <c r="B2" s="704" t="str">
        <f>'P11 PBOP - DEO'!B2</f>
        <v>2018 OATT Annual Update</v>
      </c>
      <c r="C2" s="704"/>
      <c r="D2" s="704"/>
      <c r="E2" s="704"/>
      <c r="F2" s="704"/>
      <c r="G2" s="704"/>
      <c r="H2" s="704"/>
      <c r="I2" s="704"/>
      <c r="J2" s="704"/>
      <c r="K2" s="704"/>
    </row>
    <row r="3" spans="2:16" ht="15.6">
      <c r="B3" s="704" t="s">
        <v>639</v>
      </c>
      <c r="C3" s="704"/>
      <c r="D3" s="704"/>
      <c r="E3" s="704"/>
      <c r="F3" s="704"/>
      <c r="G3" s="704"/>
      <c r="H3" s="704"/>
      <c r="I3" s="704"/>
      <c r="J3" s="704"/>
      <c r="K3" s="704"/>
    </row>
    <row r="4" spans="2:16" ht="15.6">
      <c r="B4" s="704" t="str">
        <f>'P11 PBOP - DEO'!B4</f>
        <v>Included in 2018 FERC Form 1 Data</v>
      </c>
      <c r="C4" s="704"/>
      <c r="D4" s="704"/>
      <c r="E4" s="704"/>
      <c r="F4" s="704"/>
      <c r="G4" s="704"/>
      <c r="H4" s="704"/>
      <c r="I4" s="704"/>
      <c r="J4" s="704"/>
      <c r="K4" s="704"/>
    </row>
    <row r="5" spans="2:16" ht="15.6">
      <c r="B5" s="704"/>
      <c r="C5" s="704"/>
      <c r="D5" s="704"/>
      <c r="E5" s="704"/>
      <c r="F5" s="704"/>
      <c r="G5" s="704"/>
      <c r="H5" s="704"/>
      <c r="I5" s="704"/>
      <c r="J5" s="704"/>
      <c r="K5" s="516" t="s">
        <v>406</v>
      </c>
    </row>
    <row r="6" spans="2:16" ht="15.6">
      <c r="B6" s="704"/>
      <c r="C6" s="704"/>
      <c r="D6" s="704"/>
      <c r="E6" s="704"/>
      <c r="F6" s="704"/>
      <c r="G6" s="704"/>
      <c r="H6" s="704"/>
      <c r="I6" s="704"/>
      <c r="J6" s="704"/>
      <c r="K6" s="514" t="str">
        <f>"Page 12 of "&amp;Workpaper</f>
        <v>Page 12 of 17</v>
      </c>
    </row>
    <row r="7" spans="2:16" ht="15.6">
      <c r="B7" s="704"/>
      <c r="C7" s="704"/>
      <c r="D7" s="704"/>
      <c r="E7" s="704"/>
      <c r="F7" s="704"/>
      <c r="G7" s="704"/>
      <c r="H7" s="704"/>
      <c r="I7" s="704"/>
      <c r="J7" s="704"/>
      <c r="K7" s="261" t="str">
        <f>"For the 12 months ended: "&amp;TEXT(INPUT!$B$1,"mm/dd/yyyy")</f>
        <v>For the 12 months ended: 12/31/2018</v>
      </c>
    </row>
    <row r="9" spans="2:16" ht="15.6">
      <c r="B9" s="705"/>
      <c r="C9" s="706" t="s">
        <v>640</v>
      </c>
      <c r="D9" s="707"/>
      <c r="E9" s="707"/>
      <c r="F9" s="707"/>
      <c r="G9" s="707"/>
      <c r="H9" s="707"/>
      <c r="I9" s="707"/>
      <c r="J9" s="707"/>
      <c r="K9" s="708"/>
    </row>
    <row r="10" spans="2:16" ht="34.5" customHeight="1">
      <c r="B10" s="709" t="s">
        <v>8</v>
      </c>
      <c r="C10" s="710" t="s">
        <v>641</v>
      </c>
      <c r="D10" s="707" t="s">
        <v>642</v>
      </c>
      <c r="E10" s="707"/>
      <c r="F10" s="707"/>
      <c r="G10" s="707"/>
      <c r="H10" s="707"/>
      <c r="I10" s="711"/>
      <c r="J10" s="706" t="s">
        <v>654</v>
      </c>
      <c r="K10" s="712"/>
    </row>
    <row r="11" spans="2:16" ht="15.6">
      <c r="B11" s="713"/>
      <c r="C11" s="714"/>
      <c r="D11" s="715"/>
      <c r="E11" s="715"/>
      <c r="F11" s="716"/>
      <c r="G11" s="716"/>
      <c r="H11" s="716"/>
      <c r="I11" s="717"/>
      <c r="J11" s="718"/>
      <c r="K11" s="719"/>
    </row>
    <row r="12" spans="2:16" ht="63.75" customHeight="1">
      <c r="B12" s="720">
        <v>1</v>
      </c>
      <c r="C12" s="721">
        <v>926</v>
      </c>
      <c r="E12" s="717"/>
      <c r="F12" s="722" t="s">
        <v>652</v>
      </c>
      <c r="G12" s="722" t="s">
        <v>644</v>
      </c>
      <c r="H12" s="722" t="s">
        <v>653</v>
      </c>
      <c r="I12" s="717"/>
      <c r="J12" s="723"/>
      <c r="K12" s="719"/>
    </row>
    <row r="13" spans="2:16">
      <c r="B13" s="720">
        <f t="shared" ref="B13:B42" si="0">B12+1</f>
        <v>2</v>
      </c>
      <c r="C13" s="713"/>
      <c r="D13" s="729" t="s">
        <v>646</v>
      </c>
      <c r="E13" s="717"/>
      <c r="F13" s="717"/>
      <c r="G13" s="717"/>
      <c r="H13" s="717"/>
      <c r="I13" s="717"/>
      <c r="J13" s="723"/>
      <c r="K13" s="719"/>
    </row>
    <row r="14" spans="2:16" ht="45">
      <c r="B14" s="728">
        <f t="shared" si="0"/>
        <v>3</v>
      </c>
      <c r="C14" s="765"/>
      <c r="D14" s="766" t="s">
        <v>872</v>
      </c>
      <c r="E14" s="730"/>
      <c r="F14" s="1148">
        <v>202104</v>
      </c>
      <c r="G14" s="1148">
        <v>1782753</v>
      </c>
      <c r="H14" s="725"/>
      <c r="I14" s="717"/>
      <c r="J14" s="731" t="s">
        <v>873</v>
      </c>
      <c r="K14" s="973" t="s">
        <v>874</v>
      </c>
    </row>
    <row r="15" spans="2:16">
      <c r="B15" s="720">
        <f t="shared" si="0"/>
        <v>4</v>
      </c>
      <c r="C15" s="713"/>
      <c r="D15" s="724" t="s">
        <v>648</v>
      </c>
      <c r="E15" s="717"/>
      <c r="F15" s="737"/>
      <c r="G15" s="737"/>
      <c r="H15" s="727"/>
      <c r="I15" s="717"/>
      <c r="J15" s="726"/>
      <c r="K15" s="739"/>
      <c r="M15" s="769"/>
      <c r="N15" s="769"/>
      <c r="O15" s="769"/>
      <c r="P15" s="769"/>
    </row>
    <row r="16" spans="2:16" ht="51" customHeight="1">
      <c r="B16" s="728">
        <f t="shared" si="0"/>
        <v>5</v>
      </c>
      <c r="C16" s="765"/>
      <c r="D16" s="766" t="s">
        <v>875</v>
      </c>
      <c r="E16" s="730"/>
      <c r="F16" s="1171">
        <v>238308</v>
      </c>
      <c r="G16" s="1171">
        <v>-197530</v>
      </c>
      <c r="H16" s="727"/>
      <c r="I16" s="717"/>
      <c r="J16" s="1172" t="s">
        <v>925</v>
      </c>
      <c r="K16" s="973" t="s">
        <v>915</v>
      </c>
    </row>
    <row r="17" spans="2:11" ht="51.6" customHeight="1">
      <c r="B17" s="728">
        <f t="shared" si="0"/>
        <v>6</v>
      </c>
      <c r="C17" s="765"/>
      <c r="D17" s="766" t="s">
        <v>876</v>
      </c>
      <c r="E17" s="730"/>
      <c r="F17" s="1171">
        <v>0</v>
      </c>
      <c r="G17" s="1171">
        <v>-669701</v>
      </c>
      <c r="H17" s="727"/>
      <c r="I17" s="717"/>
      <c r="J17" s="1172" t="s">
        <v>925</v>
      </c>
      <c r="K17" s="973" t="s">
        <v>914</v>
      </c>
    </row>
    <row r="18" spans="2:11">
      <c r="B18" s="720">
        <f t="shared" si="0"/>
        <v>7</v>
      </c>
      <c r="C18" s="713"/>
      <c r="D18" s="724" t="s">
        <v>651</v>
      </c>
      <c r="E18" s="717"/>
      <c r="F18" s="737">
        <v>260940</v>
      </c>
      <c r="G18" s="737">
        <v>3429900</v>
      </c>
      <c r="H18" s="727"/>
      <c r="I18" s="717"/>
      <c r="J18" s="726" t="s">
        <v>694</v>
      </c>
      <c r="K18" s="739"/>
    </row>
    <row r="19" spans="2:11">
      <c r="B19" s="720">
        <f t="shared" si="0"/>
        <v>8</v>
      </c>
      <c r="C19" s="713"/>
      <c r="D19" s="717"/>
      <c r="E19" s="717"/>
      <c r="F19" s="737"/>
      <c r="G19" s="737"/>
      <c r="H19" s="717"/>
      <c r="I19" s="717"/>
      <c r="J19" s="723"/>
      <c r="K19" s="739"/>
    </row>
    <row r="20" spans="2:11" ht="15.6" thickBot="1">
      <c r="B20" s="720">
        <f t="shared" si="0"/>
        <v>9</v>
      </c>
      <c r="C20" s="713"/>
      <c r="D20" s="724" t="s">
        <v>877</v>
      </c>
      <c r="E20" s="717"/>
      <c r="F20" s="1149">
        <f>SUM(F14:F19)</f>
        <v>701352</v>
      </c>
      <c r="G20" s="1149">
        <f t="shared" ref="G20" si="1">SUM(G14:G19)</f>
        <v>4345422</v>
      </c>
      <c r="H20" s="727"/>
      <c r="I20" s="717"/>
      <c r="J20" s="723"/>
      <c r="K20" s="739"/>
    </row>
    <row r="21" spans="2:11" ht="15.6" thickTop="1">
      <c r="B21" s="720">
        <f t="shared" si="0"/>
        <v>10</v>
      </c>
      <c r="C21" s="713"/>
      <c r="D21" s="724"/>
      <c r="E21" s="717"/>
      <c r="F21" s="727"/>
      <c r="G21" s="727"/>
      <c r="H21" s="727"/>
      <c r="I21" s="717"/>
      <c r="J21" s="723"/>
      <c r="K21" s="739"/>
    </row>
    <row r="22" spans="2:11">
      <c r="B22" s="720">
        <f t="shared" si="0"/>
        <v>11</v>
      </c>
      <c r="C22" s="713"/>
      <c r="D22" s="729" t="s">
        <v>878</v>
      </c>
      <c r="E22" s="730"/>
      <c r="F22" s="876">
        <v>0.69669999999999999</v>
      </c>
      <c r="G22" s="876">
        <v>1</v>
      </c>
      <c r="H22" s="727"/>
      <c r="I22" s="717"/>
      <c r="J22" s="731" t="s">
        <v>849</v>
      </c>
      <c r="K22" s="739"/>
    </row>
    <row r="23" spans="2:11" ht="18" customHeight="1">
      <c r="B23" s="720">
        <f t="shared" si="0"/>
        <v>12</v>
      </c>
      <c r="C23" s="765"/>
      <c r="D23" s="766" t="s">
        <v>693</v>
      </c>
      <c r="E23" s="730"/>
      <c r="F23" s="876">
        <v>0.72459999999999991</v>
      </c>
      <c r="G23" s="768"/>
      <c r="H23" s="767"/>
      <c r="I23" s="730"/>
      <c r="J23" s="901" t="s">
        <v>879</v>
      </c>
      <c r="K23" s="739"/>
    </row>
    <row r="24" spans="2:11" ht="18.75" customHeight="1">
      <c r="B24" s="720">
        <f t="shared" si="0"/>
        <v>13</v>
      </c>
      <c r="C24" s="713"/>
      <c r="D24" s="724" t="s">
        <v>880</v>
      </c>
      <c r="E24" s="717"/>
      <c r="F24" s="737"/>
      <c r="G24" s="877">
        <v>3.1983778293695253E-2</v>
      </c>
      <c r="H24" s="727"/>
      <c r="I24" s="717"/>
      <c r="J24" s="726" t="s">
        <v>852</v>
      </c>
      <c r="K24" s="739"/>
    </row>
    <row r="25" spans="2:11" ht="15.75" customHeight="1">
      <c r="B25" s="720">
        <f t="shared" si="0"/>
        <v>14</v>
      </c>
      <c r="C25" s="713"/>
      <c r="D25" s="717" t="s">
        <v>695</v>
      </c>
      <c r="E25" s="717"/>
      <c r="F25" s="727"/>
      <c r="G25" s="727"/>
      <c r="H25" s="1148">
        <v>44514</v>
      </c>
      <c r="I25" s="717"/>
      <c r="J25" s="723"/>
      <c r="K25" s="739"/>
    </row>
    <row r="26" spans="2:11">
      <c r="B26" s="720">
        <f t="shared" si="0"/>
        <v>15</v>
      </c>
      <c r="C26" s="713"/>
      <c r="F26" s="769"/>
      <c r="G26" s="769"/>
      <c r="H26" s="769"/>
      <c r="I26" s="717"/>
      <c r="J26" s="723"/>
      <c r="K26" s="739"/>
    </row>
    <row r="27" spans="2:11">
      <c r="B27" s="720">
        <f t="shared" si="0"/>
        <v>16</v>
      </c>
      <c r="C27" s="713"/>
      <c r="D27" s="724" t="s">
        <v>881</v>
      </c>
      <c r="E27" s="717"/>
      <c r="F27" s="1150">
        <f>ROUND((F20*F22*F23),0)</f>
        <v>354063</v>
      </c>
      <c r="G27" s="1150">
        <f>ROUND(G20*G22*G24,0)</f>
        <v>138983</v>
      </c>
      <c r="H27" s="1151">
        <f>SUM(F27:G27)</f>
        <v>493046</v>
      </c>
      <c r="I27" s="717"/>
      <c r="J27" s="723"/>
      <c r="K27" s="739"/>
    </row>
    <row r="28" spans="2:11">
      <c r="B28" s="720">
        <f t="shared" si="0"/>
        <v>17</v>
      </c>
      <c r="C28" s="713"/>
      <c r="D28" s="717"/>
      <c r="E28" s="717"/>
      <c r="F28" s="727"/>
      <c r="G28" s="727"/>
      <c r="H28" s="717"/>
      <c r="I28" s="717"/>
      <c r="J28" s="723"/>
      <c r="K28" s="739"/>
    </row>
    <row r="29" spans="2:11">
      <c r="B29" s="720">
        <f t="shared" si="0"/>
        <v>18</v>
      </c>
      <c r="C29" s="713"/>
      <c r="D29" s="717" t="s">
        <v>882</v>
      </c>
      <c r="E29" s="717"/>
      <c r="F29" s="727"/>
      <c r="G29" s="727"/>
      <c r="H29" s="1152">
        <f>H25+H27</f>
        <v>537560</v>
      </c>
      <c r="I29" s="717"/>
      <c r="J29" s="723"/>
      <c r="K29" s="739"/>
    </row>
    <row r="30" spans="2:11">
      <c r="B30" s="720">
        <f t="shared" si="0"/>
        <v>19</v>
      </c>
      <c r="C30" s="713"/>
      <c r="D30" s="717"/>
      <c r="E30" s="717"/>
      <c r="F30" s="727"/>
      <c r="G30" s="727"/>
      <c r="H30" s="717"/>
      <c r="I30" s="717"/>
      <c r="J30" s="723"/>
      <c r="K30" s="739"/>
    </row>
    <row r="31" spans="2:11">
      <c r="B31" s="720">
        <f t="shared" si="0"/>
        <v>20</v>
      </c>
      <c r="C31" s="713"/>
      <c r="D31" s="724" t="s">
        <v>646</v>
      </c>
      <c r="E31" s="717"/>
      <c r="F31" s="727"/>
      <c r="G31" s="727"/>
      <c r="H31" s="717"/>
      <c r="I31" s="717"/>
      <c r="J31" s="723"/>
      <c r="K31" s="739"/>
    </row>
    <row r="32" spans="2:11" ht="45">
      <c r="B32" s="728">
        <f t="shared" si="0"/>
        <v>21</v>
      </c>
      <c r="C32" s="765"/>
      <c r="D32" s="766" t="s">
        <v>883</v>
      </c>
      <c r="E32" s="730"/>
      <c r="F32" s="1148">
        <v>-64342</v>
      </c>
      <c r="G32" s="1148">
        <v>41310</v>
      </c>
      <c r="H32" s="717"/>
      <c r="I32" s="717"/>
      <c r="J32" s="731" t="s">
        <v>873</v>
      </c>
      <c r="K32" s="973" t="s">
        <v>874</v>
      </c>
    </row>
    <row r="33" spans="2:11">
      <c r="B33" s="720">
        <f t="shared" si="0"/>
        <v>22</v>
      </c>
      <c r="C33" s="713"/>
      <c r="D33" s="724" t="s">
        <v>647</v>
      </c>
      <c r="E33" s="717"/>
      <c r="F33" s="1104">
        <v>255422</v>
      </c>
      <c r="G33" s="1104"/>
      <c r="H33" s="717"/>
      <c r="I33" s="717"/>
      <c r="J33" s="726" t="s">
        <v>919</v>
      </c>
      <c r="K33" s="1154"/>
    </row>
    <row r="34" spans="2:11">
      <c r="B34" s="720">
        <f t="shared" si="0"/>
        <v>23</v>
      </c>
      <c r="C34" s="713"/>
      <c r="D34" s="724" t="s">
        <v>884</v>
      </c>
      <c r="E34" s="717"/>
      <c r="F34" s="1152">
        <f>F32+F33</f>
        <v>191080</v>
      </c>
      <c r="G34" s="1152">
        <f>G32+G33</f>
        <v>41310</v>
      </c>
      <c r="H34" s="717"/>
      <c r="I34" s="717"/>
      <c r="J34" s="723"/>
      <c r="K34" s="739"/>
    </row>
    <row r="35" spans="2:11">
      <c r="B35" s="720">
        <f t="shared" si="0"/>
        <v>24</v>
      </c>
      <c r="C35" s="713"/>
      <c r="D35" s="717"/>
      <c r="E35" s="717"/>
      <c r="F35" s="727"/>
      <c r="G35" s="727"/>
      <c r="H35" s="717"/>
      <c r="I35" s="717"/>
      <c r="J35" s="723"/>
      <c r="K35" s="739"/>
    </row>
    <row r="36" spans="2:11">
      <c r="B36" s="720">
        <f t="shared" si="0"/>
        <v>25</v>
      </c>
      <c r="C36" s="713"/>
      <c r="D36" s="766" t="s">
        <v>693</v>
      </c>
      <c r="E36" s="717"/>
      <c r="F36" s="876">
        <f>F23</f>
        <v>0.72459999999999991</v>
      </c>
      <c r="G36" s="876"/>
      <c r="H36" s="717"/>
      <c r="I36" s="717"/>
      <c r="J36" s="901" t="s">
        <v>879</v>
      </c>
      <c r="K36" s="739"/>
    </row>
    <row r="37" spans="2:11">
      <c r="B37" s="720">
        <f t="shared" si="0"/>
        <v>26</v>
      </c>
      <c r="C37" s="713"/>
      <c r="D37" s="724" t="s">
        <v>885</v>
      </c>
      <c r="E37" s="717"/>
      <c r="F37" s="876"/>
      <c r="G37" s="876">
        <v>3.1185483476246032E-2</v>
      </c>
      <c r="H37" s="717"/>
      <c r="I37" s="717"/>
      <c r="J37" s="726" t="s">
        <v>886</v>
      </c>
      <c r="K37" s="739"/>
    </row>
    <row r="38" spans="2:11">
      <c r="B38" s="720">
        <f t="shared" si="0"/>
        <v>27</v>
      </c>
      <c r="C38" s="713"/>
      <c r="D38" s="724"/>
      <c r="E38" s="717"/>
      <c r="F38" s="1105"/>
      <c r="G38" s="1105"/>
      <c r="H38" s="717"/>
      <c r="I38" s="717"/>
      <c r="J38" s="723"/>
      <c r="K38" s="739"/>
    </row>
    <row r="39" spans="2:11" ht="30">
      <c r="B39" s="728">
        <f t="shared" si="0"/>
        <v>28</v>
      </c>
      <c r="C39" s="713"/>
      <c r="D39" s="977" t="s">
        <v>887</v>
      </c>
      <c r="E39" s="717"/>
      <c r="F39" s="1150">
        <f>ROUND((F34*F36),0)</f>
        <v>138457</v>
      </c>
      <c r="G39" s="1150">
        <f>ROUND((G34*G37),0)</f>
        <v>1288</v>
      </c>
      <c r="H39" s="1153">
        <f>F39+G39</f>
        <v>139745</v>
      </c>
      <c r="I39" s="717"/>
      <c r="J39" s="723"/>
      <c r="K39" s="739"/>
    </row>
    <row r="40" spans="2:11">
      <c r="B40" s="720">
        <f t="shared" si="0"/>
        <v>29</v>
      </c>
      <c r="C40" s="713"/>
      <c r="D40" s="724"/>
      <c r="E40" s="717"/>
      <c r="F40" s="727"/>
      <c r="G40" s="727"/>
      <c r="H40" s="717"/>
      <c r="I40" s="717"/>
      <c r="J40" s="723"/>
      <c r="K40" s="739"/>
    </row>
    <row r="41" spans="2:11">
      <c r="B41" s="720">
        <f t="shared" si="0"/>
        <v>30</v>
      </c>
      <c r="C41" s="713"/>
      <c r="D41" s="717"/>
      <c r="E41" s="717"/>
      <c r="F41" s="727"/>
      <c r="G41" s="727"/>
      <c r="H41" s="717"/>
      <c r="I41" s="717"/>
      <c r="J41" s="723"/>
      <c r="K41" s="739"/>
    </row>
    <row r="42" spans="2:11" ht="16.2" thickBot="1">
      <c r="B42" s="720">
        <f t="shared" si="0"/>
        <v>31</v>
      </c>
      <c r="C42" s="713"/>
      <c r="D42" s="734" t="s">
        <v>917</v>
      </c>
      <c r="E42" s="717"/>
      <c r="F42" s="727"/>
      <c r="G42" s="727"/>
      <c r="H42" s="878">
        <f>H29+H39</f>
        <v>677305</v>
      </c>
      <c r="I42" s="717"/>
      <c r="J42" s="723"/>
      <c r="K42" s="739"/>
    </row>
    <row r="43" spans="2:11" ht="15.6" thickTop="1">
      <c r="B43" s="720"/>
      <c r="C43" s="735"/>
      <c r="D43" s="717"/>
      <c r="E43" s="717"/>
      <c r="F43" s="732"/>
      <c r="G43" s="732"/>
      <c r="H43" s="727"/>
      <c r="I43" s="717"/>
      <c r="J43" s="723"/>
      <c r="K43" s="740"/>
    </row>
    <row r="44" spans="2:11">
      <c r="B44" s="736"/>
      <c r="D44" s="736"/>
      <c r="E44" s="736"/>
      <c r="F44" s="717"/>
      <c r="H44" s="736"/>
      <c r="I44" s="736"/>
      <c r="J44" s="736"/>
      <c r="K44" s="736"/>
    </row>
    <row r="45" spans="2:11">
      <c r="H45" s="737"/>
    </row>
    <row r="46" spans="2:11">
      <c r="H46" s="738"/>
    </row>
    <row r="47" spans="2:11">
      <c r="F47" s="733"/>
      <c r="G47" s="733"/>
      <c r="J47" s="769"/>
      <c r="K47" s="769"/>
    </row>
    <row r="48" spans="2:11">
      <c r="J48" s="769"/>
      <c r="K48" s="769"/>
    </row>
    <row r="49" spans="8:11">
      <c r="J49" s="769"/>
      <c r="K49" s="769"/>
    </row>
    <row r="50" spans="8:11">
      <c r="J50" s="769"/>
      <c r="K50" s="974"/>
    </row>
    <row r="51" spans="8:11">
      <c r="J51" s="769"/>
      <c r="K51" s="769"/>
    </row>
    <row r="52" spans="8:11">
      <c r="H52" s="975"/>
      <c r="I52" s="975"/>
      <c r="J52" s="976"/>
      <c r="K52" s="769"/>
    </row>
    <row r="53" spans="8:11">
      <c r="H53" s="975"/>
      <c r="I53" s="975"/>
      <c r="J53" s="976"/>
      <c r="K53" s="769"/>
    </row>
    <row r="54" spans="8:11">
      <c r="H54" s="975"/>
      <c r="I54" s="975"/>
      <c r="J54" s="977"/>
      <c r="K54" s="769"/>
    </row>
    <row r="55" spans="8:11">
      <c r="H55" s="975"/>
      <c r="I55" s="975"/>
      <c r="J55" s="975"/>
    </row>
  </sheetData>
  <printOptions horizontalCentered="1"/>
  <pageMargins left="0.45" right="0.45" top="1" bottom="0.75" header="0.3" footer="0.3"/>
  <pageSetup scale="5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3">
    <tabColor theme="1"/>
    <pageSetUpPr fitToPage="1"/>
  </sheetPr>
  <dimension ref="A1:G47"/>
  <sheetViews>
    <sheetView zoomScale="80" zoomScaleNormal="80" workbookViewId="0"/>
  </sheetViews>
  <sheetFormatPr defaultColWidth="8.81640625" defaultRowHeight="15"/>
  <cols>
    <col min="1" max="1" width="6.90625" style="561" customWidth="1"/>
    <col min="2" max="2" width="1.90625" style="561" customWidth="1"/>
    <col min="3" max="3" width="31" style="561" customWidth="1"/>
    <col min="4" max="4" width="11.81640625" style="561" customWidth="1"/>
    <col min="5" max="5" width="15.1796875" style="561" customWidth="1"/>
    <col min="6" max="6" width="8.81640625" style="561"/>
    <col min="7" max="7" width="11.81640625" style="561" bestFit="1" customWidth="1"/>
    <col min="8" max="11" width="8.81640625" style="561"/>
    <col min="12" max="12" width="11.36328125" style="561" customWidth="1"/>
    <col min="13" max="16384" width="8.81640625" style="561"/>
  </cols>
  <sheetData>
    <row r="1" spans="1:7" ht="17.399999999999999">
      <c r="A1" s="518" t="str">
        <f>'P1 ADIT'!A1</f>
        <v>Duke Energy Ohio and Duke Energy Kentucky</v>
      </c>
      <c r="B1" s="811"/>
      <c r="C1" s="811"/>
      <c r="D1" s="513"/>
      <c r="E1" s="513"/>
      <c r="F1" s="513"/>
      <c r="G1" s="513"/>
    </row>
    <row r="2" spans="1:7" ht="17.399999999999999">
      <c r="A2" s="513"/>
      <c r="B2" s="513"/>
      <c r="C2" s="515"/>
      <c r="D2" s="515"/>
    </row>
    <row r="3" spans="1:7">
      <c r="C3" s="515"/>
      <c r="D3" s="515"/>
      <c r="G3" s="516" t="s">
        <v>406</v>
      </c>
    </row>
    <row r="4" spans="1:7">
      <c r="C4" s="515"/>
      <c r="D4" s="515"/>
      <c r="G4" s="514" t="str">
        <f>"Page 13 of "&amp;Workpaper</f>
        <v>Page 13 of 17</v>
      </c>
    </row>
    <row r="5" spans="1:7">
      <c r="C5" s="515"/>
      <c r="D5" s="515"/>
      <c r="G5" s="261" t="str">
        <f>"For the 12 months ended: "&amp;TEXT(INPUT!$B$1,"mm/dd/yyyy")</f>
        <v>For the 12 months ended: 12/31/2018</v>
      </c>
    </row>
    <row r="7" spans="1:7" ht="15.6">
      <c r="A7" s="886" t="s">
        <v>765</v>
      </c>
      <c r="B7" s="811"/>
      <c r="C7" s="811"/>
      <c r="D7" s="811"/>
      <c r="E7" s="811"/>
      <c r="F7" s="811"/>
      <c r="G7" s="811"/>
    </row>
    <row r="9" spans="1:7">
      <c r="D9" s="746"/>
      <c r="E9" s="746"/>
    </row>
    <row r="10" spans="1:7" ht="15.6">
      <c r="A10" s="745" t="s">
        <v>8</v>
      </c>
      <c r="C10" s="1018"/>
      <c r="D10" s="1018"/>
      <c r="E10" s="1018"/>
    </row>
    <row r="11" spans="1:7" ht="19.2">
      <c r="A11" s="638" t="s">
        <v>10</v>
      </c>
      <c r="C11" s="110" t="s">
        <v>675</v>
      </c>
      <c r="D11" s="110" t="s">
        <v>674</v>
      </c>
      <c r="E11" s="110" t="s">
        <v>283</v>
      </c>
    </row>
    <row r="12" spans="1:7">
      <c r="A12" s="1111">
        <v>1</v>
      </c>
      <c r="C12" s="337" t="s">
        <v>673</v>
      </c>
      <c r="D12" s="867" t="s">
        <v>831</v>
      </c>
      <c r="E12" s="1071">
        <v>-164153</v>
      </c>
    </row>
    <row r="13" spans="1:7">
      <c r="A13" s="1111">
        <v>2</v>
      </c>
      <c r="C13" s="337"/>
      <c r="D13" s="867" t="s">
        <v>832</v>
      </c>
      <c r="E13" s="1071">
        <v>-211054</v>
      </c>
    </row>
    <row r="14" spans="1:7">
      <c r="A14" s="1111">
        <v>3</v>
      </c>
      <c r="C14" s="337"/>
      <c r="D14" s="867" t="s">
        <v>833</v>
      </c>
      <c r="E14" s="1071">
        <v>-773866</v>
      </c>
    </row>
    <row r="15" spans="1:7">
      <c r="A15" s="1111">
        <v>4</v>
      </c>
      <c r="C15" s="337"/>
      <c r="D15" s="867" t="s">
        <v>671</v>
      </c>
      <c r="E15" s="1071">
        <v>-92369</v>
      </c>
    </row>
    <row r="16" spans="1:7">
      <c r="A16" s="1111">
        <v>5</v>
      </c>
      <c r="C16" s="337"/>
      <c r="D16" s="867" t="s">
        <v>670</v>
      </c>
      <c r="E16" s="1071">
        <v>-1126310</v>
      </c>
    </row>
    <row r="17" spans="1:5">
      <c r="A17" s="1111">
        <v>6</v>
      </c>
      <c r="C17" s="337"/>
      <c r="D17" s="867" t="s">
        <v>669</v>
      </c>
      <c r="E17" s="1071">
        <v>-346783</v>
      </c>
    </row>
    <row r="18" spans="1:5">
      <c r="A18" s="1111">
        <v>7</v>
      </c>
      <c r="C18" s="337"/>
      <c r="D18" s="867" t="s">
        <v>672</v>
      </c>
      <c r="E18" s="1071">
        <v>-55418</v>
      </c>
    </row>
    <row r="19" spans="1:5">
      <c r="A19" s="1111">
        <v>8</v>
      </c>
      <c r="C19" s="1072"/>
      <c r="D19" s="867" t="s">
        <v>667</v>
      </c>
      <c r="E19" s="1071">
        <v>-184739</v>
      </c>
    </row>
    <row r="20" spans="1:5">
      <c r="A20" s="1111">
        <v>9</v>
      </c>
      <c r="C20" s="1072"/>
      <c r="D20" s="867" t="s">
        <v>666</v>
      </c>
      <c r="E20" s="1071">
        <v>-110845</v>
      </c>
    </row>
    <row r="21" spans="1:5">
      <c r="A21" s="1111">
        <v>10</v>
      </c>
      <c r="C21" s="1072"/>
      <c r="D21" s="867" t="s">
        <v>668</v>
      </c>
      <c r="E21" s="1071">
        <v>-184739</v>
      </c>
    </row>
    <row r="22" spans="1:5">
      <c r="A22" s="1111">
        <v>11</v>
      </c>
      <c r="C22" s="1126" t="s">
        <v>907</v>
      </c>
      <c r="D22" s="1131"/>
      <c r="E22" s="1128">
        <f>SUM(E12:E21)</f>
        <v>-3250276</v>
      </c>
    </row>
    <row r="23" spans="1:5">
      <c r="A23" s="1111">
        <v>12</v>
      </c>
      <c r="C23" s="1126"/>
      <c r="D23" s="1131"/>
      <c r="E23" s="1130"/>
    </row>
    <row r="24" spans="1:5">
      <c r="A24" s="1111">
        <v>13</v>
      </c>
      <c r="C24" s="1126" t="s">
        <v>908</v>
      </c>
      <c r="D24" s="1131"/>
      <c r="E24" s="1129">
        <v>-384815</v>
      </c>
    </row>
    <row r="25" spans="1:5">
      <c r="A25" s="1111">
        <v>14</v>
      </c>
      <c r="C25" s="1126"/>
      <c r="D25" s="1131"/>
      <c r="E25" s="1129"/>
    </row>
    <row r="26" spans="1:5">
      <c r="A26" s="1111">
        <v>15</v>
      </c>
      <c r="C26" s="1126" t="s">
        <v>909</v>
      </c>
      <c r="D26" s="1131"/>
      <c r="E26" s="1129">
        <v>-18283368</v>
      </c>
    </row>
    <row r="27" spans="1:5">
      <c r="A27" s="1111">
        <v>16</v>
      </c>
      <c r="C27" s="1126"/>
      <c r="D27" s="1131"/>
      <c r="E27" s="1129"/>
    </row>
    <row r="28" spans="1:5">
      <c r="A28" s="1111">
        <v>17</v>
      </c>
      <c r="C28" s="1127" t="s">
        <v>665</v>
      </c>
      <c r="D28" s="552" t="s">
        <v>664</v>
      </c>
      <c r="E28" s="1071">
        <v>-47195</v>
      </c>
    </row>
    <row r="29" spans="1:5">
      <c r="A29" s="1111">
        <v>18</v>
      </c>
      <c r="C29" s="1127"/>
      <c r="D29" s="552" t="s">
        <v>663</v>
      </c>
      <c r="E29" s="1071">
        <v>-612533</v>
      </c>
    </row>
    <row r="30" spans="1:5">
      <c r="A30" s="1111">
        <v>19</v>
      </c>
      <c r="C30" s="1127"/>
      <c r="D30" s="552" t="s">
        <v>662</v>
      </c>
      <c r="E30" s="1071">
        <v>-380189</v>
      </c>
    </row>
    <row r="31" spans="1:5">
      <c r="A31" s="1111">
        <v>20</v>
      </c>
      <c r="C31" s="1127"/>
      <c r="D31" s="552" t="s">
        <v>661</v>
      </c>
      <c r="E31" s="1071">
        <v>-42535</v>
      </c>
    </row>
    <row r="32" spans="1:5">
      <c r="A32" s="1111">
        <v>21</v>
      </c>
      <c r="C32" s="1127"/>
      <c r="D32" s="552" t="s">
        <v>676</v>
      </c>
      <c r="E32" s="1071">
        <v>-264023</v>
      </c>
    </row>
    <row r="33" spans="1:5">
      <c r="A33" s="1111">
        <v>22</v>
      </c>
      <c r="C33" s="1127"/>
      <c r="D33" s="552" t="s">
        <v>186</v>
      </c>
      <c r="E33" s="1071">
        <v>-4328862</v>
      </c>
    </row>
    <row r="34" spans="1:5">
      <c r="A34" s="1111">
        <v>23</v>
      </c>
      <c r="C34" s="1127"/>
      <c r="D34" s="552" t="s">
        <v>660</v>
      </c>
      <c r="E34" s="1071">
        <v>-148351</v>
      </c>
    </row>
    <row r="35" spans="1:5">
      <c r="A35" s="1111">
        <v>24</v>
      </c>
      <c r="C35" s="1127"/>
      <c r="D35" s="552" t="s">
        <v>659</v>
      </c>
      <c r="E35" s="1071">
        <v>-26659</v>
      </c>
    </row>
    <row r="36" spans="1:5">
      <c r="A36" s="1111">
        <v>25</v>
      </c>
      <c r="C36" s="1127"/>
      <c r="D36" s="552" t="s">
        <v>658</v>
      </c>
      <c r="E36" s="1071">
        <v>-5845</v>
      </c>
    </row>
    <row r="37" spans="1:5">
      <c r="A37" s="1111">
        <v>26</v>
      </c>
      <c r="C37" s="1127"/>
      <c r="D37" s="552" t="s">
        <v>657</v>
      </c>
      <c r="E37" s="1071">
        <v>-17516</v>
      </c>
    </row>
    <row r="38" spans="1:5">
      <c r="A38" s="1111">
        <v>27</v>
      </c>
      <c r="C38" s="1127"/>
      <c r="D38" s="552" t="s">
        <v>656</v>
      </c>
      <c r="E38" s="1071">
        <v>-66871</v>
      </c>
    </row>
    <row r="39" spans="1:5">
      <c r="A39" s="1111">
        <v>28</v>
      </c>
      <c r="C39" s="1126" t="s">
        <v>910</v>
      </c>
      <c r="D39" s="1126"/>
      <c r="E39" s="1128">
        <f>SUM(E28:E38)</f>
        <v>-5940579</v>
      </c>
    </row>
    <row r="40" spans="1:5">
      <c r="A40" s="1111">
        <v>29</v>
      </c>
      <c r="C40" s="1126"/>
      <c r="D40" s="1126"/>
      <c r="E40" s="1130"/>
    </row>
    <row r="41" spans="1:5" ht="15.6" thickBot="1">
      <c r="A41" s="1111">
        <v>30</v>
      </c>
      <c r="C41" s="337" t="s">
        <v>871</v>
      </c>
      <c r="D41" s="337"/>
      <c r="E41" s="1073">
        <f>E22+E24+E26+E39</f>
        <v>-27859038</v>
      </c>
    </row>
    <row r="42" spans="1:5" ht="15.6" thickTop="1">
      <c r="C42" s="75"/>
      <c r="D42" s="75"/>
      <c r="E42" s="75"/>
    </row>
    <row r="43" spans="1:5">
      <c r="C43" s="75"/>
      <c r="D43" s="75"/>
      <c r="E43" s="75"/>
    </row>
    <row r="44" spans="1:5">
      <c r="C44" s="75"/>
      <c r="D44" s="75"/>
      <c r="E44" s="75"/>
    </row>
    <row r="45" spans="1:5">
      <c r="C45" s="930" t="s">
        <v>678</v>
      </c>
    </row>
    <row r="46" spans="1:5">
      <c r="C46" s="930" t="s">
        <v>829</v>
      </c>
      <c r="D46" s="684"/>
      <c r="E46" s="684"/>
    </row>
    <row r="47" spans="1:5">
      <c r="C47" s="930" t="s">
        <v>830</v>
      </c>
      <c r="D47" s="684"/>
      <c r="E47" s="684"/>
    </row>
  </sheetData>
  <pageMargins left="1" right="1" top="1" bottom="0.75" header="0.3" footer="0.3"/>
  <pageSetup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0">
    <tabColor theme="1"/>
    <pageSetUpPr fitToPage="1"/>
  </sheetPr>
  <dimension ref="A1:T33"/>
  <sheetViews>
    <sheetView zoomScale="80" zoomScaleNormal="80" workbookViewId="0"/>
  </sheetViews>
  <sheetFormatPr defaultRowHeight="15"/>
  <cols>
    <col min="1" max="1" width="7.1796875" style="561" customWidth="1"/>
    <col min="2" max="2" width="1.08984375" style="561" customWidth="1"/>
    <col min="3" max="3" width="16.08984375" customWidth="1"/>
    <col min="4" max="4" width="13.6328125" customWidth="1"/>
    <col min="5" max="6" width="12.90625" customWidth="1"/>
    <col min="7" max="7" width="14.08984375" customWidth="1"/>
    <col min="8" max="8" width="13.81640625" customWidth="1"/>
  </cols>
  <sheetData>
    <row r="1" spans="1:20" ht="15.6">
      <c r="A1" s="812" t="str">
        <f>'P1 ADIT'!A1</f>
        <v>Duke Energy Ohio and Duke Energy Kentucky</v>
      </c>
      <c r="B1" s="811"/>
      <c r="C1" s="811"/>
      <c r="D1" s="811"/>
      <c r="E1" s="811"/>
      <c r="F1" s="811"/>
      <c r="G1" s="811"/>
      <c r="H1" s="811"/>
      <c r="I1" s="811"/>
      <c r="J1" s="811"/>
      <c r="O1" s="561"/>
      <c r="P1" s="561"/>
      <c r="Q1" s="561"/>
      <c r="R1" s="561"/>
    </row>
    <row r="2" spans="1:20" ht="17.399999999999999">
      <c r="C2" s="810"/>
      <c r="D2" s="811"/>
      <c r="E2" s="811"/>
      <c r="F2" s="811"/>
      <c r="G2" s="811"/>
      <c r="H2" s="811"/>
      <c r="I2" s="811"/>
      <c r="J2" s="811"/>
    </row>
    <row r="3" spans="1:20" s="561" customFormat="1" ht="17.399999999999999">
      <c r="C3" s="810"/>
      <c r="D3" s="811"/>
      <c r="E3" s="811"/>
      <c r="F3" s="811"/>
      <c r="G3" s="811"/>
      <c r="H3" s="811"/>
      <c r="I3" s="811"/>
      <c r="J3" s="516" t="s">
        <v>406</v>
      </c>
    </row>
    <row r="4" spans="1:20" s="561" customFormat="1" ht="17.399999999999999">
      <c r="C4" s="810"/>
      <c r="D4" s="811"/>
      <c r="E4" s="811"/>
      <c r="F4" s="811"/>
      <c r="G4" s="811"/>
      <c r="H4" s="811"/>
      <c r="I4" s="811"/>
      <c r="J4" s="514" t="str">
        <f>"Page 14 of "&amp;Workpaper</f>
        <v>Page 14 of 17</v>
      </c>
    </row>
    <row r="5" spans="1:20" ht="15.6">
      <c r="C5" s="812"/>
      <c r="D5" s="813"/>
      <c r="E5" s="813"/>
      <c r="F5" s="813"/>
      <c r="G5" s="813"/>
      <c r="H5" s="813"/>
      <c r="I5" s="813"/>
      <c r="J5" s="261" t="str">
        <f>"For the 12 months ended: "&amp;TEXT(INPUT!$B$1,"mm/dd/yyyy")</f>
        <v>For the 12 months ended: 12/31/2018</v>
      </c>
    </row>
    <row r="6" spans="1:20" ht="15.6">
      <c r="C6" s="812"/>
      <c r="D6" s="813"/>
      <c r="E6" s="813"/>
      <c r="F6" s="813"/>
      <c r="G6" s="813"/>
      <c r="H6" s="813"/>
      <c r="I6" s="813"/>
      <c r="J6" s="376"/>
    </row>
    <row r="7" spans="1:20" ht="15.6">
      <c r="A7" s="814" t="s">
        <v>724</v>
      </c>
      <c r="B7" s="811"/>
      <c r="C7" s="811"/>
      <c r="D7" s="813"/>
      <c r="E7" s="813"/>
      <c r="F7" s="813"/>
      <c r="G7" s="813"/>
      <c r="H7" s="813"/>
      <c r="I7" s="813"/>
      <c r="J7" s="813"/>
      <c r="T7" s="270"/>
    </row>
    <row r="8" spans="1:20" ht="15.6">
      <c r="A8" s="814" t="s">
        <v>725</v>
      </c>
      <c r="B8" s="811"/>
      <c r="C8" s="811"/>
      <c r="D8" s="813"/>
      <c r="E8" s="813"/>
      <c r="F8" s="814"/>
      <c r="G8" s="813"/>
      <c r="H8" s="813"/>
      <c r="I8" s="813"/>
      <c r="J8" s="813"/>
      <c r="T8" s="270"/>
    </row>
    <row r="9" spans="1:20">
      <c r="C9" s="747"/>
      <c r="D9" s="747"/>
      <c r="E9" s="747"/>
      <c r="F9" s="747"/>
      <c r="G9" s="747"/>
      <c r="H9" s="747"/>
      <c r="I9" s="747"/>
      <c r="J9" s="747"/>
    </row>
    <row r="10" spans="1:20">
      <c r="C10" s="747"/>
      <c r="D10" s="747"/>
      <c r="E10" s="747"/>
      <c r="F10" s="747"/>
      <c r="G10" s="747"/>
      <c r="H10" s="747"/>
      <c r="I10" s="747"/>
      <c r="J10" s="747"/>
    </row>
    <row r="11" spans="1:20" ht="15.6">
      <c r="C11" s="747"/>
      <c r="D11" s="747"/>
      <c r="E11" s="942" t="s">
        <v>726</v>
      </c>
      <c r="F11" s="942" t="s">
        <v>726</v>
      </c>
      <c r="G11" s="747"/>
      <c r="H11" s="747"/>
      <c r="I11" s="747"/>
      <c r="J11" s="747"/>
    </row>
    <row r="12" spans="1:20" ht="15.6">
      <c r="A12" s="745" t="s">
        <v>8</v>
      </c>
      <c r="C12" s="1074" t="s">
        <v>727</v>
      </c>
      <c r="D12" s="1074" t="s">
        <v>728</v>
      </c>
      <c r="E12" s="1074" t="s">
        <v>729</v>
      </c>
      <c r="F12" s="1074" t="s">
        <v>730</v>
      </c>
      <c r="G12" s="1075"/>
      <c r="H12" s="1074" t="s">
        <v>727</v>
      </c>
      <c r="I12" s="1076"/>
      <c r="J12" s="1074" t="s">
        <v>731</v>
      </c>
      <c r="K12" s="684"/>
    </row>
    <row r="13" spans="1:20" ht="19.2">
      <c r="A13" s="110" t="s">
        <v>10</v>
      </c>
      <c r="B13" s="110"/>
      <c r="C13" s="110" t="s">
        <v>732</v>
      </c>
      <c r="D13" s="110" t="s">
        <v>733</v>
      </c>
      <c r="E13" s="110" t="s">
        <v>734</v>
      </c>
      <c r="F13" s="110" t="s">
        <v>734</v>
      </c>
      <c r="G13" s="110" t="s">
        <v>12</v>
      </c>
      <c r="H13" s="110" t="s">
        <v>732</v>
      </c>
      <c r="I13" s="110" t="s">
        <v>585</v>
      </c>
      <c r="J13" s="110" t="s">
        <v>735</v>
      </c>
      <c r="K13" s="684"/>
    </row>
    <row r="14" spans="1:20" ht="15.6">
      <c r="C14" s="1078"/>
      <c r="D14" s="1078"/>
      <c r="E14" s="1076"/>
      <c r="F14" s="1076"/>
      <c r="G14" s="1078"/>
      <c r="H14" s="1077"/>
      <c r="I14" s="1078"/>
      <c r="J14" s="1078"/>
      <c r="K14" s="684"/>
    </row>
    <row r="15" spans="1:20">
      <c r="A15" s="1111">
        <v>1</v>
      </c>
      <c r="C15" s="1079" t="s">
        <v>834</v>
      </c>
      <c r="D15" s="1079" t="s">
        <v>835</v>
      </c>
      <c r="E15" s="1080">
        <v>-479373.89</v>
      </c>
      <c r="F15" s="1080">
        <v>-9412.92</v>
      </c>
      <c r="G15" s="1103">
        <v>-488786.81</v>
      </c>
      <c r="H15" s="1080">
        <v>-488786.81</v>
      </c>
      <c r="I15" s="1081">
        <f t="shared" ref="I15:I26" si="0">H15-G15</f>
        <v>0</v>
      </c>
      <c r="J15" s="1081">
        <f>SUM($I$15:I15)</f>
        <v>0</v>
      </c>
      <c r="K15" s="684"/>
    </row>
    <row r="16" spans="1:20">
      <c r="A16" s="1111">
        <v>2</v>
      </c>
      <c r="C16" s="1079" t="s">
        <v>835</v>
      </c>
      <c r="D16" s="1075" t="s">
        <v>736</v>
      </c>
      <c r="E16" s="1082">
        <v>-512620.49</v>
      </c>
      <c r="F16" s="1082">
        <v>-9212.11</v>
      </c>
      <c r="G16" s="1081">
        <v>-521832.6</v>
      </c>
      <c r="H16" s="1082">
        <v>-521832.6</v>
      </c>
      <c r="I16" s="1081">
        <f t="shared" si="0"/>
        <v>0</v>
      </c>
      <c r="J16" s="1081">
        <f>SUM($I$15:I16)</f>
        <v>0</v>
      </c>
      <c r="K16" s="684"/>
    </row>
    <row r="17" spans="1:11">
      <c r="A17" s="1111">
        <v>3</v>
      </c>
      <c r="C17" s="1075" t="s">
        <v>736</v>
      </c>
      <c r="D17" s="1075" t="s">
        <v>737</v>
      </c>
      <c r="E17" s="1082">
        <v>-405984.61</v>
      </c>
      <c r="F17" s="1082">
        <v>-8205.44</v>
      </c>
      <c r="G17" s="1081">
        <v>-414190.05</v>
      </c>
      <c r="H17" s="1082">
        <v>-414190.05</v>
      </c>
      <c r="I17" s="1081">
        <f t="shared" si="0"/>
        <v>0</v>
      </c>
      <c r="J17" s="1081">
        <f>SUM($I$15:I17)</f>
        <v>0</v>
      </c>
      <c r="K17" s="684"/>
    </row>
    <row r="18" spans="1:11">
      <c r="A18" s="1111">
        <v>4</v>
      </c>
      <c r="C18" s="1075" t="s">
        <v>737</v>
      </c>
      <c r="D18" s="1075" t="s">
        <v>738</v>
      </c>
      <c r="E18" s="1082">
        <v>-437749.67</v>
      </c>
      <c r="F18" s="1082">
        <v>-5856.54</v>
      </c>
      <c r="G18" s="1081">
        <v>-443606.20999999996</v>
      </c>
      <c r="H18" s="1082">
        <v>-443606.21</v>
      </c>
      <c r="I18" s="1081">
        <f t="shared" si="0"/>
        <v>0</v>
      </c>
      <c r="J18" s="1081">
        <f>SUM($I$15:I18)</f>
        <v>0</v>
      </c>
      <c r="K18" s="684"/>
    </row>
    <row r="19" spans="1:11">
      <c r="A19" s="1111">
        <v>5</v>
      </c>
      <c r="C19" s="1075" t="s">
        <v>738</v>
      </c>
      <c r="D19" s="1075" t="s">
        <v>272</v>
      </c>
      <c r="E19" s="1082">
        <v>-392809.41</v>
      </c>
      <c r="F19" s="1082">
        <v>-6494.42</v>
      </c>
      <c r="G19" s="1081">
        <v>-399303.82999999996</v>
      </c>
      <c r="H19" s="1082">
        <v>-399303.83</v>
      </c>
      <c r="I19" s="1081">
        <f t="shared" si="0"/>
        <v>0</v>
      </c>
      <c r="J19" s="1081">
        <f>SUM($I$15:I19)</f>
        <v>0</v>
      </c>
      <c r="K19" s="684"/>
    </row>
    <row r="20" spans="1:11">
      <c r="A20" s="1111">
        <v>6</v>
      </c>
      <c r="C20" s="1075" t="s">
        <v>272</v>
      </c>
      <c r="D20" s="1075" t="s">
        <v>739</v>
      </c>
      <c r="E20" s="1082">
        <v>-468332.9</v>
      </c>
      <c r="F20" s="1082">
        <v>-8729.02</v>
      </c>
      <c r="G20" s="1081">
        <v>-477061.92000000004</v>
      </c>
      <c r="H20" s="1082">
        <v>-477061.92</v>
      </c>
      <c r="I20" s="1081">
        <f t="shared" si="0"/>
        <v>0</v>
      </c>
      <c r="J20" s="1081">
        <f>SUM($I$15:I20)</f>
        <v>0</v>
      </c>
      <c r="K20" s="684"/>
    </row>
    <row r="21" spans="1:11">
      <c r="A21" s="1111">
        <v>7</v>
      </c>
      <c r="C21" s="1075" t="s">
        <v>739</v>
      </c>
      <c r="D21" s="1075" t="s">
        <v>740</v>
      </c>
      <c r="E21" s="1082">
        <v>-417371.88</v>
      </c>
      <c r="F21" s="1082">
        <v>-10430.42</v>
      </c>
      <c r="G21" s="1081">
        <v>-427802.3</v>
      </c>
      <c r="H21" s="1082">
        <v>-427802.3</v>
      </c>
      <c r="I21" s="1081">
        <f t="shared" si="0"/>
        <v>0</v>
      </c>
      <c r="J21" s="1081">
        <f>SUM($I$15:I21)</f>
        <v>0</v>
      </c>
      <c r="K21" s="684"/>
    </row>
    <row r="22" spans="1:11">
      <c r="A22" s="1111">
        <v>8</v>
      </c>
      <c r="C22" s="1075" t="s">
        <v>740</v>
      </c>
      <c r="D22" s="1075" t="s">
        <v>741</v>
      </c>
      <c r="E22" s="1082">
        <v>-444179.57</v>
      </c>
      <c r="F22" s="1082">
        <v>-9585.67</v>
      </c>
      <c r="G22" s="1081">
        <v>-453765.24</v>
      </c>
      <c r="H22" s="1082">
        <v>-453765.24</v>
      </c>
      <c r="I22" s="1081">
        <f t="shared" si="0"/>
        <v>0</v>
      </c>
      <c r="J22" s="1081">
        <f>SUM($I$15:I22)</f>
        <v>0</v>
      </c>
      <c r="K22" s="684"/>
    </row>
    <row r="23" spans="1:11">
      <c r="A23" s="1111">
        <v>9</v>
      </c>
      <c r="C23" s="1075" t="s">
        <v>741</v>
      </c>
      <c r="D23" s="1075" t="s">
        <v>742</v>
      </c>
      <c r="E23" s="1082">
        <v>-444370.53</v>
      </c>
      <c r="F23" s="1082">
        <v>-10778.71</v>
      </c>
      <c r="G23" s="1081">
        <v>-455149.24000000005</v>
      </c>
      <c r="H23" s="1082">
        <v>-455149.24</v>
      </c>
      <c r="I23" s="1081">
        <f t="shared" si="0"/>
        <v>0</v>
      </c>
      <c r="J23" s="1081">
        <f>SUM($I$15:I23)</f>
        <v>0</v>
      </c>
      <c r="K23" s="684"/>
    </row>
    <row r="24" spans="1:11">
      <c r="A24" s="1111">
        <v>10</v>
      </c>
      <c r="C24" s="1075" t="s">
        <v>742</v>
      </c>
      <c r="D24" s="1075" t="s">
        <v>743</v>
      </c>
      <c r="E24" s="1082">
        <v>-389465.5</v>
      </c>
      <c r="F24" s="1082">
        <v>-11332.27</v>
      </c>
      <c r="G24" s="1081">
        <v>-400797.77</v>
      </c>
      <c r="H24" s="1082">
        <v>-400797.77</v>
      </c>
      <c r="I24" s="1081">
        <f t="shared" si="0"/>
        <v>0</v>
      </c>
      <c r="J24" s="1081">
        <f>SUM($I$15:I24)</f>
        <v>0</v>
      </c>
      <c r="K24" s="684"/>
    </row>
    <row r="25" spans="1:11">
      <c r="A25" s="1111">
        <v>11</v>
      </c>
      <c r="C25" s="1075" t="s">
        <v>743</v>
      </c>
      <c r="D25" s="1075" t="s">
        <v>744</v>
      </c>
      <c r="E25" s="1082">
        <v>-361879.05</v>
      </c>
      <c r="F25" s="1082">
        <v>-12463.34</v>
      </c>
      <c r="G25" s="1081">
        <v>-374342.39</v>
      </c>
      <c r="H25" s="1082">
        <v>-374342.91</v>
      </c>
      <c r="I25" s="1081">
        <f t="shared" si="0"/>
        <v>-0.51999999996041879</v>
      </c>
      <c r="J25" s="1081">
        <f>SUM($I$15:I25)</f>
        <v>-0.51999999996041879</v>
      </c>
      <c r="K25" s="684"/>
    </row>
    <row r="26" spans="1:11">
      <c r="A26" s="1111">
        <v>12</v>
      </c>
      <c r="C26" s="1075" t="s">
        <v>744</v>
      </c>
      <c r="D26" s="1075" t="s">
        <v>745</v>
      </c>
      <c r="E26" s="1080">
        <v>-349802.26</v>
      </c>
      <c r="F26" s="1080">
        <v>-8117</v>
      </c>
      <c r="G26" s="1103">
        <v>-357919.26</v>
      </c>
      <c r="H26" s="1080">
        <v>-357918.74</v>
      </c>
      <c r="I26" s="1081">
        <f t="shared" si="0"/>
        <v>0.52000000001862645</v>
      </c>
      <c r="J26" s="1081">
        <f>SUM($I$15:I26)</f>
        <v>5.8207660913467407E-11</v>
      </c>
      <c r="K26" s="684"/>
    </row>
    <row r="27" spans="1:11">
      <c r="A27" s="1111">
        <v>13</v>
      </c>
      <c r="C27" s="1075"/>
      <c r="D27" s="1075"/>
      <c r="E27" s="1080"/>
      <c r="F27" s="1080"/>
      <c r="G27" s="1081"/>
      <c r="H27" s="1080"/>
      <c r="I27" s="1081"/>
      <c r="J27" s="1081"/>
      <c r="K27" s="684"/>
    </row>
    <row r="28" spans="1:11" ht="15.6">
      <c r="A28" s="1111">
        <v>14</v>
      </c>
      <c r="C28" s="1083" t="s">
        <v>746</v>
      </c>
      <c r="D28" s="1075"/>
      <c r="E28" s="1082"/>
      <c r="F28" s="1084">
        <f>SUM(F15:F26)</f>
        <v>-110617.86</v>
      </c>
      <c r="G28" s="1081"/>
      <c r="H28" s="1075"/>
      <c r="I28" s="1081"/>
      <c r="J28" s="1081"/>
      <c r="K28" s="684"/>
    </row>
    <row r="29" spans="1:11" s="561" customFormat="1" ht="15.6">
      <c r="C29" s="817"/>
      <c r="D29" s="747"/>
      <c r="E29" s="816"/>
      <c r="F29" s="818"/>
      <c r="G29" s="815"/>
      <c r="H29" s="747"/>
      <c r="I29" s="815"/>
      <c r="J29" s="815"/>
    </row>
    <row r="30" spans="1:11" ht="15.6">
      <c r="C30" s="817"/>
      <c r="D30" s="747"/>
      <c r="E30" s="816"/>
      <c r="F30" s="818"/>
      <c r="G30" s="815"/>
      <c r="H30" s="816"/>
      <c r="I30" s="815"/>
      <c r="J30" s="815"/>
    </row>
    <row r="31" spans="1:11" ht="15.6">
      <c r="C31" s="747" t="s">
        <v>678</v>
      </c>
      <c r="D31" s="747"/>
      <c r="E31" s="816"/>
      <c r="F31" s="818"/>
      <c r="G31" s="815"/>
      <c r="H31" s="816"/>
      <c r="I31" s="815"/>
      <c r="J31" s="747"/>
    </row>
    <row r="32" spans="1:11" ht="15.6">
      <c r="C32" s="561" t="s">
        <v>677</v>
      </c>
      <c r="D32" s="747"/>
      <c r="E32" s="816"/>
      <c r="F32" s="818"/>
      <c r="G32" s="815"/>
      <c r="H32" s="816"/>
      <c r="I32" s="815"/>
      <c r="J32" s="561"/>
    </row>
    <row r="33" spans="3:10" ht="15.6">
      <c r="C33" s="561" t="s">
        <v>679</v>
      </c>
      <c r="D33" s="747"/>
      <c r="E33" s="816"/>
      <c r="F33" s="818"/>
      <c r="G33" s="815"/>
      <c r="H33" s="816"/>
      <c r="I33" s="815"/>
      <c r="J33" s="561"/>
    </row>
  </sheetData>
  <pageMargins left="1" right="1" top="1"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1D854-63DD-427A-9B45-434954651CAF}">
  <sheetPr>
    <pageSetUpPr fitToPage="1"/>
  </sheetPr>
  <dimension ref="A1:J57"/>
  <sheetViews>
    <sheetView tabSelected="1" zoomScale="80" zoomScaleNormal="80" workbookViewId="0">
      <selection activeCell="B6" sqref="B6"/>
    </sheetView>
  </sheetViews>
  <sheetFormatPr defaultRowHeight="15"/>
  <cols>
    <col min="1" max="1" width="6.81640625" customWidth="1"/>
    <col min="2" max="2" width="10.54296875" style="561" customWidth="1"/>
    <col min="3" max="3" width="54.81640625" customWidth="1"/>
    <col min="4" max="4" width="17" customWidth="1"/>
    <col min="5" max="5" width="14.6328125" customWidth="1"/>
    <col min="6" max="6" width="2.08984375" customWidth="1"/>
    <col min="7" max="7" width="15.81640625" customWidth="1"/>
    <col min="10" max="10" width="11.81640625" bestFit="1" customWidth="1"/>
  </cols>
  <sheetData>
    <row r="1" spans="1:7" ht="15.6">
      <c r="A1" s="1173" t="s">
        <v>401</v>
      </c>
      <c r="B1" s="1173"/>
      <c r="C1" s="589"/>
      <c r="D1" s="1173"/>
      <c r="E1" s="1173"/>
      <c r="F1" s="1173"/>
      <c r="G1" s="1173"/>
    </row>
    <row r="2" spans="1:7" ht="15.6">
      <c r="A2" s="1173" t="s">
        <v>306</v>
      </c>
      <c r="B2" s="1173"/>
      <c r="C2" s="589"/>
      <c r="D2" s="1173"/>
      <c r="E2" s="1173"/>
      <c r="F2" s="1173"/>
      <c r="G2" s="1173"/>
    </row>
    <row r="3" spans="1:7" ht="15.6">
      <c r="A3" s="1173" t="s">
        <v>930</v>
      </c>
      <c r="B3" s="1173"/>
      <c r="C3" s="589"/>
      <c r="D3" s="1173"/>
      <c r="E3" s="1173"/>
      <c r="F3" s="1173"/>
      <c r="G3" s="1173"/>
    </row>
    <row r="4" spans="1:7">
      <c r="A4" s="596"/>
      <c r="B4" s="596"/>
      <c r="C4" s="596"/>
      <c r="D4" s="596"/>
      <c r="E4" s="596"/>
      <c r="F4" s="596"/>
      <c r="G4" s="596"/>
    </row>
    <row r="5" spans="1:7" s="561" customFormat="1">
      <c r="A5" s="596"/>
      <c r="B5" s="596"/>
      <c r="C5" s="596"/>
      <c r="D5" s="596"/>
      <c r="E5" s="596"/>
      <c r="F5" s="596"/>
      <c r="G5" s="596"/>
    </row>
    <row r="6" spans="1:7">
      <c r="A6" s="596"/>
      <c r="B6" s="565" t="s">
        <v>405</v>
      </c>
      <c r="C6" s="596"/>
      <c r="D6" s="596"/>
      <c r="E6" s="565" t="s">
        <v>290</v>
      </c>
      <c r="F6" s="596"/>
      <c r="G6" s="596"/>
    </row>
    <row r="7" spans="1:7">
      <c r="A7" s="565" t="s">
        <v>8</v>
      </c>
      <c r="B7" s="565" t="s">
        <v>952</v>
      </c>
      <c r="C7" s="596"/>
      <c r="D7" s="596"/>
      <c r="E7" s="565" t="s">
        <v>578</v>
      </c>
      <c r="F7" s="596"/>
      <c r="G7" s="565" t="s">
        <v>290</v>
      </c>
    </row>
    <row r="8" spans="1:7" ht="17.399999999999999">
      <c r="A8" s="573" t="s">
        <v>10</v>
      </c>
      <c r="B8" s="573" t="s">
        <v>951</v>
      </c>
      <c r="C8" s="257" t="s">
        <v>429</v>
      </c>
      <c r="D8" s="596"/>
      <c r="E8" s="573" t="s">
        <v>928</v>
      </c>
      <c r="F8" s="596"/>
      <c r="G8" s="573" t="s">
        <v>289</v>
      </c>
    </row>
    <row r="9" spans="1:7">
      <c r="A9" s="596"/>
      <c r="B9" s="596"/>
      <c r="C9" s="596"/>
      <c r="D9" s="596"/>
      <c r="E9" s="596"/>
      <c r="F9" s="596"/>
      <c r="G9" s="573"/>
    </row>
    <row r="10" spans="1:7">
      <c r="A10" s="616">
        <v>1</v>
      </c>
      <c r="B10" s="616"/>
      <c r="C10" s="920" t="s">
        <v>929</v>
      </c>
      <c r="D10" s="596"/>
      <c r="E10" s="597"/>
      <c r="F10" s="597"/>
      <c r="G10" s="617">
        <v>134316531</v>
      </c>
    </row>
    <row r="11" spans="1:7">
      <c r="A11" s="616">
        <f>A10+1</f>
        <v>2</v>
      </c>
      <c r="B11" s="616"/>
      <c r="C11" s="596"/>
      <c r="D11" s="596"/>
      <c r="E11" s="597"/>
      <c r="F11" s="597"/>
      <c r="G11" s="597"/>
    </row>
    <row r="12" spans="1:7">
      <c r="A12" s="616">
        <f t="shared" ref="A12:A21" si="0">A11+1</f>
        <v>3</v>
      </c>
      <c r="B12" s="616" t="s">
        <v>942</v>
      </c>
      <c r="C12" s="929" t="s">
        <v>937</v>
      </c>
      <c r="D12" s="596"/>
      <c r="E12" s="597"/>
      <c r="F12" s="597"/>
      <c r="G12" s="597"/>
    </row>
    <row r="13" spans="1:7">
      <c r="A13" s="616">
        <f>A12+1</f>
        <v>4</v>
      </c>
      <c r="B13" s="616"/>
      <c r="C13" s="550"/>
      <c r="D13" s="596" t="s">
        <v>774</v>
      </c>
      <c r="E13" s="921">
        <v>-353814</v>
      </c>
      <c r="F13" s="597"/>
      <c r="G13" s="597"/>
    </row>
    <row r="14" spans="1:7">
      <c r="A14" s="616">
        <f t="shared" si="0"/>
        <v>5</v>
      </c>
      <c r="B14" s="616"/>
      <c r="C14" s="550"/>
      <c r="D14" s="596" t="s">
        <v>823</v>
      </c>
      <c r="E14" s="1186">
        <v>0</v>
      </c>
      <c r="F14" s="597"/>
      <c r="G14" s="597"/>
    </row>
    <row r="15" spans="1:7">
      <c r="A15" s="616">
        <f t="shared" si="0"/>
        <v>6</v>
      </c>
      <c r="B15" s="616"/>
      <c r="C15" s="550"/>
      <c r="D15" s="596"/>
      <c r="E15" s="597">
        <f>SUM(E13:E14)</f>
        <v>-353814</v>
      </c>
      <c r="F15" s="597"/>
      <c r="G15" s="597">
        <f>E15</f>
        <v>-353814</v>
      </c>
    </row>
    <row r="16" spans="1:7">
      <c r="A16" s="616">
        <f t="shared" si="0"/>
        <v>7</v>
      </c>
      <c r="B16" s="616"/>
      <c r="C16" s="550"/>
      <c r="D16" s="596"/>
      <c r="E16" s="597"/>
      <c r="F16" s="597"/>
      <c r="G16" s="597"/>
    </row>
    <row r="17" spans="1:7">
      <c r="A17" s="616">
        <f t="shared" si="0"/>
        <v>8</v>
      </c>
      <c r="B17" s="616" t="s">
        <v>943</v>
      </c>
      <c r="C17" s="929" t="s">
        <v>938</v>
      </c>
      <c r="D17" s="596"/>
      <c r="E17" s="597"/>
      <c r="F17" s="597"/>
      <c r="G17" s="597"/>
    </row>
    <row r="18" spans="1:7">
      <c r="A18" s="616">
        <f>A17+1</f>
        <v>9</v>
      </c>
      <c r="B18" s="616"/>
      <c r="C18" s="550"/>
      <c r="D18" s="596" t="s">
        <v>774</v>
      </c>
      <c r="E18" s="921">
        <v>-21346</v>
      </c>
      <c r="F18" s="597"/>
      <c r="G18" s="597"/>
    </row>
    <row r="19" spans="1:7">
      <c r="A19" s="616">
        <f t="shared" si="0"/>
        <v>10</v>
      </c>
      <c r="B19" s="616"/>
      <c r="C19" s="550"/>
      <c r="D19" s="596" t="s">
        <v>823</v>
      </c>
      <c r="E19" s="1186">
        <v>0</v>
      </c>
      <c r="F19" s="597"/>
      <c r="G19" s="597"/>
    </row>
    <row r="20" spans="1:7">
      <c r="A20" s="616">
        <f t="shared" si="0"/>
        <v>11</v>
      </c>
      <c r="B20" s="616"/>
      <c r="C20" s="550"/>
      <c r="D20" s="596"/>
      <c r="E20" s="597">
        <f>SUM(E18:E19)</f>
        <v>-21346</v>
      </c>
      <c r="F20" s="597"/>
      <c r="G20" s="597">
        <f>E20</f>
        <v>-21346</v>
      </c>
    </row>
    <row r="21" spans="1:7">
      <c r="A21" s="616">
        <f t="shared" si="0"/>
        <v>12</v>
      </c>
      <c r="B21" s="616"/>
      <c r="C21" s="550"/>
      <c r="D21" s="596"/>
      <c r="E21" s="597"/>
      <c r="F21" s="597"/>
      <c r="G21" s="597"/>
    </row>
    <row r="22" spans="1:7" s="561" customFormat="1" ht="30">
      <c r="A22" s="616">
        <f>A21+1</f>
        <v>13</v>
      </c>
      <c r="B22" s="616" t="s">
        <v>944</v>
      </c>
      <c r="C22" s="929" t="s">
        <v>948</v>
      </c>
      <c r="D22" s="550"/>
      <c r="E22" s="440"/>
      <c r="F22" s="597"/>
      <c r="G22" s="597"/>
    </row>
    <row r="23" spans="1:7" s="561" customFormat="1">
      <c r="A23" s="616">
        <f>A22+1</f>
        <v>14</v>
      </c>
      <c r="B23" s="616"/>
      <c r="C23" s="618"/>
      <c r="D23" s="550" t="s">
        <v>822</v>
      </c>
      <c r="E23" s="921">
        <v>-67341</v>
      </c>
      <c r="F23" s="597"/>
      <c r="G23" s="597"/>
    </row>
    <row r="24" spans="1:7" s="561" customFormat="1">
      <c r="A24" s="616">
        <f t="shared" ref="A24:A56" si="1">A23+1</f>
        <v>15</v>
      </c>
      <c r="B24" s="616"/>
      <c r="C24" s="596"/>
      <c r="D24" s="550" t="s">
        <v>774</v>
      </c>
      <c r="E24" s="922">
        <v>-732</v>
      </c>
      <c r="F24" s="597"/>
      <c r="G24" s="597"/>
    </row>
    <row r="25" spans="1:7" s="561" customFormat="1">
      <c r="A25" s="616">
        <f t="shared" si="1"/>
        <v>16</v>
      </c>
      <c r="B25" s="616"/>
      <c r="C25" s="596"/>
      <c r="D25" s="550" t="s">
        <v>823</v>
      </c>
      <c r="E25" s="1187">
        <v>-143</v>
      </c>
      <c r="F25" s="597"/>
      <c r="G25" s="597"/>
    </row>
    <row r="26" spans="1:7" s="561" customFormat="1">
      <c r="A26" s="616">
        <f t="shared" si="1"/>
        <v>17</v>
      </c>
      <c r="B26" s="616"/>
      <c r="C26" s="596"/>
      <c r="D26" s="550"/>
      <c r="E26" s="440">
        <f>SUM(E23:E25)</f>
        <v>-68216</v>
      </c>
      <c r="F26" s="597"/>
      <c r="G26" s="597">
        <f>E26</f>
        <v>-68216</v>
      </c>
    </row>
    <row r="27" spans="1:7" s="561" customFormat="1">
      <c r="A27" s="616">
        <f t="shared" si="1"/>
        <v>18</v>
      </c>
      <c r="B27" s="616"/>
      <c r="C27" s="596"/>
      <c r="D27" s="550"/>
      <c r="E27" s="440"/>
      <c r="F27" s="597"/>
      <c r="G27" s="597"/>
    </row>
    <row r="28" spans="1:7" s="561" customFormat="1" ht="30">
      <c r="A28" s="616">
        <f t="shared" si="1"/>
        <v>19</v>
      </c>
      <c r="B28" s="616" t="s">
        <v>945</v>
      </c>
      <c r="C28" s="929" t="s">
        <v>939</v>
      </c>
      <c r="D28" s="550"/>
      <c r="E28" s="440"/>
      <c r="F28" s="597"/>
      <c r="G28" s="597"/>
    </row>
    <row r="29" spans="1:7" s="561" customFormat="1">
      <c r="A29" s="616">
        <f t="shared" si="1"/>
        <v>20</v>
      </c>
      <c r="B29" s="616"/>
      <c r="C29" s="618"/>
      <c r="D29" s="1188" t="s">
        <v>935</v>
      </c>
      <c r="E29" s="921">
        <f>-2778-255</f>
        <v>-3033</v>
      </c>
      <c r="F29" s="597"/>
      <c r="G29" s="597"/>
    </row>
    <row r="30" spans="1:7" s="561" customFormat="1">
      <c r="A30" s="616">
        <f t="shared" si="1"/>
        <v>21</v>
      </c>
      <c r="B30" s="616"/>
      <c r="C30" s="596"/>
      <c r="D30" s="550" t="s">
        <v>774</v>
      </c>
      <c r="E30" s="922">
        <f>-224-2</f>
        <v>-226</v>
      </c>
      <c r="F30" s="597"/>
      <c r="G30" s="597"/>
    </row>
    <row r="31" spans="1:7" s="561" customFormat="1">
      <c r="A31" s="616">
        <f t="shared" si="1"/>
        <v>22</v>
      </c>
      <c r="B31" s="616"/>
      <c r="C31" s="596"/>
      <c r="D31" s="550" t="s">
        <v>823</v>
      </c>
      <c r="E31" s="1187">
        <v>-44</v>
      </c>
      <c r="F31" s="597"/>
      <c r="G31" s="597"/>
    </row>
    <row r="32" spans="1:7" s="561" customFormat="1">
      <c r="A32" s="616">
        <f t="shared" si="1"/>
        <v>23</v>
      </c>
      <c r="B32" s="616"/>
      <c r="C32" s="596"/>
      <c r="D32" s="550"/>
      <c r="E32" s="440">
        <f>SUM(E29:E31)</f>
        <v>-3303</v>
      </c>
      <c r="F32" s="597"/>
      <c r="G32" s="597">
        <f>E32</f>
        <v>-3303</v>
      </c>
    </row>
    <row r="33" spans="1:10" s="561" customFormat="1">
      <c r="A33" s="616">
        <f t="shared" si="1"/>
        <v>24</v>
      </c>
      <c r="B33" s="616"/>
      <c r="C33" s="596"/>
      <c r="D33" s="550"/>
      <c r="E33" s="440"/>
      <c r="F33" s="597"/>
      <c r="G33" s="597"/>
    </row>
    <row r="34" spans="1:10" s="561" customFormat="1" ht="30">
      <c r="A34" s="616">
        <f t="shared" si="1"/>
        <v>25</v>
      </c>
      <c r="B34" s="616" t="s">
        <v>946</v>
      </c>
      <c r="C34" s="929" t="s">
        <v>940</v>
      </c>
      <c r="D34" s="550"/>
      <c r="E34" s="440"/>
      <c r="F34" s="597"/>
      <c r="G34" s="597"/>
    </row>
    <row r="35" spans="1:10" s="561" customFormat="1">
      <c r="A35" s="616">
        <f t="shared" si="1"/>
        <v>26</v>
      </c>
      <c r="B35" s="616"/>
      <c r="C35" s="618"/>
      <c r="D35" s="550" t="s">
        <v>822</v>
      </c>
      <c r="E35" s="921">
        <v>-57</v>
      </c>
      <c r="F35" s="597"/>
      <c r="G35" s="597"/>
    </row>
    <row r="36" spans="1:10" s="561" customFormat="1">
      <c r="A36" s="616">
        <f t="shared" si="1"/>
        <v>27</v>
      </c>
      <c r="B36" s="616"/>
      <c r="C36" s="596"/>
      <c r="D36" s="550" t="s">
        <v>774</v>
      </c>
      <c r="E36" s="922">
        <v>0</v>
      </c>
      <c r="F36" s="597"/>
      <c r="G36" s="597"/>
    </row>
    <row r="37" spans="1:10" s="561" customFormat="1">
      <c r="A37" s="616">
        <f t="shared" si="1"/>
        <v>28</v>
      </c>
      <c r="B37" s="616"/>
      <c r="C37" s="596"/>
      <c r="D37" s="550" t="s">
        <v>823</v>
      </c>
      <c r="E37" s="1187">
        <v>0</v>
      </c>
      <c r="F37" s="597"/>
      <c r="G37" s="597"/>
    </row>
    <row r="38" spans="1:10" s="561" customFormat="1">
      <c r="A38" s="616">
        <f t="shared" si="1"/>
        <v>29</v>
      </c>
      <c r="B38" s="616"/>
      <c r="C38" s="596"/>
      <c r="D38" s="550"/>
      <c r="E38" s="440">
        <f>SUM(E35:E37)</f>
        <v>-57</v>
      </c>
      <c r="F38" s="597"/>
      <c r="G38" s="597">
        <f>E38</f>
        <v>-57</v>
      </c>
    </row>
    <row r="39" spans="1:10" s="561" customFormat="1">
      <c r="A39" s="616">
        <f t="shared" si="1"/>
        <v>30</v>
      </c>
      <c r="B39" s="616"/>
      <c r="C39" s="596"/>
      <c r="D39" s="550"/>
      <c r="E39" s="440"/>
      <c r="F39" s="597"/>
      <c r="G39" s="597"/>
    </row>
    <row r="40" spans="1:10" ht="30">
      <c r="A40" s="616">
        <f t="shared" si="1"/>
        <v>31</v>
      </c>
      <c r="B40" s="616" t="s">
        <v>947</v>
      </c>
      <c r="C40" s="929" t="s">
        <v>941</v>
      </c>
      <c r="D40" s="550"/>
      <c r="E40" s="440"/>
      <c r="F40" s="597"/>
      <c r="G40" s="597"/>
      <c r="J40" s="684"/>
    </row>
    <row r="41" spans="1:10">
      <c r="A41" s="616">
        <f t="shared" si="1"/>
        <v>32</v>
      </c>
      <c r="B41" s="616"/>
      <c r="C41" s="618"/>
      <c r="D41" s="550" t="s">
        <v>822</v>
      </c>
      <c r="E41" s="921">
        <f>-106875-1</f>
        <v>-106876</v>
      </c>
      <c r="F41" s="597"/>
      <c r="G41" s="597"/>
      <c r="J41" s="684"/>
    </row>
    <row r="42" spans="1:10">
      <c r="A42" s="616">
        <f t="shared" si="1"/>
        <v>33</v>
      </c>
      <c r="B42" s="616"/>
      <c r="C42" s="596"/>
      <c r="D42" s="550" t="s">
        <v>774</v>
      </c>
      <c r="E42" s="922">
        <f>-1162+13</f>
        <v>-1149</v>
      </c>
      <c r="F42" s="597"/>
      <c r="G42" s="597"/>
      <c r="J42" s="684"/>
    </row>
    <row r="43" spans="1:10">
      <c r="A43" s="616">
        <f t="shared" si="1"/>
        <v>34</v>
      </c>
      <c r="B43" s="616"/>
      <c r="C43" s="596"/>
      <c r="D43" s="550" t="s">
        <v>823</v>
      </c>
      <c r="E43" s="1187">
        <f>-227-1</f>
        <v>-228</v>
      </c>
      <c r="F43" s="597"/>
      <c r="G43" s="597"/>
      <c r="J43" s="684"/>
    </row>
    <row r="44" spans="1:10">
      <c r="A44" s="616">
        <f t="shared" si="1"/>
        <v>35</v>
      </c>
      <c r="B44" s="616"/>
      <c r="C44" s="596"/>
      <c r="D44" s="596"/>
      <c r="E44" s="597">
        <f>SUM(E41:E43)</f>
        <v>-108253</v>
      </c>
      <c r="F44" s="597"/>
      <c r="G44" s="597">
        <f>E44</f>
        <v>-108253</v>
      </c>
      <c r="J44" s="684"/>
    </row>
    <row r="45" spans="1:10">
      <c r="A45" s="616">
        <f t="shared" si="1"/>
        <v>36</v>
      </c>
      <c r="B45" s="616"/>
      <c r="C45" s="596"/>
      <c r="D45" s="596"/>
      <c r="E45" s="597"/>
      <c r="F45" s="597"/>
      <c r="G45" s="597"/>
      <c r="J45" s="684"/>
    </row>
    <row r="46" spans="1:10">
      <c r="A46" s="616">
        <f t="shared" si="1"/>
        <v>37</v>
      </c>
      <c r="B46" s="616"/>
      <c r="C46" s="596" t="s">
        <v>932</v>
      </c>
      <c r="D46" s="596"/>
      <c r="E46" s="597"/>
      <c r="F46" s="597"/>
      <c r="G46" s="597">
        <f>SUM(G10:G45)</f>
        <v>133761542</v>
      </c>
      <c r="J46" s="684"/>
    </row>
    <row r="47" spans="1:10">
      <c r="A47" s="616">
        <f t="shared" si="1"/>
        <v>38</v>
      </c>
      <c r="B47" s="616"/>
      <c r="C47" s="596"/>
      <c r="D47" s="596"/>
      <c r="E47" s="597"/>
      <c r="F47" s="597"/>
      <c r="G47" s="597"/>
      <c r="J47" s="684"/>
    </row>
    <row r="48" spans="1:10">
      <c r="A48" s="616">
        <f t="shared" si="1"/>
        <v>39</v>
      </c>
      <c r="B48" s="616"/>
      <c r="C48" s="596" t="s">
        <v>933</v>
      </c>
      <c r="D48" s="596"/>
      <c r="E48" s="597"/>
      <c r="F48" s="597"/>
      <c r="G48" s="597">
        <f>G10-G46</f>
        <v>554989</v>
      </c>
    </row>
    <row r="49" spans="1:7">
      <c r="A49" s="616">
        <f t="shared" si="1"/>
        <v>40</v>
      </c>
      <c r="B49" s="616"/>
      <c r="C49" s="596"/>
      <c r="D49" s="596"/>
      <c r="E49" s="596"/>
      <c r="F49" s="596"/>
      <c r="G49" s="596"/>
    </row>
    <row r="50" spans="1:7">
      <c r="A50" s="616">
        <f t="shared" si="1"/>
        <v>41</v>
      </c>
      <c r="B50" s="616"/>
      <c r="C50" s="596" t="s">
        <v>580</v>
      </c>
      <c r="D50" s="596"/>
      <c r="E50" s="596"/>
      <c r="F50" s="596"/>
      <c r="G50" s="139">
        <f>FERCrefund</f>
        <v>5.5E-2</v>
      </c>
    </row>
    <row r="51" spans="1:7">
      <c r="A51" s="616">
        <f t="shared" si="1"/>
        <v>42</v>
      </c>
      <c r="B51" s="616"/>
      <c r="C51" s="596"/>
      <c r="D51" s="596"/>
      <c r="E51" s="596"/>
      <c r="F51" s="596"/>
      <c r="G51" s="924"/>
    </row>
    <row r="52" spans="1:7">
      <c r="A52" s="616">
        <f t="shared" si="1"/>
        <v>43</v>
      </c>
      <c r="B52" s="616"/>
      <c r="C52" s="596" t="s">
        <v>582</v>
      </c>
      <c r="D52" s="596"/>
      <c r="E52" s="925"/>
      <c r="F52" s="596"/>
      <c r="G52" s="926">
        <v>1.5</v>
      </c>
    </row>
    <row r="53" spans="1:7">
      <c r="A53" s="616">
        <f t="shared" si="1"/>
        <v>44</v>
      </c>
      <c r="B53" s="616"/>
      <c r="C53" s="596"/>
      <c r="D53" s="596"/>
      <c r="E53" s="925"/>
      <c r="F53" s="596"/>
      <c r="G53" s="927"/>
    </row>
    <row r="54" spans="1:7" ht="16.8">
      <c r="A54" s="616">
        <f t="shared" si="1"/>
        <v>45</v>
      </c>
      <c r="B54" s="616"/>
      <c r="C54" s="618" t="s">
        <v>583</v>
      </c>
      <c r="D54" s="596"/>
      <c r="E54" s="925"/>
      <c r="F54" s="596"/>
      <c r="G54" s="928">
        <f>ROUND((G48*(1+G50/4)^(4*G52))-G48,0)</f>
        <v>47390</v>
      </c>
    </row>
    <row r="55" spans="1:7">
      <c r="A55" s="616">
        <f t="shared" si="1"/>
        <v>46</v>
      </c>
      <c r="B55" s="616"/>
      <c r="C55" s="596"/>
      <c r="D55" s="596"/>
      <c r="E55" s="596"/>
      <c r="F55" s="596"/>
      <c r="G55" s="596"/>
    </row>
    <row r="56" spans="1:7" ht="15.6" thickBot="1">
      <c r="A56" s="616">
        <f t="shared" si="1"/>
        <v>47</v>
      </c>
      <c r="B56" s="616"/>
      <c r="C56" s="596" t="s">
        <v>825</v>
      </c>
      <c r="D56" s="867" t="str">
        <f>"Line "&amp;A48&amp;" + Line "&amp;A54</f>
        <v>Line 39 + Line 45</v>
      </c>
      <c r="E56" s="596"/>
      <c r="F56" s="596"/>
      <c r="G56" s="320">
        <f>G48+G54</f>
        <v>602379</v>
      </c>
    </row>
    <row r="57" spans="1:7" ht="15.6" thickTop="1"/>
  </sheetData>
  <pageMargins left="1" right="0.66" top="1" bottom="0.35" header="0.18" footer="0.16"/>
  <pageSetup scale="5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tabColor theme="1" tint="4.9989318521683403E-2"/>
    <pageSetUpPr fitToPage="1"/>
  </sheetPr>
  <dimension ref="A1:AF36"/>
  <sheetViews>
    <sheetView zoomScale="90" zoomScaleNormal="90" workbookViewId="0"/>
  </sheetViews>
  <sheetFormatPr defaultColWidth="8.90625" defaultRowHeight="14.4"/>
  <cols>
    <col min="1" max="1" width="6.36328125" style="772" customWidth="1"/>
    <col min="2" max="2" width="1.08984375" style="772" customWidth="1"/>
    <col min="3" max="3" width="30.81640625" style="772" customWidth="1"/>
    <col min="4" max="4" width="1.1796875" style="772" customWidth="1"/>
    <col min="5" max="5" width="12.6328125" style="772" customWidth="1"/>
    <col min="6" max="6" width="0.81640625" style="772" customWidth="1"/>
    <col min="7" max="7" width="12" style="772" bestFit="1" customWidth="1"/>
    <col min="8" max="8" width="2" style="772" customWidth="1"/>
    <col min="9" max="9" width="12.08984375" style="772" customWidth="1"/>
    <col min="10" max="10" width="0.81640625" style="772" customWidth="1"/>
    <col min="11" max="11" width="11.6328125" style="772" customWidth="1"/>
    <col min="12" max="12" width="2" style="772" customWidth="1"/>
    <col min="13" max="13" width="8.90625" style="772"/>
    <col min="14" max="14" width="16.90625" style="772" customWidth="1"/>
    <col min="15" max="15" width="12.81640625" style="772" customWidth="1"/>
    <col min="16" max="16" width="1.54296875" style="772" customWidth="1"/>
    <col min="17" max="17" width="17.81640625" style="772" customWidth="1"/>
    <col min="18" max="18" width="9.6328125" style="773" customWidth="1"/>
    <col min="19" max="21" width="1.81640625" style="772" customWidth="1"/>
    <col min="22" max="22" width="10.36328125" style="772" customWidth="1"/>
    <col min="23" max="23" width="9.90625" style="772" customWidth="1"/>
    <col min="24" max="24" width="2.1796875" style="772" customWidth="1"/>
    <col min="25" max="25" width="11.6328125" style="772" customWidth="1"/>
    <col min="26" max="26" width="10.1796875" style="772" customWidth="1"/>
    <col min="27" max="27" width="1.36328125" style="772" customWidth="1"/>
    <col min="28" max="28" width="10.1796875" style="772" customWidth="1"/>
    <col min="29" max="29" width="9.6328125" style="772" customWidth="1"/>
    <col min="30" max="30" width="1.453125" style="772" customWidth="1"/>
    <col min="31" max="32" width="11" style="772" customWidth="1"/>
    <col min="33" max="16384" width="8.90625" style="772"/>
  </cols>
  <sheetData>
    <row r="1" spans="1:32" ht="15.6">
      <c r="A1" s="588" t="str">
        <f>'P1 ADIT'!A1</f>
        <v>Duke Energy Ohio and Duke Energy Kentucky</v>
      </c>
      <c r="B1" s="1147"/>
      <c r="C1" s="1147"/>
      <c r="D1" s="588"/>
      <c r="E1" s="246"/>
      <c r="F1" s="246"/>
      <c r="G1" s="246"/>
      <c r="H1" s="246"/>
      <c r="I1" s="246"/>
      <c r="J1" s="246"/>
      <c r="K1" s="589"/>
      <c r="L1" s="196"/>
      <c r="O1" s="955"/>
      <c r="P1" s="955"/>
      <c r="Q1" s="955"/>
      <c r="R1" s="956"/>
      <c r="S1" s="955"/>
      <c r="T1" s="955"/>
      <c r="U1" s="955"/>
      <c r="V1" s="955"/>
      <c r="W1" s="955"/>
      <c r="X1" s="955"/>
      <c r="Y1" s="955"/>
      <c r="Z1" s="955"/>
      <c r="AA1" s="955"/>
      <c r="AB1" s="955"/>
      <c r="AC1" s="955"/>
      <c r="AD1" s="955"/>
      <c r="AE1" s="955"/>
    </row>
    <row r="2" spans="1:32" ht="15.6">
      <c r="C2" s="588"/>
      <c r="D2" s="588"/>
      <c r="E2" s="246"/>
      <c r="F2" s="246"/>
      <c r="G2" s="246"/>
      <c r="H2" s="246"/>
      <c r="I2" s="246"/>
      <c r="J2" s="246"/>
      <c r="K2" s="589"/>
      <c r="L2" s="196"/>
      <c r="O2" s="955"/>
      <c r="P2" s="955"/>
      <c r="Q2" s="955"/>
      <c r="R2" s="956"/>
      <c r="S2" s="955"/>
      <c r="T2" s="955"/>
      <c r="U2" s="955"/>
      <c r="V2" s="955"/>
      <c r="W2" s="955"/>
      <c r="X2" s="955"/>
      <c r="Y2" s="955"/>
      <c r="Z2" s="955"/>
      <c r="AA2" s="955"/>
      <c r="AB2" s="955"/>
      <c r="AC2" s="955"/>
      <c r="AD2" s="955"/>
      <c r="AE2" s="955"/>
    </row>
    <row r="3" spans="1:32" ht="15.6">
      <c r="C3" s="588"/>
      <c r="D3" s="588"/>
      <c r="E3" s="246"/>
      <c r="F3" s="246"/>
      <c r="G3" s="246"/>
      <c r="H3" s="246"/>
      <c r="I3" s="246"/>
      <c r="J3" s="246"/>
      <c r="K3" s="376" t="s">
        <v>406</v>
      </c>
      <c r="L3" s="196"/>
      <c r="N3" s="957"/>
      <c r="O3" s="955"/>
      <c r="P3" s="955"/>
      <c r="Q3" s="955"/>
      <c r="R3" s="956"/>
      <c r="S3" s="955"/>
      <c r="T3" s="955"/>
      <c r="U3" s="955"/>
      <c r="V3" s="775"/>
      <c r="W3" s="775"/>
      <c r="X3" s="775"/>
      <c r="Y3" s="775"/>
      <c r="Z3" s="775"/>
      <c r="AA3" s="775"/>
      <c r="AB3" s="775"/>
      <c r="AC3" s="775"/>
      <c r="AD3" s="775"/>
      <c r="AE3" s="775"/>
    </row>
    <row r="4" spans="1:32" ht="15.6">
      <c r="C4" s="588"/>
      <c r="D4" s="588"/>
      <c r="E4" s="246"/>
      <c r="F4" s="246"/>
      <c r="G4" s="246"/>
      <c r="H4" s="246"/>
      <c r="I4" s="246"/>
      <c r="J4" s="246"/>
      <c r="K4" s="514" t="str">
        <f>"Page 15 of "&amp;Workpaper</f>
        <v>Page 15 of 17</v>
      </c>
      <c r="L4" s="196"/>
      <c r="N4" s="968"/>
      <c r="O4" s="955"/>
      <c r="P4" s="955"/>
      <c r="Q4" s="955"/>
      <c r="R4" s="956"/>
      <c r="S4" s="955"/>
      <c r="T4" s="955"/>
      <c r="U4" s="955"/>
      <c r="V4" s="775"/>
      <c r="W4" s="775"/>
      <c r="X4" s="775"/>
      <c r="Y4" s="775"/>
      <c r="Z4" s="775"/>
      <c r="AA4" s="775"/>
      <c r="AB4" s="775"/>
      <c r="AC4" s="775"/>
      <c r="AD4" s="775"/>
      <c r="AE4" s="775"/>
    </row>
    <row r="5" spans="1:32" ht="15.6">
      <c r="C5" s="588"/>
      <c r="D5" s="588"/>
      <c r="E5" s="246"/>
      <c r="F5" s="246"/>
      <c r="G5" s="246"/>
      <c r="H5" s="246"/>
      <c r="I5" s="246"/>
      <c r="J5" s="246"/>
      <c r="K5" s="261" t="str">
        <f>"For the 12 months ended: "&amp;TEXT(INPUT!$B$1,"mm/dd/yyyy")</f>
        <v>For the 12 months ended: 12/31/2018</v>
      </c>
      <c r="L5" s="196"/>
      <c r="N5" s="958"/>
      <c r="O5" s="958"/>
      <c r="P5" s="955"/>
      <c r="Q5" s="955"/>
      <c r="R5" s="956"/>
      <c r="S5" s="955"/>
      <c r="T5" s="955"/>
      <c r="U5" s="955"/>
      <c r="V5" s="775"/>
      <c r="W5" s="775"/>
      <c r="X5" s="775"/>
      <c r="Y5" s="776"/>
      <c r="Z5" s="775"/>
      <c r="AA5" s="775"/>
      <c r="AB5" s="775"/>
      <c r="AC5" s="775"/>
      <c r="AD5" s="775"/>
      <c r="AE5" s="775"/>
    </row>
    <row r="6" spans="1:32" ht="15.6">
      <c r="C6" s="588"/>
      <c r="D6" s="588"/>
      <c r="E6" s="246"/>
      <c r="F6" s="246"/>
      <c r="G6" s="246"/>
      <c r="H6" s="246"/>
      <c r="I6" s="246"/>
      <c r="J6" s="246"/>
      <c r="K6" s="376"/>
      <c r="L6" s="196"/>
      <c r="N6" s="959"/>
      <c r="O6" s="960"/>
      <c r="P6" s="955"/>
      <c r="Q6" s="959"/>
      <c r="R6" s="960"/>
      <c r="S6" s="955"/>
      <c r="T6" s="955"/>
      <c r="U6" s="955"/>
      <c r="V6" s="777"/>
      <c r="W6" s="778"/>
      <c r="X6" s="775"/>
      <c r="Y6" s="777"/>
      <c r="Z6" s="778"/>
      <c r="AA6" s="775"/>
      <c r="AB6" s="777"/>
      <c r="AC6" s="778"/>
      <c r="AD6" s="775"/>
      <c r="AE6" s="775"/>
    </row>
    <row r="7" spans="1:32" ht="15.6">
      <c r="A7" s="588" t="s">
        <v>700</v>
      </c>
      <c r="B7" s="1147"/>
      <c r="C7" s="1147"/>
      <c r="D7" s="588"/>
      <c r="E7" s="246"/>
      <c r="F7" s="246"/>
      <c r="G7" s="246"/>
      <c r="H7" s="246"/>
      <c r="I7" s="246"/>
      <c r="J7" s="246"/>
      <c r="K7" s="589"/>
      <c r="L7" s="196"/>
      <c r="N7" s="961"/>
      <c r="O7" s="960"/>
      <c r="P7" s="955"/>
      <c r="Q7" s="959"/>
      <c r="R7" s="960"/>
      <c r="S7" s="955"/>
      <c r="T7" s="955"/>
      <c r="U7" s="955"/>
      <c r="V7" s="775"/>
      <c r="W7" s="775"/>
      <c r="X7" s="775"/>
      <c r="Y7" s="775"/>
      <c r="Z7" s="775"/>
      <c r="AA7" s="775"/>
      <c r="AB7" s="775"/>
      <c r="AC7" s="775"/>
      <c r="AD7" s="775"/>
      <c r="AE7" s="775"/>
    </row>
    <row r="8" spans="1:32" ht="15.6">
      <c r="A8" s="588" t="s">
        <v>704</v>
      </c>
      <c r="B8" s="1147"/>
      <c r="C8" s="1147"/>
      <c r="D8" s="588"/>
      <c r="E8" s="246"/>
      <c r="F8" s="246"/>
      <c r="G8" s="246"/>
      <c r="H8" s="246"/>
      <c r="I8" s="246"/>
      <c r="J8" s="246"/>
      <c r="K8" s="589"/>
      <c r="L8" s="196"/>
      <c r="N8" s="962"/>
      <c r="O8" s="960"/>
      <c r="P8" s="955"/>
      <c r="Q8" s="959"/>
      <c r="R8" s="960"/>
      <c r="S8" s="955"/>
      <c r="T8" s="955"/>
      <c r="U8" s="955"/>
      <c r="V8" s="779"/>
      <c r="W8" s="779"/>
      <c r="X8" s="775"/>
      <c r="Y8" s="779"/>
      <c r="Z8" s="779"/>
      <c r="AA8" s="775"/>
      <c r="AB8" s="779"/>
      <c r="AC8" s="779"/>
      <c r="AD8" s="775"/>
      <c r="AE8" s="775"/>
    </row>
    <row r="9" spans="1:32" ht="15.6">
      <c r="C9" s="93"/>
      <c r="D9" s="93"/>
      <c r="E9" s="337"/>
      <c r="F9" s="337"/>
      <c r="G9" s="337"/>
      <c r="H9" s="337"/>
      <c r="I9" s="337"/>
      <c r="J9" s="337"/>
      <c r="K9" s="93"/>
      <c r="L9" s="196"/>
      <c r="N9" s="962"/>
      <c r="O9" s="960"/>
      <c r="P9" s="955"/>
      <c r="Q9" s="955"/>
      <c r="R9" s="960"/>
      <c r="S9" s="955"/>
      <c r="T9" s="955"/>
      <c r="U9" s="955"/>
      <c r="V9" s="780"/>
      <c r="W9" s="780"/>
      <c r="X9" s="775"/>
      <c r="Y9" s="780"/>
      <c r="Z9" s="780"/>
      <c r="AA9" s="775"/>
      <c r="AB9" s="780"/>
      <c r="AC9" s="780"/>
      <c r="AD9" s="775"/>
      <c r="AE9" s="775"/>
    </row>
    <row r="10" spans="1:32" ht="15.6">
      <c r="C10" s="106"/>
      <c r="D10" s="106"/>
      <c r="E10" s="196"/>
      <c r="F10" s="196"/>
      <c r="G10" s="196"/>
      <c r="H10" s="196"/>
      <c r="I10" s="196"/>
      <c r="J10" s="196"/>
      <c r="K10" s="106"/>
      <c r="L10" s="196"/>
      <c r="N10" s="961"/>
      <c r="O10" s="960"/>
      <c r="P10" s="955"/>
      <c r="Q10" s="955"/>
      <c r="R10" s="960"/>
      <c r="S10" s="955"/>
      <c r="T10" s="955"/>
      <c r="U10" s="955"/>
      <c r="V10" s="775"/>
      <c r="W10" s="775"/>
      <c r="X10" s="775"/>
      <c r="Y10" s="775"/>
      <c r="Z10" s="775"/>
      <c r="AA10" s="775"/>
      <c r="AB10" s="775"/>
      <c r="AC10" s="775"/>
      <c r="AD10" s="775"/>
      <c r="AE10" s="775"/>
    </row>
    <row r="11" spans="1:32" ht="15.6">
      <c r="C11" s="107"/>
      <c r="D11" s="107"/>
      <c r="E11" s="196"/>
      <c r="F11" s="196"/>
      <c r="G11" s="196"/>
      <c r="H11" s="196"/>
      <c r="I11" s="196"/>
      <c r="J11" s="196"/>
      <c r="K11" s="106"/>
      <c r="L11" s="196"/>
      <c r="N11" s="962"/>
      <c r="O11" s="960"/>
      <c r="P11" s="955"/>
      <c r="Q11" s="959"/>
      <c r="R11" s="960"/>
      <c r="S11" s="955"/>
      <c r="T11" s="955"/>
      <c r="U11" s="955"/>
      <c r="V11" s="781"/>
      <c r="W11" s="781"/>
      <c r="X11" s="775"/>
      <c r="Y11" s="781"/>
      <c r="Z11" s="781"/>
      <c r="AA11" s="775"/>
      <c r="AB11" s="781"/>
      <c r="AC11" s="781"/>
      <c r="AD11" s="775"/>
      <c r="AE11" s="775"/>
    </row>
    <row r="12" spans="1:32" ht="19.2">
      <c r="A12" s="745" t="s">
        <v>8</v>
      </c>
      <c r="C12" s="106"/>
      <c r="D12" s="106"/>
      <c r="E12" s="1193" t="s">
        <v>185</v>
      </c>
      <c r="F12" s="1193"/>
      <c r="G12" s="1193"/>
      <c r="H12" s="193"/>
      <c r="I12" s="1193" t="s">
        <v>186</v>
      </c>
      <c r="J12" s="1193"/>
      <c r="K12" s="1193"/>
      <c r="L12" s="193"/>
      <c r="N12" s="962"/>
      <c r="O12" s="960"/>
      <c r="P12" s="955"/>
      <c r="Q12" s="959"/>
      <c r="R12" s="960"/>
      <c r="S12" s="955"/>
      <c r="T12" s="955"/>
      <c r="U12" s="955"/>
      <c r="V12" s="779"/>
      <c r="W12" s="779"/>
      <c r="X12" s="775"/>
      <c r="Y12" s="779"/>
      <c r="Z12" s="779"/>
      <c r="AA12" s="775"/>
      <c r="AB12" s="779"/>
      <c r="AC12" s="779"/>
      <c r="AD12" s="775"/>
      <c r="AE12" s="775"/>
    </row>
    <row r="13" spans="1:32" ht="19.2">
      <c r="A13" s="638" t="s">
        <v>10</v>
      </c>
      <c r="C13" s="194" t="s">
        <v>699</v>
      </c>
      <c r="D13" s="106"/>
      <c r="E13" s="194" t="s">
        <v>24</v>
      </c>
      <c r="F13" s="194"/>
      <c r="G13" s="194" t="s">
        <v>195</v>
      </c>
      <c r="H13" s="194"/>
      <c r="I13" s="194" t="str">
        <f>E13</f>
        <v>Transmission</v>
      </c>
      <c r="J13" s="194"/>
      <c r="K13" s="110" t="str">
        <f>G13</f>
        <v>Distribution</v>
      </c>
      <c r="L13" s="194"/>
      <c r="N13" s="962"/>
      <c r="O13" s="960"/>
      <c r="P13" s="955"/>
      <c r="Q13" s="959"/>
      <c r="R13" s="960"/>
      <c r="S13" s="955"/>
      <c r="T13" s="955"/>
      <c r="U13" s="955"/>
      <c r="V13" s="964"/>
      <c r="W13" s="964"/>
      <c r="X13" s="955"/>
      <c r="Y13" s="964"/>
      <c r="Z13" s="964"/>
      <c r="AA13" s="955"/>
      <c r="AB13" s="964"/>
      <c r="AC13" s="964"/>
      <c r="AD13" s="955"/>
      <c r="AE13" s="955"/>
    </row>
    <row r="14" spans="1:32" ht="15.6">
      <c r="A14" s="1132">
        <v>1</v>
      </c>
      <c r="C14" s="111" t="s">
        <v>701</v>
      </c>
      <c r="D14" s="340"/>
      <c r="E14" s="590">
        <v>24189</v>
      </c>
      <c r="F14" s="500"/>
      <c r="G14" s="590">
        <v>386594</v>
      </c>
      <c r="H14" s="500"/>
      <c r="I14" s="590">
        <v>69</v>
      </c>
      <c r="J14" s="500"/>
      <c r="K14" s="590">
        <v>3533</v>
      </c>
      <c r="L14" s="500"/>
      <c r="N14" s="959"/>
      <c r="O14" s="960"/>
      <c r="P14" s="955"/>
      <c r="Q14" s="959"/>
      <c r="R14" s="960"/>
      <c r="S14" s="955"/>
      <c r="T14" s="955"/>
      <c r="U14" s="955"/>
      <c r="V14" s="955"/>
      <c r="W14" s="955"/>
      <c r="X14" s="955"/>
      <c r="Y14" s="955"/>
      <c r="Z14" s="955"/>
      <c r="AA14" s="955"/>
      <c r="AB14" s="955"/>
      <c r="AC14" s="955"/>
      <c r="AD14" s="955"/>
      <c r="AE14" s="955"/>
    </row>
    <row r="15" spans="1:32" ht="15.6">
      <c r="A15" s="1132">
        <v>2</v>
      </c>
      <c r="C15" s="106" t="s">
        <v>702</v>
      </c>
      <c r="D15" s="106"/>
      <c r="E15" s="590">
        <v>6</v>
      </c>
      <c r="F15" s="501"/>
      <c r="G15" s="590">
        <v>3</v>
      </c>
      <c r="H15" s="501"/>
      <c r="I15" s="590">
        <v>0</v>
      </c>
      <c r="J15" s="501"/>
      <c r="K15" s="590">
        <v>0</v>
      </c>
      <c r="L15" s="501"/>
      <c r="N15" s="961"/>
      <c r="O15" s="960"/>
      <c r="P15" s="955"/>
      <c r="Q15" s="955"/>
      <c r="R15" s="960"/>
      <c r="S15" s="955"/>
      <c r="T15" s="955"/>
      <c r="U15" s="955"/>
      <c r="V15" s="963"/>
      <c r="W15" s="963"/>
      <c r="X15" s="955"/>
      <c r="Y15" s="963"/>
      <c r="Z15" s="963"/>
      <c r="AA15" s="955"/>
      <c r="AB15" s="963"/>
      <c r="AC15" s="963"/>
      <c r="AD15" s="955"/>
      <c r="AE15" s="955"/>
    </row>
    <row r="16" spans="1:32" ht="16.8">
      <c r="A16" s="1132">
        <v>3</v>
      </c>
      <c r="C16" s="106" t="s">
        <v>703</v>
      </c>
      <c r="D16" s="106"/>
      <c r="E16" s="1085">
        <v>42</v>
      </c>
      <c r="F16" s="590"/>
      <c r="G16" s="1085">
        <v>64</v>
      </c>
      <c r="H16" s="590"/>
      <c r="I16" s="1085">
        <v>0</v>
      </c>
      <c r="J16" s="590"/>
      <c r="K16" s="1085">
        <v>0</v>
      </c>
      <c r="L16" s="590"/>
      <c r="N16" s="962"/>
      <c r="O16" s="960"/>
      <c r="P16" s="955"/>
      <c r="Q16" s="955"/>
      <c r="R16" s="960"/>
      <c r="S16" s="955"/>
      <c r="T16" s="955"/>
      <c r="U16" s="955"/>
      <c r="V16" s="964"/>
      <c r="W16" s="964"/>
      <c r="X16" s="966"/>
      <c r="Y16" s="964"/>
      <c r="Z16" s="964"/>
      <c r="AA16" s="955"/>
      <c r="AB16" s="964"/>
      <c r="AC16" s="964"/>
      <c r="AD16" s="955"/>
      <c r="AE16" s="775"/>
      <c r="AF16" s="775"/>
    </row>
    <row r="17" spans="1:32" ht="15.6">
      <c r="A17" s="1132">
        <v>4</v>
      </c>
      <c r="C17" s="341" t="s">
        <v>12</v>
      </c>
      <c r="D17" s="106"/>
      <c r="E17" s="1086">
        <f>SUM(E14:E16)</f>
        <v>24237</v>
      </c>
      <c r="F17" s="501"/>
      <c r="G17" s="1086">
        <f>SUM(G14:G16)</f>
        <v>386661</v>
      </c>
      <c r="H17" s="501"/>
      <c r="I17" s="1086">
        <f>SUM(I14:I16)</f>
        <v>69</v>
      </c>
      <c r="J17" s="501"/>
      <c r="K17" s="1086">
        <f>SUM(K14:K16)</f>
        <v>3533</v>
      </c>
      <c r="L17" s="501"/>
      <c r="N17" s="961"/>
      <c r="O17" s="960"/>
      <c r="P17" s="955"/>
      <c r="Q17" s="959"/>
      <c r="R17" s="960"/>
      <c r="S17" s="955"/>
      <c r="T17" s="955"/>
      <c r="U17" s="955"/>
      <c r="V17" s="955"/>
      <c r="W17" s="955"/>
      <c r="X17" s="955"/>
      <c r="Y17" s="955"/>
      <c r="Z17" s="955"/>
      <c r="AA17" s="955"/>
      <c r="AB17" s="955"/>
      <c r="AC17" s="955"/>
      <c r="AD17" s="955"/>
      <c r="AE17" s="776"/>
      <c r="AF17" s="775"/>
    </row>
    <row r="18" spans="1:32" ht="15.6">
      <c r="A18" s="1132">
        <v>5</v>
      </c>
      <c r="C18" s="106"/>
      <c r="D18" s="106"/>
      <c r="E18" s="502"/>
      <c r="F18" s="502"/>
      <c r="G18" s="502"/>
      <c r="H18" s="502"/>
      <c r="I18" s="502"/>
      <c r="J18" s="502"/>
      <c r="K18" s="1088"/>
      <c r="L18" s="502"/>
      <c r="N18" s="962"/>
      <c r="O18" s="960"/>
      <c r="P18" s="955"/>
      <c r="Q18" s="959"/>
      <c r="R18" s="960"/>
      <c r="S18" s="955"/>
      <c r="T18" s="955"/>
      <c r="U18" s="955"/>
      <c r="V18" s="965"/>
      <c r="W18" s="965"/>
      <c r="X18" s="955"/>
      <c r="Y18" s="965"/>
      <c r="Z18" s="965"/>
      <c r="AA18" s="955"/>
      <c r="AB18" s="965"/>
      <c r="AC18" s="965"/>
      <c r="AD18" s="955"/>
      <c r="AE18" s="777"/>
      <c r="AF18" s="778"/>
    </row>
    <row r="19" spans="1:32" ht="17.399999999999999" thickBot="1">
      <c r="A19" s="1132">
        <v>6</v>
      </c>
      <c r="C19" s="106" t="s">
        <v>477</v>
      </c>
      <c r="D19" s="106"/>
      <c r="E19" s="1087">
        <f>ROUND(E17/($E17+$G17),4)</f>
        <v>5.8999999999999997E-2</v>
      </c>
      <c r="F19" s="1064"/>
      <c r="G19" s="1087">
        <f>ROUND(G17/($E17+$G17),4)</f>
        <v>0.94099999999999995</v>
      </c>
      <c r="H19" s="1064"/>
      <c r="I19" s="1087">
        <f>ROUND(I17/($I17+$K17),4)</f>
        <v>1.9199999999999998E-2</v>
      </c>
      <c r="J19" s="1064"/>
      <c r="K19" s="1087">
        <f>ROUND(K17/($I17+$K17),4)</f>
        <v>0.98080000000000001</v>
      </c>
      <c r="L19" s="503"/>
      <c r="N19" s="959"/>
      <c r="O19" s="960"/>
      <c r="P19" s="955"/>
      <c r="Q19" s="959"/>
      <c r="R19" s="960"/>
      <c r="S19" s="955"/>
      <c r="T19" s="955"/>
      <c r="U19" s="955"/>
      <c r="V19" s="963"/>
      <c r="W19" s="963"/>
      <c r="X19" s="955"/>
      <c r="Y19" s="963"/>
      <c r="Z19" s="963"/>
      <c r="AA19" s="955"/>
      <c r="AB19" s="963"/>
      <c r="AC19" s="963"/>
      <c r="AD19" s="955"/>
      <c r="AE19" s="775"/>
      <c r="AF19" s="775"/>
    </row>
    <row r="20" spans="1:32" ht="17.399999999999999" thickTop="1">
      <c r="C20" s="341"/>
      <c r="D20" s="341"/>
      <c r="E20" s="344"/>
      <c r="F20" s="344"/>
      <c r="G20" s="344"/>
      <c r="H20" s="344"/>
      <c r="I20" s="344"/>
      <c r="J20" s="344"/>
      <c r="K20" s="344"/>
      <c r="L20" s="344"/>
      <c r="N20" s="961"/>
      <c r="O20" s="960"/>
      <c r="P20" s="955"/>
      <c r="Q20" s="959"/>
      <c r="R20" s="960"/>
      <c r="S20" s="955"/>
      <c r="T20" s="955"/>
      <c r="U20" s="955"/>
      <c r="V20" s="960"/>
      <c r="W20" s="960"/>
      <c r="X20" s="955"/>
      <c r="Y20" s="960"/>
      <c r="Z20" s="960"/>
      <c r="AA20" s="955"/>
      <c r="AB20" s="960"/>
      <c r="AC20" s="960"/>
      <c r="AD20" s="955"/>
      <c r="AE20" s="779"/>
      <c r="AF20" s="779"/>
    </row>
    <row r="21" spans="1:32" ht="15.6">
      <c r="C21" s="106"/>
      <c r="D21" s="106"/>
      <c r="E21" s="343"/>
      <c r="F21" s="343"/>
      <c r="G21" s="343"/>
      <c r="H21" s="343"/>
      <c r="I21" s="343"/>
      <c r="J21" s="343"/>
      <c r="K21" s="378"/>
      <c r="L21" s="343"/>
      <c r="N21" s="962"/>
      <c r="O21" s="960"/>
      <c r="P21" s="955"/>
      <c r="Q21" s="959"/>
      <c r="R21" s="960"/>
      <c r="S21" s="955"/>
      <c r="T21" s="955"/>
      <c r="U21" s="955"/>
      <c r="V21" s="955"/>
      <c r="W21" s="955"/>
      <c r="X21" s="955"/>
      <c r="Y21" s="955"/>
      <c r="Z21" s="955"/>
      <c r="AA21" s="955"/>
      <c r="AB21" s="955"/>
      <c r="AC21" s="955"/>
      <c r="AD21" s="955"/>
      <c r="AE21" s="780"/>
      <c r="AF21" s="780"/>
    </row>
    <row r="22" spans="1:32" ht="16.8">
      <c r="C22" s="106"/>
      <c r="D22" s="106"/>
      <c r="E22" s="504"/>
      <c r="F22" s="504"/>
      <c r="G22" s="504"/>
      <c r="H22" s="504"/>
      <c r="I22" s="504"/>
      <c r="J22" s="504"/>
      <c r="K22" s="395"/>
      <c r="L22" s="504"/>
      <c r="N22" s="962"/>
      <c r="O22" s="960"/>
      <c r="P22" s="955"/>
      <c r="Q22" s="959"/>
      <c r="R22" s="960"/>
      <c r="S22" s="955"/>
      <c r="T22" s="955"/>
      <c r="U22" s="955"/>
      <c r="V22" s="963"/>
      <c r="W22" s="963"/>
      <c r="X22" s="955"/>
      <c r="Y22" s="963"/>
      <c r="Z22" s="963"/>
      <c r="AA22" s="955"/>
      <c r="AB22" s="963"/>
      <c r="AC22" s="963"/>
      <c r="AD22" s="955"/>
      <c r="AE22" s="775"/>
      <c r="AF22" s="775"/>
    </row>
    <row r="23" spans="1:32" ht="16.8">
      <c r="C23" s="588"/>
      <c r="D23" s="106"/>
      <c r="E23" s="344"/>
      <c r="F23" s="344"/>
      <c r="G23" s="344"/>
      <c r="H23" s="344"/>
      <c r="I23" s="344"/>
      <c r="J23" s="344"/>
      <c r="K23" s="342"/>
      <c r="L23" s="344"/>
      <c r="N23" s="962"/>
      <c r="O23" s="960"/>
      <c r="P23" s="955"/>
      <c r="Q23" s="955"/>
      <c r="R23" s="960"/>
      <c r="S23" s="955"/>
      <c r="T23" s="955"/>
      <c r="U23" s="955"/>
      <c r="V23" s="967"/>
      <c r="W23" s="967"/>
      <c r="X23" s="955"/>
      <c r="Y23" s="967"/>
      <c r="Z23" s="967"/>
      <c r="AA23" s="955"/>
      <c r="AB23" s="967"/>
      <c r="AC23" s="967"/>
      <c r="AD23" s="955"/>
      <c r="AE23" s="781"/>
      <c r="AF23" s="781"/>
    </row>
    <row r="24" spans="1:32">
      <c r="N24" s="961"/>
      <c r="O24" s="960"/>
      <c r="P24" s="955"/>
      <c r="Q24" s="955"/>
      <c r="R24" s="960"/>
      <c r="S24" s="955"/>
      <c r="T24" s="955"/>
      <c r="U24" s="955"/>
      <c r="V24" s="955"/>
      <c r="W24" s="955"/>
      <c r="X24" s="955"/>
      <c r="Y24" s="955"/>
      <c r="Z24" s="955"/>
      <c r="AA24" s="955"/>
      <c r="AB24" s="955"/>
      <c r="AC24" s="955"/>
      <c r="AD24" s="955"/>
      <c r="AE24" s="779"/>
      <c r="AF24" s="779"/>
    </row>
    <row r="25" spans="1:32">
      <c r="N25" s="962"/>
      <c r="O25" s="960"/>
      <c r="P25" s="955"/>
      <c r="Q25" s="955"/>
      <c r="R25" s="960"/>
      <c r="S25" s="955"/>
      <c r="T25" s="955"/>
      <c r="U25" s="955"/>
      <c r="V25" s="955"/>
      <c r="W25" s="955"/>
      <c r="X25" s="955"/>
      <c r="Y25" s="955"/>
      <c r="Z25" s="955"/>
      <c r="AA25" s="955"/>
      <c r="AB25" s="955"/>
      <c r="AC25" s="955"/>
      <c r="AD25" s="955"/>
      <c r="AE25" s="780"/>
      <c r="AF25" s="780"/>
    </row>
    <row r="26" spans="1:32">
      <c r="N26" s="962"/>
      <c r="O26" s="960"/>
      <c r="P26" s="955"/>
      <c r="Q26" s="955"/>
      <c r="R26" s="960"/>
      <c r="S26" s="955"/>
      <c r="T26" s="955"/>
      <c r="U26" s="955"/>
      <c r="V26" s="955"/>
      <c r="W26" s="955"/>
      <c r="X26" s="955"/>
      <c r="Y26" s="955"/>
      <c r="Z26" s="955"/>
      <c r="AA26" s="955"/>
      <c r="AB26" s="955"/>
      <c r="AC26" s="955"/>
      <c r="AD26" s="955"/>
      <c r="AE26" s="775"/>
      <c r="AF26" s="775"/>
    </row>
    <row r="27" spans="1:32">
      <c r="N27" s="962"/>
      <c r="O27" s="960"/>
      <c r="P27" s="955"/>
      <c r="Q27" s="955"/>
      <c r="R27" s="960"/>
      <c r="S27" s="955"/>
      <c r="T27" s="955"/>
      <c r="U27" s="955"/>
      <c r="V27" s="955"/>
      <c r="W27" s="955"/>
      <c r="X27" s="955"/>
      <c r="Y27" s="955"/>
      <c r="Z27" s="955"/>
      <c r="AA27" s="955"/>
      <c r="AB27" s="955"/>
      <c r="AC27" s="955"/>
      <c r="AD27" s="955"/>
      <c r="AE27" s="779"/>
      <c r="AF27" s="779"/>
    </row>
    <row r="28" spans="1:32">
      <c r="N28" s="959"/>
      <c r="O28" s="960"/>
      <c r="P28" s="955"/>
      <c r="Q28" s="955"/>
      <c r="R28" s="960"/>
      <c r="S28" s="955"/>
      <c r="T28" s="955"/>
      <c r="U28" s="955"/>
      <c r="V28" s="955"/>
      <c r="W28" s="955"/>
      <c r="X28" s="955"/>
      <c r="Y28" s="955"/>
      <c r="Z28" s="955"/>
      <c r="AA28" s="955"/>
      <c r="AB28" s="955"/>
      <c r="AC28" s="955"/>
      <c r="AD28" s="955"/>
      <c r="AE28" s="780"/>
      <c r="AF28" s="780"/>
    </row>
    <row r="29" spans="1:32">
      <c r="N29" s="955"/>
      <c r="O29" s="955"/>
      <c r="P29" s="955"/>
      <c r="Q29" s="955"/>
      <c r="R29" s="956"/>
      <c r="S29" s="955"/>
      <c r="T29" s="955"/>
      <c r="U29" s="955"/>
      <c r="V29" s="955"/>
      <c r="W29" s="955"/>
      <c r="X29" s="955"/>
      <c r="Y29" s="955"/>
      <c r="Z29" s="955"/>
      <c r="AA29" s="955"/>
      <c r="AB29" s="955"/>
      <c r="AC29" s="955"/>
      <c r="AD29" s="955"/>
      <c r="AE29" s="775"/>
      <c r="AF29" s="775"/>
    </row>
    <row r="30" spans="1:32">
      <c r="N30" s="955"/>
      <c r="O30" s="955"/>
      <c r="P30" s="955"/>
      <c r="Q30" s="955"/>
      <c r="R30" s="956"/>
      <c r="S30" s="955"/>
      <c r="T30" s="955"/>
      <c r="U30" s="955"/>
      <c r="V30" s="955"/>
      <c r="W30" s="955"/>
      <c r="X30" s="955"/>
      <c r="Y30" s="955"/>
      <c r="Z30" s="955"/>
      <c r="AA30" s="955"/>
      <c r="AB30" s="955"/>
      <c r="AC30" s="955"/>
      <c r="AD30" s="955"/>
      <c r="AE30" s="781"/>
      <c r="AF30" s="781"/>
    </row>
    <row r="31" spans="1:32">
      <c r="N31" s="955"/>
      <c r="O31" s="955"/>
      <c r="P31" s="955"/>
      <c r="Q31" s="955"/>
      <c r="R31" s="956"/>
      <c r="S31" s="955"/>
      <c r="T31" s="955"/>
      <c r="U31" s="955"/>
      <c r="V31" s="955"/>
      <c r="W31" s="955"/>
      <c r="X31" s="955"/>
      <c r="Y31" s="955"/>
      <c r="Z31" s="955"/>
      <c r="AA31" s="955"/>
      <c r="AB31" s="955"/>
      <c r="AC31" s="955"/>
      <c r="AD31" s="955"/>
      <c r="AE31" s="779"/>
      <c r="AF31" s="779"/>
    </row>
    <row r="32" spans="1:32">
      <c r="N32" s="955"/>
      <c r="O32" s="955"/>
      <c r="P32" s="955"/>
      <c r="Q32" s="955"/>
      <c r="R32" s="956"/>
      <c r="S32" s="955"/>
      <c r="T32" s="955"/>
      <c r="U32" s="955"/>
      <c r="V32" s="955"/>
      <c r="W32" s="955"/>
      <c r="X32" s="955"/>
      <c r="Y32" s="955"/>
      <c r="Z32" s="955"/>
      <c r="AA32" s="955"/>
      <c r="AB32" s="955"/>
      <c r="AC32" s="955"/>
      <c r="AD32" s="955"/>
      <c r="AE32" s="782"/>
      <c r="AF32" s="782"/>
    </row>
    <row r="33" spans="14:32">
      <c r="N33" s="955"/>
      <c r="O33" s="955"/>
      <c r="P33" s="955"/>
      <c r="Q33" s="955"/>
      <c r="R33" s="956"/>
      <c r="S33" s="955"/>
      <c r="T33" s="955"/>
      <c r="U33" s="955"/>
      <c r="V33" s="955"/>
      <c r="W33" s="955"/>
      <c r="X33" s="955"/>
      <c r="Y33" s="955"/>
      <c r="Z33" s="955"/>
      <c r="AA33" s="955"/>
      <c r="AB33" s="955"/>
      <c r="AC33" s="955"/>
      <c r="AD33" s="955"/>
      <c r="AE33" s="775"/>
      <c r="AF33" s="775"/>
    </row>
    <row r="34" spans="14:32">
      <c r="AE34" s="779"/>
      <c r="AF34" s="779"/>
    </row>
    <row r="35" spans="14:32">
      <c r="AE35" s="783"/>
      <c r="AF35" s="783"/>
    </row>
    <row r="36" spans="14:32">
      <c r="AE36" s="775"/>
      <c r="AF36" s="775"/>
    </row>
  </sheetData>
  <mergeCells count="2">
    <mergeCell ref="E12:G12"/>
    <mergeCell ref="I12:K12"/>
  </mergeCells>
  <pageMargins left="1" right="1" top="1" bottom="0.75" header="0.3" footer="0.3"/>
  <pageSetup scale="7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theme="1"/>
    <pageSetUpPr fitToPage="1"/>
  </sheetPr>
  <dimension ref="A1:K50"/>
  <sheetViews>
    <sheetView topLeftCell="A28" zoomScale="80" zoomScaleNormal="80" workbookViewId="0">
      <selection activeCell="H37" sqref="H37"/>
    </sheetView>
  </sheetViews>
  <sheetFormatPr defaultColWidth="8.81640625" defaultRowHeight="15"/>
  <cols>
    <col min="1" max="1" width="6.1796875" style="596" customWidth="1"/>
    <col min="2" max="2" width="54" style="596" customWidth="1"/>
    <col min="3" max="3" width="20" style="596" customWidth="1"/>
    <col min="4" max="4" width="14.81640625" style="596" bestFit="1" customWidth="1"/>
    <col min="5" max="5" width="1.6328125" style="596" customWidth="1"/>
    <col min="6" max="6" width="14.81640625" style="596" customWidth="1"/>
    <col min="7" max="7" width="13.453125" style="596" customWidth="1"/>
    <col min="8" max="16384" width="8.81640625" style="596"/>
  </cols>
  <sheetData>
    <row r="1" spans="1:6" ht="15.6">
      <c r="A1" s="615" t="str">
        <f>'P1 ADIT'!A1</f>
        <v>Duke Energy Ohio and Duke Energy Kentucky</v>
      </c>
      <c r="B1" s="589"/>
      <c r="C1" s="615"/>
      <c r="D1" s="589"/>
      <c r="E1" s="615"/>
      <c r="F1" s="589"/>
    </row>
    <row r="2" spans="1:6" ht="15.6">
      <c r="A2" s="615"/>
      <c r="B2" s="589"/>
      <c r="C2" s="615"/>
      <c r="E2" s="615"/>
    </row>
    <row r="3" spans="1:6" ht="15.6">
      <c r="A3" s="615"/>
      <c r="B3" s="589"/>
      <c r="C3" s="615"/>
      <c r="E3" s="615"/>
      <c r="F3" s="376" t="s">
        <v>406</v>
      </c>
    </row>
    <row r="4" spans="1:6" ht="15.6">
      <c r="A4" s="615"/>
      <c r="B4" s="589"/>
      <c r="C4" s="615"/>
      <c r="E4" s="615"/>
      <c r="F4" s="514" t="str">
        <f>"Page 16 of "&amp;Workpaper</f>
        <v>Page 16 of 17</v>
      </c>
    </row>
    <row r="5" spans="1:6" ht="15.6">
      <c r="A5" s="615"/>
      <c r="B5" s="589"/>
      <c r="C5" s="615"/>
      <c r="E5" s="615"/>
      <c r="F5" s="261" t="str">
        <f>"For the 12 months ended: "&amp;TEXT(INPUT!$B$1,"mm/dd/yyyy")</f>
        <v>For the 12 months ended: 12/31/2018</v>
      </c>
    </row>
    <row r="6" spans="1:6" ht="15.6">
      <c r="A6" s="615"/>
      <c r="B6" s="589"/>
      <c r="C6" s="615"/>
      <c r="E6" s="615"/>
    </row>
    <row r="7" spans="1:6" ht="15.6">
      <c r="A7" s="615" t="s">
        <v>820</v>
      </c>
      <c r="B7" s="589"/>
      <c r="C7" s="615"/>
      <c r="D7" s="589"/>
      <c r="E7" s="615"/>
      <c r="F7" s="589"/>
    </row>
    <row r="9" spans="1:6" ht="15.6">
      <c r="D9" s="745" t="s">
        <v>290</v>
      </c>
    </row>
    <row r="10" spans="1:6" ht="15.6">
      <c r="A10" s="745" t="s">
        <v>8</v>
      </c>
      <c r="D10" s="745" t="s">
        <v>578</v>
      </c>
      <c r="F10" s="745" t="s">
        <v>290</v>
      </c>
    </row>
    <row r="11" spans="1:6" ht="19.2">
      <c r="A11" s="638" t="s">
        <v>10</v>
      </c>
      <c r="B11" s="1133" t="s">
        <v>429</v>
      </c>
      <c r="C11" s="589"/>
      <c r="D11" s="638" t="s">
        <v>579</v>
      </c>
      <c r="F11" s="638" t="s">
        <v>289</v>
      </c>
    </row>
    <row r="12" spans="1:6">
      <c r="F12" s="573"/>
    </row>
    <row r="13" spans="1:6">
      <c r="A13" s="616">
        <v>1</v>
      </c>
      <c r="B13" s="920" t="s">
        <v>821</v>
      </c>
      <c r="F13" s="617">
        <v>121250903</v>
      </c>
    </row>
    <row r="14" spans="1:6">
      <c r="A14" s="616">
        <f>A13+1</f>
        <v>2</v>
      </c>
      <c r="F14" s="597"/>
    </row>
    <row r="15" spans="1:6" ht="45.6">
      <c r="A15" s="616">
        <f t="shared" ref="A15:A45" si="0">A14+1</f>
        <v>3</v>
      </c>
      <c r="B15" s="929" t="s">
        <v>869</v>
      </c>
      <c r="F15" s="597"/>
    </row>
    <row r="16" spans="1:6">
      <c r="A16" s="616">
        <f t="shared" si="0"/>
        <v>4</v>
      </c>
      <c r="B16" s="929"/>
      <c r="C16" s="841" t="s">
        <v>822</v>
      </c>
      <c r="D16" s="921">
        <v>0</v>
      </c>
      <c r="F16" s="597"/>
    </row>
    <row r="17" spans="1:7">
      <c r="A17" s="616">
        <f t="shared" si="0"/>
        <v>5</v>
      </c>
      <c r="B17" s="550"/>
      <c r="C17" s="841" t="s">
        <v>774</v>
      </c>
      <c r="D17" s="922">
        <v>-139489</v>
      </c>
      <c r="F17" s="597"/>
      <c r="G17" s="894"/>
    </row>
    <row r="18" spans="1:7">
      <c r="A18" s="616">
        <f t="shared" si="0"/>
        <v>6</v>
      </c>
      <c r="B18" s="550"/>
      <c r="C18" s="841" t="s">
        <v>823</v>
      </c>
      <c r="D18" s="923">
        <v>0</v>
      </c>
      <c r="F18" s="597"/>
    </row>
    <row r="19" spans="1:7">
      <c r="A19" s="616">
        <f t="shared" si="0"/>
        <v>7</v>
      </c>
      <c r="B19" s="550"/>
      <c r="C19" s="841"/>
      <c r="D19" s="597">
        <f>SUM(D16:D18)</f>
        <v>-139489</v>
      </c>
      <c r="F19" s="597">
        <f>D19</f>
        <v>-139489</v>
      </c>
    </row>
    <row r="20" spans="1:7">
      <c r="A20" s="616">
        <f t="shared" si="0"/>
        <v>8</v>
      </c>
      <c r="B20" s="550"/>
      <c r="C20" s="841"/>
      <c r="F20" s="597"/>
    </row>
    <row r="21" spans="1:7" ht="45">
      <c r="A21" s="616">
        <f t="shared" si="0"/>
        <v>9</v>
      </c>
      <c r="B21" s="929" t="s">
        <v>824</v>
      </c>
      <c r="C21" s="841"/>
      <c r="F21" s="597"/>
    </row>
    <row r="22" spans="1:7">
      <c r="A22" s="616">
        <f t="shared" si="0"/>
        <v>10</v>
      </c>
      <c r="B22" s="929"/>
      <c r="C22" s="841" t="s">
        <v>822</v>
      </c>
      <c r="D22" s="921">
        <v>-32499</v>
      </c>
      <c r="F22" s="597"/>
    </row>
    <row r="23" spans="1:7">
      <c r="A23" s="616">
        <f t="shared" si="0"/>
        <v>11</v>
      </c>
      <c r="B23" s="550"/>
      <c r="C23" s="841" t="s">
        <v>774</v>
      </c>
      <c r="D23" s="922">
        <v>-341</v>
      </c>
      <c r="F23" s="597"/>
    </row>
    <row r="24" spans="1:7">
      <c r="A24" s="616">
        <f t="shared" si="0"/>
        <v>12</v>
      </c>
      <c r="B24" s="550"/>
      <c r="C24" s="841" t="s">
        <v>823</v>
      </c>
      <c r="D24" s="923">
        <v>-64</v>
      </c>
      <c r="F24" s="597"/>
    </row>
    <row r="25" spans="1:7">
      <c r="A25" s="616">
        <f t="shared" si="0"/>
        <v>13</v>
      </c>
      <c r="B25" s="550"/>
      <c r="C25" s="841"/>
      <c r="D25" s="597">
        <f>SUM(D22:D24)</f>
        <v>-32904</v>
      </c>
      <c r="F25" s="597">
        <f>D25</f>
        <v>-32904</v>
      </c>
    </row>
    <row r="26" spans="1:7">
      <c r="A26" s="616">
        <f t="shared" si="0"/>
        <v>14</v>
      </c>
      <c r="B26" s="550"/>
      <c r="C26" s="841"/>
      <c r="D26" s="597"/>
      <c r="F26" s="597"/>
    </row>
    <row r="27" spans="1:7" ht="45">
      <c r="A27" s="616">
        <f t="shared" si="0"/>
        <v>15</v>
      </c>
      <c r="B27" s="929" t="s">
        <v>839</v>
      </c>
      <c r="C27" s="841"/>
      <c r="F27" s="597"/>
    </row>
    <row r="28" spans="1:7">
      <c r="A28" s="616">
        <f t="shared" si="0"/>
        <v>16</v>
      </c>
      <c r="B28" s="618"/>
      <c r="C28" s="841" t="s">
        <v>822</v>
      </c>
      <c r="D28" s="921">
        <v>-599381</v>
      </c>
      <c r="F28" s="597"/>
    </row>
    <row r="29" spans="1:7">
      <c r="A29" s="616">
        <f t="shared" si="0"/>
        <v>17</v>
      </c>
      <c r="C29" s="841" t="s">
        <v>774</v>
      </c>
      <c r="D29" s="922">
        <v>-6272</v>
      </c>
      <c r="F29" s="597"/>
    </row>
    <row r="30" spans="1:7">
      <c r="A30" s="616">
        <f t="shared" si="0"/>
        <v>18</v>
      </c>
      <c r="C30" s="841" t="s">
        <v>823</v>
      </c>
      <c r="D30" s="923">
        <v>-1188</v>
      </c>
      <c r="F30" s="597"/>
    </row>
    <row r="31" spans="1:7">
      <c r="A31" s="616">
        <f t="shared" si="0"/>
        <v>19</v>
      </c>
      <c r="C31" s="841"/>
      <c r="D31" s="597">
        <f>SUM(D28:D30)</f>
        <v>-606841</v>
      </c>
      <c r="F31" s="597">
        <f>D31</f>
        <v>-606841</v>
      </c>
    </row>
    <row r="32" spans="1:7">
      <c r="A32" s="616">
        <f t="shared" si="0"/>
        <v>20</v>
      </c>
      <c r="C32" s="841"/>
      <c r="F32" s="597"/>
    </row>
    <row r="33" spans="1:11">
      <c r="A33" s="616">
        <f t="shared" si="0"/>
        <v>21</v>
      </c>
      <c r="B33" s="596" t="s">
        <v>828</v>
      </c>
      <c r="C33" s="841"/>
      <c r="F33" s="597">
        <f>SUM(F13:F32)</f>
        <v>120471669</v>
      </c>
    </row>
    <row r="34" spans="1:11">
      <c r="A34" s="616">
        <f t="shared" si="0"/>
        <v>22</v>
      </c>
      <c r="C34" s="841"/>
      <c r="F34" s="597"/>
    </row>
    <row r="35" spans="1:11">
      <c r="A35" s="616">
        <f t="shared" si="0"/>
        <v>23</v>
      </c>
      <c r="C35" s="841"/>
      <c r="F35" s="597"/>
    </row>
    <row r="36" spans="1:11">
      <c r="A36" s="616">
        <f t="shared" si="0"/>
        <v>24</v>
      </c>
      <c r="B36" s="596" t="s">
        <v>827</v>
      </c>
      <c r="C36" s="841"/>
      <c r="F36" s="597">
        <f>F13-F33</f>
        <v>779234</v>
      </c>
      <c r="K36" s="212"/>
    </row>
    <row r="37" spans="1:11">
      <c r="A37" s="616">
        <f t="shared" si="0"/>
        <v>25</v>
      </c>
      <c r="C37" s="841"/>
    </row>
    <row r="38" spans="1:11">
      <c r="A38" s="616">
        <f t="shared" si="0"/>
        <v>26</v>
      </c>
      <c r="B38" s="596" t="s">
        <v>580</v>
      </c>
      <c r="C38" s="841"/>
      <c r="F38" s="1174">
        <v>4.9599999999999998E-2</v>
      </c>
    </row>
    <row r="39" spans="1:11">
      <c r="A39" s="616">
        <f t="shared" si="0"/>
        <v>27</v>
      </c>
      <c r="C39" s="841"/>
      <c r="F39" s="924"/>
    </row>
    <row r="40" spans="1:11">
      <c r="A40" s="616">
        <f t="shared" si="0"/>
        <v>28</v>
      </c>
      <c r="B40" s="596" t="s">
        <v>582</v>
      </c>
      <c r="C40" s="841"/>
      <c r="D40" s="925"/>
      <c r="F40" s="926">
        <v>1.5</v>
      </c>
    </row>
    <row r="41" spans="1:11">
      <c r="A41" s="616">
        <f t="shared" si="0"/>
        <v>29</v>
      </c>
      <c r="C41" s="841"/>
      <c r="D41" s="925"/>
      <c r="F41" s="927"/>
    </row>
    <row r="42" spans="1:11" ht="16.8">
      <c r="A42" s="616">
        <f t="shared" si="0"/>
        <v>30</v>
      </c>
      <c r="B42" s="618" t="s">
        <v>583</v>
      </c>
      <c r="C42" s="841"/>
      <c r="D42" s="925"/>
      <c r="F42" s="928">
        <f>ROUND((F36*(1+F38/4)^(4*F40))-F36,0)</f>
        <v>59802</v>
      </c>
    </row>
    <row r="43" spans="1:11">
      <c r="A43" s="616">
        <f t="shared" si="0"/>
        <v>31</v>
      </c>
      <c r="C43" s="841"/>
      <c r="D43" s="925"/>
      <c r="F43" s="927"/>
    </row>
    <row r="44" spans="1:11">
      <c r="A44" s="616">
        <f t="shared" si="0"/>
        <v>32</v>
      </c>
      <c r="C44" s="841"/>
    </row>
    <row r="45" spans="1:11" ht="18.75" customHeight="1">
      <c r="A45" s="1102">
        <f t="shared" si="0"/>
        <v>33</v>
      </c>
      <c r="B45" s="596" t="s">
        <v>825</v>
      </c>
      <c r="C45" s="565" t="s">
        <v>826</v>
      </c>
      <c r="F45" s="197">
        <f>F36+F42</f>
        <v>839036</v>
      </c>
    </row>
    <row r="46" spans="1:11">
      <c r="C46" s="841"/>
    </row>
    <row r="47" spans="1:11">
      <c r="C47" s="841"/>
    </row>
    <row r="48" spans="1:11">
      <c r="C48" s="841"/>
    </row>
    <row r="49" spans="3:3">
      <c r="C49" s="841"/>
    </row>
    <row r="50" spans="3:3">
      <c r="C50" s="841"/>
    </row>
  </sheetData>
  <pageMargins left="0.75" right="0.45" top="1" bottom="0.75" header="0.3" footer="0.3"/>
  <pageSetup scale="7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5">
    <tabColor theme="1"/>
  </sheetPr>
  <dimension ref="A1:Q25"/>
  <sheetViews>
    <sheetView zoomScaleNormal="100" workbookViewId="0"/>
  </sheetViews>
  <sheetFormatPr defaultRowHeight="15"/>
  <cols>
    <col min="1" max="1" width="6.6328125" customWidth="1"/>
    <col min="2" max="2" width="1.08984375" customWidth="1"/>
    <col min="3" max="3" width="8.81640625" style="561"/>
    <col min="4" max="4" width="1.08984375" style="561" customWidth="1"/>
    <col min="5" max="5" width="54.54296875" style="561" customWidth="1"/>
    <col min="6" max="6" width="1.08984375" style="561" customWidth="1"/>
    <col min="7" max="7" width="14.36328125" style="561" customWidth="1"/>
    <col min="8" max="8" width="14.36328125" customWidth="1"/>
  </cols>
  <sheetData>
    <row r="1" spans="1:17" ht="15.6">
      <c r="A1" s="615" t="str">
        <f>'P1 ADIT'!A1</f>
        <v>Duke Energy Ohio and Duke Energy Kentucky</v>
      </c>
      <c r="B1" s="589"/>
      <c r="C1" s="589"/>
      <c r="D1" s="589"/>
      <c r="E1" s="589"/>
      <c r="F1" s="589"/>
      <c r="G1" s="589"/>
      <c r="H1" s="615"/>
      <c r="I1" s="596"/>
      <c r="J1" s="561"/>
      <c r="K1" s="561"/>
      <c r="L1" s="561"/>
      <c r="M1" s="561"/>
    </row>
    <row r="2" spans="1:17" ht="15.6">
      <c r="A2" s="615"/>
      <c r="B2" s="589"/>
      <c r="C2" s="589"/>
      <c r="D2" s="589"/>
      <c r="E2" s="589"/>
      <c r="F2" s="589"/>
      <c r="G2" s="589"/>
      <c r="H2" s="615"/>
      <c r="I2" s="596"/>
    </row>
    <row r="3" spans="1:17" ht="15.6">
      <c r="A3" s="615"/>
      <c r="B3" s="589"/>
      <c r="C3" s="589"/>
      <c r="D3" s="589"/>
      <c r="E3" s="589"/>
      <c r="F3" s="589"/>
      <c r="G3" s="589"/>
      <c r="H3" s="376" t="s">
        <v>406</v>
      </c>
    </row>
    <row r="4" spans="1:17" ht="15.6">
      <c r="A4" s="615"/>
      <c r="B4" s="589"/>
      <c r="C4" s="589"/>
      <c r="D4" s="589"/>
      <c r="E4" s="589"/>
      <c r="F4" s="589"/>
      <c r="G4" s="589"/>
      <c r="H4" s="514" t="str">
        <f>"Page 17 of "&amp;Workpaper</f>
        <v>Page 17 of 17</v>
      </c>
    </row>
    <row r="5" spans="1:17" ht="15.6">
      <c r="A5" s="615"/>
      <c r="B5" s="589"/>
      <c r="C5" s="589"/>
      <c r="D5" s="589"/>
      <c r="E5" s="589"/>
      <c r="F5" s="589"/>
      <c r="G5" s="589"/>
      <c r="H5" s="261" t="str">
        <f>"For the 12 months ended: "&amp;TEXT(INPUT!$B$1,"mm/dd/yyyy")</f>
        <v>For the 12 months ended: 12/31/2018</v>
      </c>
    </row>
    <row r="6" spans="1:17" ht="15.6">
      <c r="A6" s="615"/>
      <c r="B6" s="589"/>
      <c r="C6" s="589"/>
      <c r="D6" s="589"/>
      <c r="E6" s="589"/>
      <c r="F6" s="589"/>
      <c r="G6" s="589"/>
      <c r="H6" s="615"/>
      <c r="I6" s="596"/>
    </row>
    <row r="7" spans="1:17" ht="15.6">
      <c r="A7" s="615" t="s">
        <v>775</v>
      </c>
      <c r="B7" s="589"/>
      <c r="C7" s="589"/>
      <c r="D7" s="589"/>
      <c r="E7" s="589"/>
      <c r="F7" s="589"/>
      <c r="G7" s="589"/>
      <c r="H7" s="615"/>
      <c r="I7" s="596"/>
    </row>
    <row r="10" spans="1:17" ht="15.6">
      <c r="A10" s="745" t="s">
        <v>8</v>
      </c>
    </row>
    <row r="11" spans="1:17" ht="19.2">
      <c r="A11" s="638" t="s">
        <v>10</v>
      </c>
      <c r="C11" s="941" t="s">
        <v>426</v>
      </c>
      <c r="D11" s="895"/>
      <c r="E11" s="194" t="s">
        <v>429</v>
      </c>
      <c r="G11" s="194" t="s">
        <v>185</v>
      </c>
      <c r="H11" s="194" t="s">
        <v>186</v>
      </c>
      <c r="I11" s="895"/>
      <c r="J11" s="1016"/>
      <c r="K11" s="1017"/>
      <c r="L11" s="1017"/>
      <c r="M11" s="1017"/>
      <c r="N11" s="1017"/>
    </row>
    <row r="12" spans="1:17">
      <c r="A12" s="596"/>
      <c r="G12"/>
      <c r="H12" s="561"/>
      <c r="J12" s="1017"/>
      <c r="K12" s="1017"/>
      <c r="L12" s="1017"/>
      <c r="M12" s="1017"/>
      <c r="N12" s="1017"/>
    </row>
    <row r="13" spans="1:17">
      <c r="A13" s="616">
        <v>1</v>
      </c>
      <c r="C13" s="896">
        <v>561.4</v>
      </c>
      <c r="D13" s="684"/>
      <c r="E13" s="897" t="s">
        <v>776</v>
      </c>
      <c r="G13" s="1089">
        <v>12109718</v>
      </c>
      <c r="H13" s="1089">
        <v>3046615</v>
      </c>
      <c r="J13" s="1017"/>
      <c r="K13" s="1017"/>
      <c r="L13" s="1017"/>
      <c r="M13" s="1017"/>
      <c r="N13" s="1017"/>
    </row>
    <row r="14" spans="1:17">
      <c r="A14" s="616">
        <v>2</v>
      </c>
      <c r="C14" s="684"/>
      <c r="D14" s="684"/>
      <c r="E14" s="684"/>
      <c r="G14" s="1089"/>
      <c r="H14" s="1089"/>
      <c r="J14" s="1017"/>
      <c r="K14" s="1017"/>
      <c r="L14" s="1017"/>
      <c r="M14" s="1017"/>
      <c r="N14" s="1017"/>
    </row>
    <row r="15" spans="1:17" ht="16.8">
      <c r="A15" s="616">
        <v>3</v>
      </c>
      <c r="C15" s="896">
        <v>561.79999999999995</v>
      </c>
      <c r="D15" s="684"/>
      <c r="E15" s="897" t="s">
        <v>777</v>
      </c>
      <c r="G15" s="1090">
        <v>-21711543</v>
      </c>
      <c r="H15" s="1090">
        <v>-6392346</v>
      </c>
      <c r="J15" s="1017"/>
      <c r="K15" s="1017"/>
      <c r="L15" s="1017"/>
      <c r="M15" s="1017"/>
      <c r="N15" s="1017"/>
      <c r="O15" s="561"/>
      <c r="P15" s="561"/>
      <c r="Q15" s="561"/>
    </row>
    <row r="16" spans="1:17">
      <c r="A16" s="616">
        <v>4</v>
      </c>
      <c r="C16" s="684"/>
      <c r="D16" s="684"/>
      <c r="E16" s="684"/>
      <c r="G16" s="1091"/>
      <c r="H16" s="1091"/>
      <c r="J16" s="1017"/>
      <c r="K16" s="1017"/>
      <c r="L16" s="1017"/>
      <c r="M16" s="1017"/>
      <c r="N16" s="1017"/>
      <c r="O16" s="561"/>
      <c r="P16" s="561"/>
      <c r="Q16" s="561"/>
    </row>
    <row r="17" spans="1:17">
      <c r="A17" s="616">
        <v>5</v>
      </c>
      <c r="E17" s="561" t="s">
        <v>778</v>
      </c>
      <c r="G17" s="1091">
        <f>G13+G15</f>
        <v>-9601825</v>
      </c>
      <c r="H17" s="1091">
        <f>H13+H15</f>
        <v>-3345731</v>
      </c>
      <c r="J17" s="1017"/>
      <c r="K17" s="1017"/>
      <c r="L17" s="1017"/>
      <c r="M17" s="1017"/>
      <c r="N17" s="1017"/>
      <c r="O17" s="561"/>
      <c r="P17" s="561"/>
      <c r="Q17" s="561"/>
    </row>
    <row r="18" spans="1:17">
      <c r="A18" s="616">
        <v>6</v>
      </c>
      <c r="G18" s="684"/>
      <c r="H18" s="684"/>
      <c r="J18" s="1017"/>
      <c r="K18" s="1017"/>
      <c r="L18" s="1017"/>
      <c r="M18" s="1017"/>
      <c r="N18" s="1017"/>
      <c r="O18" s="561"/>
      <c r="P18" s="561"/>
      <c r="Q18" s="561"/>
    </row>
    <row r="19" spans="1:17">
      <c r="A19" s="616">
        <v>7</v>
      </c>
      <c r="E19" s="561" t="s">
        <v>779</v>
      </c>
      <c r="G19" s="1092">
        <f>DEO!J195</f>
        <v>0.50061</v>
      </c>
      <c r="H19" s="1092">
        <f>DEK!J195</f>
        <v>0.68354999999999999</v>
      </c>
      <c r="J19" s="1017"/>
      <c r="K19" s="1017"/>
      <c r="L19" s="1017"/>
      <c r="M19" s="1017"/>
      <c r="N19" s="1017"/>
      <c r="O19" s="561"/>
      <c r="P19" s="561"/>
      <c r="Q19" s="561"/>
    </row>
    <row r="20" spans="1:17">
      <c r="A20" s="616">
        <v>8</v>
      </c>
      <c r="G20" s="684"/>
      <c r="H20" s="684"/>
      <c r="J20" s="746"/>
      <c r="K20" s="746"/>
      <c r="L20" s="746"/>
      <c r="M20" s="746"/>
      <c r="N20" s="746"/>
      <c r="O20" s="746"/>
      <c r="P20" s="746"/>
    </row>
    <row r="21" spans="1:17" ht="21" customHeight="1">
      <c r="A21" s="1102">
        <v>9</v>
      </c>
      <c r="E21" s="561" t="s">
        <v>780</v>
      </c>
      <c r="G21" s="197">
        <f>ROUND(G17*G19,0)</f>
        <v>-4806770</v>
      </c>
      <c r="H21" s="197">
        <f>ROUND(H17*H19,0)</f>
        <v>-2286974</v>
      </c>
      <c r="J21" s="746"/>
      <c r="K21" s="746"/>
      <c r="L21" s="746"/>
      <c r="M21" s="746"/>
      <c r="N21" s="746"/>
      <c r="O21" s="746"/>
      <c r="P21" s="746"/>
    </row>
    <row r="22" spans="1:17">
      <c r="J22" s="746"/>
      <c r="K22" s="746"/>
      <c r="L22" s="746"/>
      <c r="M22" s="746"/>
      <c r="N22" s="746"/>
      <c r="O22" s="746"/>
      <c r="P22" s="746"/>
    </row>
    <row r="23" spans="1:17">
      <c r="J23" s="746"/>
      <c r="K23" s="746"/>
      <c r="L23" s="746"/>
      <c r="M23" s="746"/>
      <c r="N23" s="746"/>
      <c r="O23" s="746"/>
      <c r="P23" s="746"/>
    </row>
    <row r="24" spans="1:17">
      <c r="J24" s="746"/>
      <c r="K24" s="746"/>
      <c r="L24" s="746"/>
      <c r="M24" s="746"/>
      <c r="N24" s="746"/>
      <c r="O24" s="746"/>
      <c r="P24" s="746"/>
    </row>
    <row r="25" spans="1:17">
      <c r="J25" s="746"/>
      <c r="K25" s="746"/>
      <c r="L25" s="746"/>
      <c r="M25" s="746"/>
      <c r="N25" s="746"/>
      <c r="O25" s="746"/>
      <c r="P25" s="746"/>
    </row>
  </sheetData>
  <printOptions horizontalCentered="1"/>
  <pageMargins left="1" right="0.45" top="1"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3">
    <tabColor rgb="FFFF0000"/>
    <pageSetUpPr fitToPage="1"/>
  </sheetPr>
  <dimension ref="A1:J186"/>
  <sheetViews>
    <sheetView zoomScale="75" zoomScaleNormal="75" zoomScaleSheetLayoutView="75" zoomScalePageLayoutView="90" workbookViewId="0"/>
  </sheetViews>
  <sheetFormatPr defaultColWidth="8.81640625" defaultRowHeight="15"/>
  <cols>
    <col min="1" max="1" width="5.81640625" style="596" customWidth="1"/>
    <col min="2" max="2" width="1.453125" style="596" customWidth="1"/>
    <col min="3" max="3" width="45.54296875" style="596" customWidth="1"/>
    <col min="4" max="4" width="22.36328125" style="596" customWidth="1"/>
    <col min="5" max="5" width="13.1796875" style="596" customWidth="1"/>
    <col min="6" max="6" width="18.81640625" style="596" customWidth="1"/>
    <col min="7" max="7" width="16.1796875" style="596" customWidth="1"/>
    <col min="8" max="8" width="15.1796875" style="596" customWidth="1"/>
    <col min="9" max="9" width="15" style="596" customWidth="1"/>
    <col min="10" max="10" width="10.90625" style="596" bestFit="1" customWidth="1"/>
    <col min="11" max="16384" width="8.81640625" style="596"/>
  </cols>
  <sheetData>
    <row r="1" spans="1:10" ht="17.399999999999999">
      <c r="A1" s="220"/>
      <c r="C1" s="529"/>
      <c r="D1" s="529"/>
      <c r="F1" s="84"/>
      <c r="G1" s="73" t="s">
        <v>306</v>
      </c>
      <c r="H1" s="84"/>
    </row>
    <row r="2" spans="1:10">
      <c r="C2" s="529"/>
      <c r="D2" s="529"/>
      <c r="G2" s="73" t="s">
        <v>771</v>
      </c>
      <c r="H2" s="73"/>
    </row>
    <row r="3" spans="1:10">
      <c r="C3" s="529"/>
      <c r="D3" s="529"/>
      <c r="F3" s="566"/>
      <c r="H3" s="73"/>
    </row>
    <row r="4" spans="1:10">
      <c r="C4" s="529"/>
      <c r="D4" s="529"/>
      <c r="F4" s="566"/>
      <c r="H4" s="73"/>
    </row>
    <row r="5" spans="1:10">
      <c r="C5" s="529"/>
      <c r="D5" s="529"/>
      <c r="F5" s="566"/>
      <c r="H5" s="73"/>
    </row>
    <row r="6" spans="1:10">
      <c r="C6" s="529"/>
      <c r="D6" s="529"/>
      <c r="F6" s="566"/>
      <c r="G6" s="566"/>
      <c r="H6" s="566"/>
    </row>
    <row r="7" spans="1:10">
      <c r="C7" s="529" t="s">
        <v>6</v>
      </c>
      <c r="D7" s="529"/>
      <c r="F7" s="549"/>
      <c r="G7" s="261" t="str">
        <f>"For the 12 months ended: "&amp;TEXT(INPUT!B1,"mm/dd/yyyy")</f>
        <v>For the 12 months ended: 12/31/2018</v>
      </c>
      <c r="H7" s="566"/>
    </row>
    <row r="8" spans="1:10">
      <c r="A8" s="266" t="s">
        <v>263</v>
      </c>
      <c r="B8" s="246"/>
      <c r="C8" s="246"/>
      <c r="D8" s="244"/>
      <c r="E8" s="245"/>
      <c r="F8" s="243"/>
      <c r="G8" s="243"/>
      <c r="H8" s="566"/>
    </row>
    <row r="9" spans="1:10">
      <c r="A9" s="247" t="s">
        <v>277</v>
      </c>
      <c r="B9" s="246"/>
      <c r="C9" s="244"/>
      <c r="D9" s="247"/>
      <c r="E9" s="244"/>
      <c r="F9" s="243"/>
      <c r="G9" s="243"/>
      <c r="H9" s="566"/>
    </row>
    <row r="10" spans="1:10">
      <c r="A10" s="241"/>
      <c r="B10" s="246"/>
      <c r="C10" s="241"/>
      <c r="D10" s="241"/>
      <c r="E10" s="241"/>
      <c r="F10" s="243"/>
      <c r="G10" s="243"/>
      <c r="H10" s="566"/>
    </row>
    <row r="11" spans="1:10" ht="15.6">
      <c r="A11" s="382" t="s">
        <v>719</v>
      </c>
      <c r="B11" s="383"/>
      <c r="C11" s="384"/>
      <c r="D11" s="384"/>
      <c r="E11" s="384"/>
      <c r="F11" s="384"/>
      <c r="G11" s="384"/>
      <c r="H11" s="566"/>
    </row>
    <row r="12" spans="1:10" ht="15.6">
      <c r="A12" s="898"/>
      <c r="B12" s="246"/>
      <c r="C12" s="241"/>
      <c r="D12" s="241"/>
      <c r="E12" s="241"/>
      <c r="F12" s="241"/>
      <c r="G12" s="241"/>
      <c r="H12" s="566"/>
    </row>
    <row r="13" spans="1:10">
      <c r="A13" s="542"/>
      <c r="C13" s="4" t="s">
        <v>18</v>
      </c>
      <c r="D13" s="4" t="s">
        <v>19</v>
      </c>
      <c r="E13" s="4" t="s">
        <v>20</v>
      </c>
      <c r="F13" s="899" t="s">
        <v>21</v>
      </c>
      <c r="G13" s="899" t="s">
        <v>22</v>
      </c>
      <c r="H13" s="566"/>
    </row>
    <row r="14" spans="1:10">
      <c r="A14" s="542" t="s">
        <v>8</v>
      </c>
      <c r="C14" s="566"/>
      <c r="D14" s="566"/>
      <c r="F14" s="566"/>
      <c r="G14" s="542" t="s">
        <v>9</v>
      </c>
      <c r="H14" s="566"/>
    </row>
    <row r="15" spans="1:10">
      <c r="A15" s="256" t="s">
        <v>10</v>
      </c>
      <c r="B15" s="262"/>
      <c r="C15" s="263"/>
      <c r="D15" s="263"/>
      <c r="F15" s="566"/>
      <c r="G15" s="256" t="s">
        <v>11</v>
      </c>
      <c r="H15" s="566"/>
    </row>
    <row r="16" spans="1:10">
      <c r="A16" s="685">
        <v>1</v>
      </c>
      <c r="C16" s="566" t="s">
        <v>757</v>
      </c>
      <c r="D16" s="888" t="s">
        <v>758</v>
      </c>
      <c r="F16" s="566"/>
      <c r="G16" s="33">
        <f>DEO!J161+DEK!J161</f>
        <v>137271498</v>
      </c>
      <c r="H16" s="806"/>
      <c r="I16" s="1183"/>
      <c r="J16" s="550"/>
    </row>
    <row r="17" spans="1:10">
      <c r="A17" s="685"/>
      <c r="C17" s="566"/>
      <c r="D17" s="889"/>
      <c r="F17" s="566"/>
      <c r="G17" s="2"/>
      <c r="H17" s="806"/>
      <c r="I17" s="1183"/>
      <c r="J17" s="550"/>
    </row>
    <row r="18" spans="1:10">
      <c r="A18" s="685"/>
      <c r="C18" s="566"/>
      <c r="D18" s="889"/>
      <c r="F18" s="566"/>
      <c r="G18" s="2"/>
      <c r="H18" s="806"/>
      <c r="I18" s="1183"/>
      <c r="J18" s="550"/>
    </row>
    <row r="19" spans="1:10">
      <c r="A19" s="685" t="s">
        <v>7</v>
      </c>
      <c r="C19" s="537" t="s">
        <v>89</v>
      </c>
      <c r="D19" s="890"/>
      <c r="F19" s="566"/>
      <c r="G19" s="2"/>
      <c r="H19" s="806"/>
      <c r="I19" s="1183"/>
      <c r="J19" s="550"/>
    </row>
    <row r="20" spans="1:10">
      <c r="A20" s="685">
        <v>2</v>
      </c>
      <c r="C20" s="531" t="s">
        <v>355</v>
      </c>
      <c r="D20" s="888" t="s">
        <v>758</v>
      </c>
      <c r="F20" s="566"/>
      <c r="G20" s="597">
        <f>DEO!J19+DEK!J19</f>
        <v>185509</v>
      </c>
      <c r="H20" s="806"/>
      <c r="I20" s="1183"/>
      <c r="J20" s="550"/>
    </row>
    <row r="21" spans="1:10" ht="17.399999999999999" customHeight="1">
      <c r="A21" s="685">
        <v>3</v>
      </c>
      <c r="C21" s="531" t="s">
        <v>378</v>
      </c>
      <c r="D21" s="888" t="s">
        <v>758</v>
      </c>
      <c r="F21" s="566"/>
      <c r="G21" s="330">
        <f>DEO!J20+DEK!J20</f>
        <v>684014</v>
      </c>
      <c r="H21" s="806"/>
      <c r="I21" s="1183"/>
      <c r="J21" s="550"/>
    </row>
    <row r="22" spans="1:10">
      <c r="A22" s="685" t="s">
        <v>299</v>
      </c>
      <c r="C22" s="35" t="s">
        <v>356</v>
      </c>
      <c r="D22" s="891"/>
      <c r="F22" s="566"/>
      <c r="G22" s="807">
        <f>DEO!J21+DEK!J21</f>
        <v>0</v>
      </c>
      <c r="H22" s="806"/>
      <c r="I22" s="1183"/>
      <c r="J22" s="550"/>
    </row>
    <row r="23" spans="1:10">
      <c r="A23" s="685" t="s">
        <v>300</v>
      </c>
      <c r="C23" s="35" t="s">
        <v>411</v>
      </c>
      <c r="D23" s="891"/>
      <c r="F23" s="566"/>
      <c r="G23" s="807">
        <f>DEO!J22+DEK!J22</f>
        <v>0</v>
      </c>
      <c r="H23" s="806"/>
      <c r="I23" s="1183"/>
      <c r="J23" s="550"/>
    </row>
    <row r="24" spans="1:10" ht="15.6" customHeight="1">
      <c r="A24" s="685">
        <v>5</v>
      </c>
      <c r="C24" s="35" t="s">
        <v>696</v>
      </c>
      <c r="D24" s="888" t="s">
        <v>758</v>
      </c>
      <c r="F24" s="566"/>
      <c r="G24" s="808">
        <f>DEO!J23+DEK!J23</f>
        <v>1801397</v>
      </c>
      <c r="H24" s="806"/>
      <c r="I24" s="1183"/>
      <c r="J24" s="550"/>
    </row>
    <row r="25" spans="1:10">
      <c r="A25" s="685"/>
      <c r="C25" s="748" t="s">
        <v>838</v>
      </c>
      <c r="D25" s="892"/>
      <c r="F25" s="566"/>
      <c r="G25" s="749">
        <f>PriorYrCorr</f>
        <v>839036</v>
      </c>
      <c r="H25" s="806"/>
      <c r="I25" s="1183"/>
      <c r="J25" s="550"/>
    </row>
    <row r="26" spans="1:10">
      <c r="A26" s="685">
        <v>6</v>
      </c>
      <c r="C26" s="531" t="s">
        <v>618</v>
      </c>
      <c r="D26" s="889"/>
      <c r="F26" s="566"/>
      <c r="G26" s="597">
        <f>SUM(G20:G25)</f>
        <v>3509956</v>
      </c>
      <c r="H26" s="806"/>
      <c r="I26" s="1183"/>
      <c r="J26" s="550"/>
    </row>
    <row r="27" spans="1:10">
      <c r="A27" s="685"/>
      <c r="D27" s="889"/>
      <c r="F27" s="566"/>
      <c r="H27" s="566"/>
      <c r="I27" s="1183"/>
      <c r="J27" s="550"/>
    </row>
    <row r="28" spans="1:10">
      <c r="A28" s="685"/>
      <c r="C28" s="531"/>
      <c r="D28" s="889"/>
      <c r="F28" s="566"/>
      <c r="G28" s="548"/>
      <c r="H28" s="566"/>
      <c r="I28" s="1183"/>
      <c r="J28" s="550"/>
    </row>
    <row r="29" spans="1:10" ht="15.6" thickBot="1">
      <c r="A29" s="685">
        <v>7</v>
      </c>
      <c r="C29" s="531" t="s">
        <v>15</v>
      </c>
      <c r="D29" s="893" t="s">
        <v>131</v>
      </c>
      <c r="F29" s="566"/>
      <c r="G29" s="46">
        <f>G16-G26</f>
        <v>133761542</v>
      </c>
      <c r="H29" s="566"/>
      <c r="I29" s="1183"/>
      <c r="J29" s="550"/>
    </row>
    <row r="30" spans="1:10" ht="15.6" thickTop="1">
      <c r="A30" s="685"/>
      <c r="D30" s="840"/>
      <c r="F30" s="566"/>
      <c r="H30" s="566"/>
      <c r="I30" s="550"/>
      <c r="J30" s="550"/>
    </row>
    <row r="31" spans="1:10">
      <c r="A31" s="685"/>
      <c r="D31" s="669"/>
      <c r="F31" s="566"/>
      <c r="G31" s="548"/>
      <c r="H31" s="566"/>
    </row>
    <row r="32" spans="1:10">
      <c r="A32" s="685"/>
      <c r="C32" s="531" t="s">
        <v>313</v>
      </c>
      <c r="D32" s="840"/>
      <c r="F32" s="566"/>
      <c r="G32" s="2"/>
      <c r="H32" s="566"/>
    </row>
    <row r="33" spans="1:8">
      <c r="A33" s="685">
        <v>8</v>
      </c>
      <c r="C33" s="365" t="s">
        <v>772</v>
      </c>
      <c r="D33" s="888" t="s">
        <v>758</v>
      </c>
      <c r="F33" s="566"/>
      <c r="G33" s="208">
        <f>MAX(PeakKW_DEOK)</f>
        <v>5198000</v>
      </c>
      <c r="H33" s="566"/>
    </row>
    <row r="34" spans="1:8">
      <c r="A34" s="685">
        <v>9</v>
      </c>
      <c r="C34" s="536" t="s">
        <v>773</v>
      </c>
      <c r="D34" s="888" t="s">
        <v>758</v>
      </c>
      <c r="F34" s="566"/>
      <c r="G34" s="208">
        <f>'P10 Partner KW'!D27</f>
        <v>4486917</v>
      </c>
      <c r="H34" s="566"/>
    </row>
    <row r="35" spans="1:8">
      <c r="A35" s="685"/>
      <c r="C35" s="531"/>
      <c r="D35" s="840"/>
      <c r="E35" s="209"/>
      <c r="F35" s="566"/>
      <c r="G35" s="566"/>
      <c r="H35" s="566"/>
    </row>
    <row r="36" spans="1:8">
      <c r="A36" s="685">
        <v>10</v>
      </c>
      <c r="C36" s="531" t="s">
        <v>302</v>
      </c>
      <c r="D36" s="840"/>
      <c r="E36" s="33"/>
      <c r="F36" s="566"/>
      <c r="G36" s="566"/>
      <c r="H36" s="566"/>
    </row>
    <row r="37" spans="1:8">
      <c r="A37" s="685">
        <v>11</v>
      </c>
      <c r="C37" s="531" t="s">
        <v>302</v>
      </c>
      <c r="D37" s="840"/>
      <c r="E37" s="33"/>
      <c r="F37" s="566"/>
      <c r="G37" s="566"/>
      <c r="H37" s="566"/>
    </row>
    <row r="38" spans="1:8">
      <c r="A38" s="685">
        <v>12</v>
      </c>
      <c r="C38" s="531" t="s">
        <v>302</v>
      </c>
      <c r="D38" s="840"/>
      <c r="E38" s="33"/>
      <c r="F38" s="566"/>
      <c r="G38" s="566"/>
      <c r="H38" s="566"/>
    </row>
    <row r="39" spans="1:8">
      <c r="A39" s="685">
        <v>13</v>
      </c>
      <c r="C39" s="531" t="s">
        <v>302</v>
      </c>
      <c r="D39" s="840"/>
      <c r="E39" s="33"/>
      <c r="F39" s="566"/>
      <c r="G39" s="566"/>
      <c r="H39" s="566"/>
    </row>
    <row r="40" spans="1:8">
      <c r="A40" s="685">
        <v>14</v>
      </c>
      <c r="C40" s="531" t="s">
        <v>302</v>
      </c>
      <c r="D40" s="840"/>
      <c r="E40" s="33"/>
      <c r="F40" s="566"/>
      <c r="G40" s="566"/>
      <c r="H40" s="566"/>
    </row>
    <row r="41" spans="1:8">
      <c r="A41" s="685"/>
      <c r="C41" s="531"/>
      <c r="D41" s="840"/>
      <c r="E41" s="33"/>
      <c r="F41" s="566"/>
      <c r="G41" s="566"/>
      <c r="H41" s="566"/>
    </row>
    <row r="42" spans="1:8">
      <c r="A42" s="686">
        <v>15</v>
      </c>
      <c r="C42" s="531" t="s">
        <v>280</v>
      </c>
      <c r="D42" s="839" t="s">
        <v>314</v>
      </c>
      <c r="E42" s="23">
        <f>IF(G33&gt;0,G29/G33,0)</f>
        <v>25.733270873412852</v>
      </c>
      <c r="F42" s="566"/>
      <c r="G42" s="566"/>
      <c r="H42" s="566"/>
    </row>
    <row r="43" spans="1:8">
      <c r="A43" s="686"/>
      <c r="C43" s="531"/>
      <c r="D43" s="840"/>
      <c r="E43" s="23"/>
      <c r="F43" s="566"/>
      <c r="G43" s="566"/>
      <c r="H43" s="566"/>
    </row>
    <row r="44" spans="1:8">
      <c r="A44" s="686">
        <v>16</v>
      </c>
      <c r="C44" s="531" t="s">
        <v>383</v>
      </c>
      <c r="D44" s="839" t="s">
        <v>384</v>
      </c>
      <c r="E44" s="23">
        <f>IF(G34&gt;0,G29/G34,0)</f>
        <v>29.811458959459245</v>
      </c>
      <c r="F44" s="566"/>
      <c r="G44" s="566"/>
      <c r="H44" s="566"/>
    </row>
    <row r="45" spans="1:8">
      <c r="A45" s="686"/>
      <c r="C45" s="531"/>
      <c r="D45" s="840"/>
      <c r="E45" s="23"/>
      <c r="F45" s="566"/>
      <c r="G45" s="566"/>
      <c r="H45" s="566"/>
    </row>
    <row r="46" spans="1:8">
      <c r="A46" s="686">
        <v>17</v>
      </c>
      <c r="C46" s="531" t="s">
        <v>385</v>
      </c>
      <c r="D46" s="839" t="s">
        <v>386</v>
      </c>
      <c r="E46" s="23">
        <f>ROUND(E42/12,9)</f>
        <v>2.144439239</v>
      </c>
      <c r="F46" s="566"/>
      <c r="G46" s="566"/>
      <c r="H46" s="566"/>
    </row>
    <row r="47" spans="1:8">
      <c r="A47" s="686"/>
      <c r="C47" s="531"/>
      <c r="D47" s="840"/>
      <c r="E47" s="23"/>
      <c r="F47" s="566"/>
      <c r="G47" s="566"/>
      <c r="H47" s="566"/>
    </row>
    <row r="48" spans="1:8">
      <c r="A48" s="686" t="s">
        <v>382</v>
      </c>
      <c r="C48" s="531" t="s">
        <v>387</v>
      </c>
      <c r="D48" s="839" t="s">
        <v>388</v>
      </c>
      <c r="E48" s="23">
        <f>ROUND($E$44/12,9)</f>
        <v>2.4842882469999998</v>
      </c>
      <c r="F48" s="566"/>
      <c r="G48" s="566"/>
      <c r="H48" s="566"/>
    </row>
    <row r="49" spans="1:8">
      <c r="A49" s="686"/>
      <c r="C49" s="531"/>
      <c r="D49" s="840"/>
      <c r="E49" s="597"/>
      <c r="F49" s="566"/>
      <c r="G49" s="566"/>
      <c r="H49" s="566"/>
    </row>
    <row r="50" spans="1:8">
      <c r="A50" s="686"/>
      <c r="C50" s="531"/>
      <c r="D50" s="840"/>
      <c r="E50" s="375" t="s">
        <v>394</v>
      </c>
      <c r="F50" s="566"/>
      <c r="G50" s="375" t="s">
        <v>395</v>
      </c>
      <c r="H50" s="566"/>
    </row>
    <row r="51" spans="1:8">
      <c r="A51" s="686"/>
      <c r="C51" s="531"/>
      <c r="D51" s="840"/>
      <c r="E51" s="375"/>
      <c r="F51" s="566"/>
      <c r="G51" s="566"/>
      <c r="H51" s="566"/>
    </row>
    <row r="52" spans="1:8">
      <c r="A52" s="686">
        <v>18</v>
      </c>
      <c r="C52" s="531" t="s">
        <v>389</v>
      </c>
      <c r="D52" s="839" t="s">
        <v>392</v>
      </c>
      <c r="E52" s="23">
        <f>ROUND($E$44/52,9)</f>
        <v>0.57329728800000002</v>
      </c>
      <c r="F52" s="566"/>
      <c r="G52" s="566"/>
      <c r="H52" s="566"/>
    </row>
    <row r="53" spans="1:8">
      <c r="A53" s="686"/>
      <c r="C53" s="531"/>
      <c r="D53" s="840"/>
      <c r="E53" s="597"/>
      <c r="F53" s="566"/>
      <c r="G53" s="566"/>
      <c r="H53" s="566"/>
    </row>
    <row r="54" spans="1:8">
      <c r="A54" s="686">
        <v>19</v>
      </c>
      <c r="C54" s="531" t="s">
        <v>390</v>
      </c>
      <c r="D54" s="839" t="s">
        <v>393</v>
      </c>
      <c r="E54" s="23">
        <f>ROUND($E$44/260,9)</f>
        <v>0.11465945800000001</v>
      </c>
      <c r="F54" s="566" t="s">
        <v>396</v>
      </c>
      <c r="G54" s="23">
        <f>ROUND($E$44/365,9)</f>
        <v>8.1675230000000001E-2</v>
      </c>
      <c r="H54" s="566"/>
    </row>
    <row r="55" spans="1:8">
      <c r="A55" s="686"/>
      <c r="C55" s="531"/>
      <c r="D55" s="840"/>
      <c r="E55" s="23"/>
      <c r="F55" s="566"/>
      <c r="G55" s="566"/>
      <c r="H55" s="566"/>
    </row>
    <row r="56" spans="1:8" ht="30">
      <c r="A56" s="834">
        <v>20</v>
      </c>
      <c r="B56" s="835"/>
      <c r="C56" s="836" t="s">
        <v>391</v>
      </c>
      <c r="D56" s="843" t="s">
        <v>899</v>
      </c>
      <c r="E56" s="837">
        <f>IF(ISERR(ROUND(($G$29/$G$34)/4160,4)=TRUE),0,ROUND(($G$29/$G$34)/4160,4))</f>
        <v>7.1999999999999998E-3</v>
      </c>
      <c r="F56" s="838" t="s">
        <v>397</v>
      </c>
      <c r="G56" s="837">
        <f>IF(ISERR(ROUND(($G$29/$G$34)/8760*1000,4)=TRUE),0,ROUND(($G$29/$G$34)/8760*1000,4))</f>
        <v>3.4030999999999998</v>
      </c>
      <c r="H56" s="566"/>
    </row>
    <row r="57" spans="1:8">
      <c r="A57" s="687"/>
      <c r="C57" s="531"/>
      <c r="D57" s="566"/>
      <c r="F57" s="542"/>
      <c r="G57" s="85"/>
      <c r="H57" s="566"/>
    </row>
    <row r="58" spans="1:8">
      <c r="A58" s="687"/>
      <c r="C58" s="531"/>
      <c r="D58" s="566"/>
      <c r="F58" s="542"/>
      <c r="G58" s="85"/>
      <c r="H58" s="566"/>
    </row>
    <row r="59" spans="1:8">
      <c r="A59" s="687"/>
      <c r="C59" s="531"/>
      <c r="D59" s="566"/>
      <c r="F59" s="542"/>
      <c r="G59" s="85"/>
      <c r="H59" s="566"/>
    </row>
    <row r="60" spans="1:8">
      <c r="A60" s="687"/>
      <c r="C60" s="531"/>
      <c r="D60" s="566"/>
      <c r="F60" s="542"/>
      <c r="G60" s="85"/>
      <c r="H60" s="566"/>
    </row>
    <row r="61" spans="1:8">
      <c r="C61" s="75"/>
      <c r="D61" s="75"/>
      <c r="E61" s="75"/>
      <c r="F61" s="75"/>
      <c r="G61" s="75"/>
      <c r="H61" s="75"/>
    </row>
    <row r="62" spans="1:8">
      <c r="C62" s="75"/>
      <c r="D62" s="75"/>
      <c r="E62" s="75"/>
      <c r="F62" s="75"/>
      <c r="G62" s="75"/>
      <c r="H62" s="75"/>
    </row>
    <row r="63" spans="1:8">
      <c r="C63" s="75"/>
      <c r="D63" s="75"/>
      <c r="E63" s="75"/>
      <c r="F63" s="75"/>
      <c r="G63" s="75"/>
      <c r="H63" s="75"/>
    </row>
    <row r="64" spans="1:8">
      <c r="C64" s="75"/>
      <c r="D64" s="75"/>
      <c r="E64" s="75"/>
      <c r="F64" s="75"/>
      <c r="G64" s="75"/>
      <c r="H64" s="75"/>
    </row>
    <row r="65" spans="3:8">
      <c r="C65" s="75"/>
      <c r="D65" s="75"/>
      <c r="E65" s="75"/>
      <c r="F65" s="75"/>
      <c r="G65" s="75"/>
      <c r="H65" s="75"/>
    </row>
    <row r="66" spans="3:8">
      <c r="C66" s="75"/>
      <c r="D66" s="75"/>
      <c r="E66" s="75"/>
      <c r="F66" s="75"/>
      <c r="G66" s="75"/>
      <c r="H66" s="75"/>
    </row>
    <row r="67" spans="3:8">
      <c r="C67" s="75"/>
      <c r="D67" s="75"/>
      <c r="E67" s="75"/>
      <c r="F67" s="75"/>
      <c r="G67" s="75"/>
      <c r="H67" s="75"/>
    </row>
    <row r="68" spans="3:8">
      <c r="C68" s="75"/>
      <c r="D68" s="75"/>
      <c r="E68" s="75"/>
      <c r="F68" s="75"/>
      <c r="G68" s="75"/>
      <c r="H68" s="75"/>
    </row>
    <row r="69" spans="3:8">
      <c r="C69" s="75"/>
      <c r="D69" s="75"/>
      <c r="E69" s="75"/>
      <c r="F69" s="75"/>
      <c r="G69" s="75"/>
      <c r="H69" s="75"/>
    </row>
    <row r="70" spans="3:8">
      <c r="C70" s="75"/>
      <c r="D70" s="75"/>
      <c r="E70" s="75"/>
      <c r="F70" s="75"/>
      <c r="G70" s="75"/>
      <c r="H70" s="75"/>
    </row>
    <row r="71" spans="3:8">
      <c r="C71" s="75"/>
      <c r="D71" s="75"/>
      <c r="E71" s="75"/>
      <c r="F71" s="75"/>
      <c r="G71" s="75"/>
      <c r="H71" s="75"/>
    </row>
    <row r="72" spans="3:8">
      <c r="C72" s="75"/>
      <c r="D72" s="75"/>
      <c r="E72" s="75"/>
      <c r="F72" s="75"/>
      <c r="G72" s="75"/>
      <c r="H72" s="75"/>
    </row>
    <row r="73" spans="3:8">
      <c r="C73" s="75"/>
      <c r="D73" s="75"/>
      <c r="E73" s="75"/>
      <c r="F73" s="75"/>
      <c r="G73" s="75"/>
      <c r="H73" s="75"/>
    </row>
    <row r="74" spans="3:8">
      <c r="C74" s="75"/>
      <c r="D74" s="75"/>
      <c r="E74" s="75"/>
      <c r="F74" s="75"/>
      <c r="G74" s="75"/>
      <c r="H74" s="75"/>
    </row>
    <row r="75" spans="3:8">
      <c r="C75" s="75"/>
      <c r="D75" s="75"/>
      <c r="E75" s="75"/>
      <c r="F75" s="75"/>
      <c r="G75" s="75"/>
      <c r="H75" s="75"/>
    </row>
    <row r="76" spans="3:8">
      <c r="C76" s="75"/>
      <c r="D76" s="75"/>
      <c r="E76" s="75"/>
      <c r="F76" s="75"/>
      <c r="G76" s="75"/>
      <c r="H76" s="75"/>
    </row>
    <row r="77" spans="3:8">
      <c r="C77" s="75"/>
      <c r="D77" s="75"/>
      <c r="E77" s="75"/>
      <c r="F77" s="75"/>
      <c r="G77" s="75"/>
      <c r="H77" s="75"/>
    </row>
    <row r="78" spans="3:8">
      <c r="C78" s="75"/>
      <c r="D78" s="75"/>
      <c r="E78" s="75"/>
      <c r="F78" s="75"/>
      <c r="G78" s="75"/>
      <c r="H78" s="75"/>
    </row>
    <row r="79" spans="3:8">
      <c r="C79" s="75"/>
      <c r="D79" s="75"/>
      <c r="E79" s="75"/>
      <c r="F79" s="75"/>
      <c r="G79" s="75"/>
      <c r="H79" s="75"/>
    </row>
    <row r="80" spans="3:8">
      <c r="C80" s="75"/>
      <c r="D80" s="75"/>
      <c r="E80" s="75"/>
      <c r="F80" s="75"/>
      <c r="G80" s="75"/>
      <c r="H80" s="75"/>
    </row>
    <row r="81" spans="3:8">
      <c r="C81" s="75"/>
      <c r="D81" s="75"/>
      <c r="E81" s="75"/>
      <c r="F81" s="75"/>
      <c r="G81" s="75"/>
      <c r="H81" s="75"/>
    </row>
    <row r="82" spans="3:8">
      <c r="C82" s="75"/>
      <c r="D82" s="75"/>
      <c r="E82" s="75"/>
      <c r="F82" s="75"/>
      <c r="G82" s="75"/>
      <c r="H82" s="75"/>
    </row>
    <row r="83" spans="3:8">
      <c r="C83" s="75"/>
      <c r="D83" s="75"/>
      <c r="E83" s="75"/>
      <c r="F83" s="75"/>
      <c r="G83" s="75"/>
      <c r="H83" s="75"/>
    </row>
    <row r="84" spans="3:8">
      <c r="C84" s="75"/>
      <c r="D84" s="75"/>
      <c r="E84" s="75"/>
      <c r="F84" s="75"/>
      <c r="G84" s="75"/>
      <c r="H84" s="75"/>
    </row>
    <row r="85" spans="3:8">
      <c r="C85" s="75"/>
      <c r="D85" s="75"/>
      <c r="E85" s="75"/>
      <c r="F85" s="75"/>
      <c r="G85" s="75"/>
      <c r="H85" s="75"/>
    </row>
    <row r="86" spans="3:8">
      <c r="C86" s="75"/>
      <c r="D86" s="75"/>
      <c r="E86" s="75"/>
      <c r="F86" s="75"/>
      <c r="G86" s="75"/>
      <c r="H86" s="75"/>
    </row>
    <row r="87" spans="3:8">
      <c r="C87" s="75"/>
      <c r="D87" s="75"/>
      <c r="E87" s="75"/>
      <c r="F87" s="75"/>
      <c r="G87" s="75"/>
      <c r="H87" s="75"/>
    </row>
    <row r="88" spans="3:8">
      <c r="C88" s="75"/>
      <c r="D88" s="75"/>
      <c r="E88" s="75"/>
      <c r="F88" s="75"/>
      <c r="G88" s="75"/>
      <c r="H88" s="75"/>
    </row>
    <row r="89" spans="3:8">
      <c r="C89" s="75"/>
      <c r="D89" s="75"/>
      <c r="E89" s="75"/>
      <c r="F89" s="75"/>
      <c r="G89" s="75"/>
      <c r="H89" s="75"/>
    </row>
    <row r="90" spans="3:8">
      <c r="C90" s="75"/>
      <c r="D90" s="75"/>
      <c r="E90" s="75"/>
      <c r="F90" s="75"/>
      <c r="G90" s="75"/>
      <c r="H90" s="75"/>
    </row>
    <row r="91" spans="3:8">
      <c r="C91" s="75"/>
      <c r="D91" s="75"/>
      <c r="E91" s="75"/>
      <c r="F91" s="75"/>
      <c r="G91" s="75"/>
      <c r="H91" s="75"/>
    </row>
    <row r="92" spans="3:8">
      <c r="C92" s="75"/>
      <c r="D92" s="75"/>
      <c r="E92" s="75"/>
      <c r="F92" s="75"/>
      <c r="G92" s="75"/>
      <c r="H92" s="75"/>
    </row>
    <row r="93" spans="3:8">
      <c r="C93" s="75"/>
      <c r="D93" s="75"/>
      <c r="E93" s="75"/>
      <c r="F93" s="75"/>
      <c r="G93" s="75"/>
      <c r="H93" s="75"/>
    </row>
    <row r="94" spans="3:8">
      <c r="C94" s="75"/>
      <c r="D94" s="75"/>
      <c r="E94" s="75"/>
      <c r="F94" s="75"/>
      <c r="G94" s="75"/>
      <c r="H94" s="75"/>
    </row>
    <row r="95" spans="3:8">
      <c r="C95" s="75"/>
      <c r="D95" s="75"/>
      <c r="E95" s="75"/>
      <c r="F95" s="75"/>
      <c r="G95" s="75"/>
      <c r="H95" s="75"/>
    </row>
    <row r="96" spans="3:8">
      <c r="C96" s="75"/>
      <c r="D96" s="75"/>
      <c r="E96" s="75"/>
      <c r="F96" s="75"/>
      <c r="G96" s="75"/>
      <c r="H96" s="75"/>
    </row>
    <row r="97" spans="3:8">
      <c r="C97" s="75"/>
      <c r="D97" s="75"/>
      <c r="E97" s="75"/>
      <c r="F97" s="75"/>
      <c r="G97" s="75"/>
      <c r="H97" s="75"/>
    </row>
    <row r="98" spans="3:8">
      <c r="C98" s="75"/>
      <c r="D98" s="75"/>
      <c r="E98" s="75"/>
      <c r="F98" s="75"/>
      <c r="G98" s="75"/>
      <c r="H98" s="75"/>
    </row>
    <row r="99" spans="3:8">
      <c r="C99" s="75"/>
      <c r="D99" s="75"/>
      <c r="E99" s="75"/>
      <c r="F99" s="75"/>
      <c r="G99" s="75"/>
      <c r="H99" s="75"/>
    </row>
    <row r="100" spans="3:8">
      <c r="C100" s="75"/>
      <c r="D100" s="75"/>
      <c r="E100" s="75"/>
      <c r="F100" s="75"/>
      <c r="G100" s="75"/>
      <c r="H100" s="75"/>
    </row>
    <row r="101" spans="3:8">
      <c r="C101" s="75"/>
      <c r="D101" s="75"/>
      <c r="E101" s="75"/>
      <c r="F101" s="75"/>
      <c r="G101" s="75"/>
      <c r="H101" s="75"/>
    </row>
    <row r="102" spans="3:8">
      <c r="C102" s="75"/>
      <c r="D102" s="75"/>
      <c r="E102" s="75"/>
      <c r="F102" s="75"/>
      <c r="G102" s="75"/>
      <c r="H102" s="75"/>
    </row>
    <row r="103" spans="3:8">
      <c r="C103" s="75"/>
      <c r="D103" s="75"/>
      <c r="E103" s="75"/>
      <c r="F103" s="75"/>
      <c r="G103" s="75"/>
      <c r="H103" s="75"/>
    </row>
    <row r="104" spans="3:8">
      <c r="C104" s="75"/>
      <c r="D104" s="75"/>
      <c r="E104" s="75"/>
      <c r="F104" s="75"/>
      <c r="G104" s="75"/>
      <c r="H104" s="75"/>
    </row>
    <row r="105" spans="3:8">
      <c r="C105" s="75"/>
      <c r="D105" s="75"/>
      <c r="E105" s="75"/>
      <c r="F105" s="75"/>
      <c r="G105" s="75"/>
      <c r="H105" s="75"/>
    </row>
    <row r="106" spans="3:8">
      <c r="C106" s="75"/>
      <c r="D106" s="75"/>
      <c r="E106" s="75"/>
      <c r="F106" s="75"/>
      <c r="G106" s="75"/>
      <c r="H106" s="75"/>
    </row>
    <row r="107" spans="3:8">
      <c r="C107" s="75"/>
      <c r="D107" s="75"/>
      <c r="E107" s="75"/>
      <c r="F107" s="75"/>
      <c r="G107" s="75"/>
      <c r="H107" s="75"/>
    </row>
    <row r="108" spans="3:8">
      <c r="C108" s="75"/>
      <c r="D108" s="75"/>
      <c r="E108" s="75"/>
      <c r="F108" s="75"/>
      <c r="G108" s="75"/>
      <c r="H108" s="75"/>
    </row>
    <row r="109" spans="3:8">
      <c r="C109" s="75"/>
      <c r="D109" s="75"/>
      <c r="E109" s="75"/>
      <c r="F109" s="75"/>
      <c r="G109" s="75"/>
      <c r="H109" s="75"/>
    </row>
    <row r="110" spans="3:8">
      <c r="C110" s="75"/>
      <c r="D110" s="75"/>
      <c r="E110" s="75"/>
      <c r="F110" s="75"/>
      <c r="G110" s="75"/>
      <c r="H110" s="75"/>
    </row>
    <row r="111" spans="3:8">
      <c r="C111" s="75"/>
      <c r="D111" s="75"/>
      <c r="E111" s="75"/>
      <c r="F111" s="75"/>
      <c r="G111" s="75"/>
      <c r="H111" s="75"/>
    </row>
    <row r="112" spans="3:8">
      <c r="C112" s="75"/>
      <c r="D112" s="75"/>
      <c r="E112" s="75"/>
      <c r="F112" s="75"/>
      <c r="G112" s="75"/>
      <c r="H112" s="75"/>
    </row>
    <row r="113" spans="3:8">
      <c r="C113" s="75"/>
      <c r="D113" s="75"/>
      <c r="E113" s="75"/>
      <c r="F113" s="75"/>
      <c r="G113" s="75"/>
      <c r="H113" s="75"/>
    </row>
    <row r="114" spans="3:8">
      <c r="C114" s="75"/>
      <c r="D114" s="75"/>
      <c r="E114" s="75"/>
      <c r="F114" s="75"/>
      <c r="G114" s="75"/>
      <c r="H114" s="75"/>
    </row>
    <row r="115" spans="3:8">
      <c r="C115" s="75"/>
      <c r="D115" s="75"/>
      <c r="E115" s="75"/>
      <c r="F115" s="75"/>
      <c r="G115" s="75"/>
      <c r="H115" s="75"/>
    </row>
    <row r="116" spans="3:8">
      <c r="C116" s="75"/>
      <c r="D116" s="75"/>
      <c r="E116" s="75"/>
      <c r="F116" s="75"/>
      <c r="G116" s="75"/>
      <c r="H116" s="75"/>
    </row>
    <row r="117" spans="3:8">
      <c r="C117" s="75"/>
      <c r="D117" s="75"/>
      <c r="E117" s="75"/>
      <c r="F117" s="75"/>
      <c r="G117" s="75"/>
      <c r="H117" s="75"/>
    </row>
    <row r="118" spans="3:8">
      <c r="C118" s="75"/>
      <c r="D118" s="75"/>
      <c r="E118" s="75"/>
      <c r="F118" s="75"/>
      <c r="G118" s="75"/>
      <c r="H118" s="75"/>
    </row>
    <row r="119" spans="3:8">
      <c r="C119" s="75"/>
      <c r="D119" s="75"/>
      <c r="E119" s="75"/>
      <c r="F119" s="75"/>
      <c r="G119" s="75"/>
      <c r="H119" s="75"/>
    </row>
    <row r="120" spans="3:8">
      <c r="C120" s="75"/>
      <c r="D120" s="75"/>
      <c r="E120" s="75"/>
      <c r="F120" s="75"/>
      <c r="G120" s="75"/>
      <c r="H120" s="75"/>
    </row>
    <row r="121" spans="3:8">
      <c r="C121" s="75"/>
      <c r="D121" s="75"/>
      <c r="E121" s="75"/>
      <c r="F121" s="75"/>
      <c r="G121" s="75"/>
      <c r="H121" s="75"/>
    </row>
    <row r="122" spans="3:8">
      <c r="C122" s="75"/>
      <c r="D122" s="75"/>
      <c r="E122" s="75"/>
      <c r="F122" s="75"/>
      <c r="G122" s="75"/>
      <c r="H122" s="75"/>
    </row>
    <row r="123" spans="3:8">
      <c r="C123" s="75"/>
      <c r="D123" s="75"/>
      <c r="E123" s="75"/>
      <c r="F123" s="75"/>
      <c r="G123" s="75"/>
      <c r="H123" s="75"/>
    </row>
    <row r="124" spans="3:8">
      <c r="C124" s="75"/>
      <c r="D124" s="75"/>
      <c r="E124" s="75"/>
      <c r="F124" s="75"/>
      <c r="G124" s="75"/>
      <c r="H124" s="75"/>
    </row>
    <row r="125" spans="3:8">
      <c r="C125" s="75"/>
      <c r="D125" s="75"/>
      <c r="E125" s="75"/>
      <c r="F125" s="75"/>
      <c r="G125" s="75"/>
      <c r="H125" s="75"/>
    </row>
    <row r="126" spans="3:8">
      <c r="C126" s="75"/>
      <c r="D126" s="75"/>
      <c r="E126" s="75"/>
      <c r="F126" s="75"/>
      <c r="G126" s="75"/>
      <c r="H126" s="75"/>
    </row>
    <row r="127" spans="3:8">
      <c r="C127" s="75"/>
      <c r="D127" s="75"/>
      <c r="E127" s="75"/>
      <c r="F127" s="75"/>
      <c r="G127" s="75"/>
      <c r="H127" s="75"/>
    </row>
    <row r="128" spans="3:8">
      <c r="C128" s="75"/>
      <c r="D128" s="75"/>
      <c r="E128" s="75"/>
      <c r="F128" s="75"/>
      <c r="G128" s="75"/>
      <c r="H128" s="75"/>
    </row>
    <row r="129" spans="3:8">
      <c r="C129" s="75"/>
      <c r="D129" s="75"/>
      <c r="E129" s="75"/>
      <c r="F129" s="75"/>
      <c r="G129" s="75"/>
      <c r="H129" s="75"/>
    </row>
    <row r="130" spans="3:8">
      <c r="C130" s="75"/>
      <c r="D130" s="75"/>
      <c r="E130" s="75"/>
      <c r="F130" s="75"/>
      <c r="G130" s="75"/>
      <c r="H130" s="75"/>
    </row>
    <row r="131" spans="3:8">
      <c r="C131" s="75"/>
      <c r="D131" s="75"/>
      <c r="E131" s="75"/>
      <c r="F131" s="75"/>
      <c r="G131" s="75"/>
      <c r="H131" s="75"/>
    </row>
    <row r="132" spans="3:8">
      <c r="C132" s="75"/>
      <c r="D132" s="75"/>
      <c r="E132" s="75"/>
      <c r="F132" s="75"/>
      <c r="G132" s="75"/>
      <c r="H132" s="75"/>
    </row>
    <row r="133" spans="3:8">
      <c r="C133" s="75"/>
      <c r="D133" s="75"/>
      <c r="E133" s="75"/>
      <c r="F133" s="75"/>
      <c r="G133" s="75"/>
      <c r="H133" s="75"/>
    </row>
    <row r="134" spans="3:8">
      <c r="C134" s="75"/>
      <c r="D134" s="75"/>
      <c r="E134" s="75"/>
      <c r="F134" s="75"/>
      <c r="G134" s="75"/>
      <c r="H134" s="75"/>
    </row>
    <row r="135" spans="3:8">
      <c r="C135" s="75"/>
      <c r="D135" s="75"/>
      <c r="E135" s="75"/>
      <c r="F135" s="75"/>
      <c r="G135" s="75"/>
      <c r="H135" s="75"/>
    </row>
    <row r="136" spans="3:8">
      <c r="C136" s="75"/>
      <c r="D136" s="75"/>
      <c r="E136" s="75"/>
      <c r="F136" s="75"/>
      <c r="G136" s="75"/>
      <c r="H136" s="75"/>
    </row>
    <row r="137" spans="3:8">
      <c r="C137" s="75"/>
      <c r="D137" s="75"/>
      <c r="E137" s="75"/>
      <c r="F137" s="75"/>
      <c r="G137" s="75"/>
      <c r="H137" s="75"/>
    </row>
    <row r="138" spans="3:8">
      <c r="C138" s="75"/>
      <c r="D138" s="75"/>
      <c r="E138" s="75"/>
      <c r="F138" s="75"/>
      <c r="G138" s="75"/>
      <c r="H138" s="75"/>
    </row>
    <row r="139" spans="3:8">
      <c r="C139" s="75"/>
      <c r="D139" s="75"/>
      <c r="E139" s="75"/>
      <c r="F139" s="75"/>
      <c r="G139" s="75"/>
      <c r="H139" s="75"/>
    </row>
    <row r="140" spans="3:8">
      <c r="C140" s="75"/>
      <c r="D140" s="75"/>
      <c r="E140" s="75"/>
      <c r="F140" s="75"/>
      <c r="G140" s="75"/>
      <c r="H140" s="75"/>
    </row>
    <row r="141" spans="3:8">
      <c r="C141" s="75"/>
      <c r="D141" s="75"/>
      <c r="E141" s="75"/>
      <c r="F141" s="75"/>
      <c r="G141" s="75"/>
      <c r="H141" s="75"/>
    </row>
    <row r="142" spans="3:8">
      <c r="C142" s="75"/>
      <c r="D142" s="75"/>
      <c r="E142" s="75"/>
      <c r="F142" s="75"/>
      <c r="G142" s="75"/>
      <c r="H142" s="75"/>
    </row>
    <row r="143" spans="3:8">
      <c r="C143" s="75"/>
      <c r="D143" s="75"/>
      <c r="E143" s="75"/>
      <c r="F143" s="75"/>
      <c r="G143" s="75"/>
      <c r="H143" s="75"/>
    </row>
    <row r="144" spans="3:8">
      <c r="C144" s="75"/>
      <c r="D144" s="75"/>
      <c r="E144" s="75"/>
      <c r="F144" s="75"/>
      <c r="G144" s="75"/>
      <c r="H144" s="75"/>
    </row>
    <row r="145" spans="3:8">
      <c r="C145" s="75"/>
      <c r="D145" s="75"/>
      <c r="E145" s="75"/>
      <c r="F145" s="75"/>
      <c r="G145" s="75"/>
      <c r="H145" s="75"/>
    </row>
    <row r="146" spans="3:8">
      <c r="C146" s="75"/>
      <c r="D146" s="75"/>
      <c r="E146" s="75"/>
      <c r="F146" s="75"/>
      <c r="G146" s="75"/>
      <c r="H146" s="75"/>
    </row>
    <row r="147" spans="3:8">
      <c r="C147" s="75"/>
      <c r="D147" s="75"/>
      <c r="E147" s="75"/>
      <c r="F147" s="75"/>
      <c r="G147" s="75"/>
      <c r="H147" s="75"/>
    </row>
    <row r="148" spans="3:8">
      <c r="C148" s="75"/>
      <c r="D148" s="75"/>
      <c r="E148" s="75"/>
      <c r="F148" s="75"/>
      <c r="G148" s="75"/>
      <c r="H148" s="75"/>
    </row>
    <row r="149" spans="3:8">
      <c r="C149" s="75"/>
      <c r="D149" s="75"/>
      <c r="E149" s="75"/>
      <c r="F149" s="75"/>
      <c r="G149" s="75"/>
      <c r="H149" s="75"/>
    </row>
    <row r="150" spans="3:8">
      <c r="C150" s="75"/>
      <c r="D150" s="75"/>
      <c r="E150" s="75"/>
      <c r="F150" s="75"/>
      <c r="G150" s="75"/>
      <c r="H150" s="75"/>
    </row>
    <row r="151" spans="3:8">
      <c r="C151" s="75"/>
      <c r="D151" s="75"/>
      <c r="E151" s="75"/>
      <c r="F151" s="75"/>
      <c r="G151" s="75"/>
      <c r="H151" s="75"/>
    </row>
    <row r="152" spans="3:8">
      <c r="C152" s="75"/>
      <c r="D152" s="75"/>
      <c r="E152" s="75"/>
      <c r="F152" s="75"/>
      <c r="G152" s="75"/>
      <c r="H152" s="75"/>
    </row>
    <row r="153" spans="3:8">
      <c r="C153" s="75"/>
      <c r="D153" s="75"/>
      <c r="E153" s="75"/>
      <c r="F153" s="75"/>
      <c r="G153" s="75"/>
      <c r="H153" s="75"/>
    </row>
    <row r="154" spans="3:8">
      <c r="C154" s="75"/>
      <c r="D154" s="75"/>
      <c r="E154" s="75"/>
      <c r="F154" s="75"/>
      <c r="G154" s="75"/>
      <c r="H154" s="75"/>
    </row>
    <row r="155" spans="3:8">
      <c r="C155" s="75"/>
      <c r="D155" s="75"/>
      <c r="E155" s="75"/>
      <c r="F155" s="75"/>
      <c r="G155" s="75"/>
      <c r="H155" s="75"/>
    </row>
    <row r="156" spans="3:8">
      <c r="C156" s="75"/>
      <c r="D156" s="75"/>
      <c r="E156" s="75"/>
      <c r="F156" s="75"/>
      <c r="G156" s="75"/>
      <c r="H156" s="75"/>
    </row>
    <row r="157" spans="3:8">
      <c r="C157" s="75"/>
      <c r="D157" s="75"/>
      <c r="E157" s="75"/>
      <c r="F157" s="75"/>
      <c r="G157" s="75"/>
      <c r="H157" s="75"/>
    </row>
    <row r="158" spans="3:8">
      <c r="C158" s="75"/>
      <c r="D158" s="75"/>
      <c r="E158" s="75"/>
      <c r="F158" s="75"/>
      <c r="G158" s="75"/>
      <c r="H158" s="75"/>
    </row>
    <row r="159" spans="3:8">
      <c r="C159" s="75"/>
      <c r="D159" s="75"/>
      <c r="E159" s="75"/>
      <c r="F159" s="75"/>
      <c r="G159" s="75"/>
      <c r="H159" s="75"/>
    </row>
    <row r="160" spans="3:8">
      <c r="C160" s="75"/>
      <c r="D160" s="75"/>
      <c r="E160" s="75"/>
      <c r="F160" s="75"/>
      <c r="G160" s="75"/>
      <c r="H160" s="75"/>
    </row>
    <row r="161" spans="3:8">
      <c r="C161" s="75"/>
      <c r="D161" s="75"/>
      <c r="E161" s="75"/>
      <c r="F161" s="75"/>
      <c r="G161" s="75"/>
      <c r="H161" s="75"/>
    </row>
    <row r="162" spans="3:8">
      <c r="C162" s="75"/>
      <c r="D162" s="75"/>
      <c r="E162" s="75"/>
      <c r="F162" s="75"/>
      <c r="G162" s="75"/>
      <c r="H162" s="75"/>
    </row>
    <row r="163" spans="3:8">
      <c r="C163" s="75"/>
      <c r="D163" s="75"/>
      <c r="E163" s="75"/>
      <c r="F163" s="75"/>
      <c r="G163" s="75"/>
      <c r="H163" s="75"/>
    </row>
    <row r="164" spans="3:8">
      <c r="C164" s="75"/>
      <c r="D164" s="75"/>
      <c r="E164" s="75"/>
      <c r="F164" s="75"/>
      <c r="G164" s="75"/>
      <c r="H164" s="75"/>
    </row>
    <row r="165" spans="3:8">
      <c r="C165" s="75"/>
      <c r="D165" s="75"/>
      <c r="E165" s="75"/>
      <c r="F165" s="75"/>
      <c r="G165" s="75"/>
      <c r="H165" s="75"/>
    </row>
    <row r="166" spans="3:8">
      <c r="C166" s="75"/>
      <c r="D166" s="75"/>
      <c r="E166" s="75"/>
      <c r="F166" s="75"/>
      <c r="G166" s="75"/>
      <c r="H166" s="75"/>
    </row>
    <row r="167" spans="3:8">
      <c r="C167" s="75"/>
      <c r="D167" s="75"/>
      <c r="E167" s="75"/>
      <c r="F167" s="75"/>
      <c r="G167" s="75"/>
      <c r="H167" s="75"/>
    </row>
    <row r="168" spans="3:8">
      <c r="C168" s="75"/>
      <c r="D168" s="75"/>
      <c r="E168" s="75"/>
      <c r="F168" s="75"/>
      <c r="G168" s="75"/>
      <c r="H168" s="75"/>
    </row>
    <row r="169" spans="3:8">
      <c r="C169" s="75"/>
      <c r="D169" s="75"/>
      <c r="E169" s="75"/>
      <c r="F169" s="75"/>
      <c r="G169" s="75"/>
      <c r="H169" s="75"/>
    </row>
    <row r="170" spans="3:8">
      <c r="C170" s="75"/>
      <c r="D170" s="75"/>
      <c r="E170" s="75"/>
      <c r="F170" s="75"/>
      <c r="G170" s="75"/>
      <c r="H170" s="75"/>
    </row>
    <row r="171" spans="3:8">
      <c r="C171" s="75"/>
      <c r="D171" s="75"/>
      <c r="E171" s="75"/>
      <c r="F171" s="75"/>
      <c r="G171" s="75"/>
      <c r="H171" s="75"/>
    </row>
    <row r="172" spans="3:8">
      <c r="C172" s="75"/>
      <c r="D172" s="75"/>
      <c r="E172" s="75"/>
      <c r="F172" s="75"/>
      <c r="G172" s="75"/>
      <c r="H172" s="75"/>
    </row>
    <row r="173" spans="3:8">
      <c r="C173" s="75"/>
      <c r="D173" s="75"/>
      <c r="E173" s="75"/>
      <c r="F173" s="75"/>
      <c r="G173" s="75"/>
      <c r="H173" s="75"/>
    </row>
    <row r="174" spans="3:8">
      <c r="C174" s="75"/>
      <c r="D174" s="75"/>
      <c r="E174" s="75"/>
      <c r="F174" s="75"/>
      <c r="G174" s="75"/>
      <c r="H174" s="75"/>
    </row>
    <row r="175" spans="3:8">
      <c r="C175" s="75"/>
      <c r="D175" s="75"/>
      <c r="E175" s="75"/>
      <c r="F175" s="75"/>
      <c r="G175" s="75"/>
      <c r="H175" s="75"/>
    </row>
    <row r="176" spans="3:8">
      <c r="C176" s="75"/>
      <c r="D176" s="75"/>
      <c r="E176" s="75"/>
      <c r="F176" s="75"/>
      <c r="G176" s="75"/>
      <c r="H176" s="75"/>
    </row>
    <row r="177" spans="3:8">
      <c r="C177" s="75"/>
      <c r="D177" s="75"/>
      <c r="E177" s="75"/>
      <c r="F177" s="75"/>
      <c r="G177" s="75"/>
      <c r="H177" s="75"/>
    </row>
    <row r="178" spans="3:8">
      <c r="C178" s="75"/>
      <c r="D178" s="75"/>
      <c r="E178" s="75"/>
      <c r="F178" s="75"/>
      <c r="G178" s="75"/>
      <c r="H178" s="75"/>
    </row>
    <row r="179" spans="3:8">
      <c r="C179" s="75"/>
      <c r="D179" s="75"/>
      <c r="E179" s="75"/>
      <c r="F179" s="75"/>
      <c r="G179" s="75"/>
      <c r="H179" s="75"/>
    </row>
    <row r="180" spans="3:8">
      <c r="C180" s="75"/>
      <c r="D180" s="75"/>
      <c r="E180" s="75"/>
      <c r="F180" s="75"/>
      <c r="G180" s="75"/>
      <c r="H180" s="75"/>
    </row>
    <row r="181" spans="3:8">
      <c r="C181" s="75"/>
      <c r="D181" s="75"/>
      <c r="E181" s="75"/>
      <c r="F181" s="75"/>
      <c r="G181" s="75"/>
      <c r="H181" s="75"/>
    </row>
    <row r="182" spans="3:8">
      <c r="C182" s="75"/>
      <c r="D182" s="75"/>
      <c r="E182" s="75"/>
      <c r="F182" s="75"/>
      <c r="G182" s="75"/>
      <c r="H182" s="75"/>
    </row>
    <row r="183" spans="3:8">
      <c r="C183" s="75"/>
      <c r="D183" s="75"/>
      <c r="E183" s="75"/>
      <c r="F183" s="75"/>
      <c r="G183" s="75"/>
      <c r="H183" s="75"/>
    </row>
    <row r="184" spans="3:8">
      <c r="C184" s="75"/>
      <c r="D184" s="75"/>
      <c r="E184" s="75"/>
      <c r="F184" s="75"/>
      <c r="G184" s="75"/>
      <c r="H184" s="75"/>
    </row>
    <row r="185" spans="3:8">
      <c r="C185" s="75"/>
      <c r="D185" s="75"/>
      <c r="E185" s="75"/>
      <c r="F185" s="75"/>
      <c r="G185" s="75"/>
      <c r="H185" s="75"/>
    </row>
    <row r="186" spans="3:8">
      <c r="C186" s="75"/>
      <c r="D186" s="75"/>
      <c r="E186" s="75"/>
      <c r="F186" s="75"/>
      <c r="G186" s="75"/>
      <c r="H186" s="75"/>
    </row>
  </sheetData>
  <printOptions horizontalCentered="1"/>
  <pageMargins left="0.75" right="0.75" top="0.75" bottom="0.5" header="0.25" footer="0.25"/>
  <pageSetup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P560"/>
  <sheetViews>
    <sheetView zoomScale="75" zoomScaleNormal="75" zoomScaleSheetLayoutView="75" workbookViewId="0"/>
  </sheetViews>
  <sheetFormatPr defaultColWidth="8.81640625" defaultRowHeight="15"/>
  <cols>
    <col min="1" max="1" width="5.81640625" style="687" customWidth="1"/>
    <col min="2" max="2" width="1.453125" style="11" customWidth="1"/>
    <col min="3" max="3" width="60.54296875" style="11" customWidth="1"/>
    <col min="4" max="4" width="23.90625" style="11" customWidth="1"/>
    <col min="5" max="5" width="15.54296875" style="11" customWidth="1"/>
    <col min="6" max="6" width="5.81640625" style="11" customWidth="1"/>
    <col min="7" max="7" width="5.6328125" style="11" customWidth="1"/>
    <col min="8" max="8" width="12.08984375" style="11" customWidth="1"/>
    <col min="9" max="9" width="5.81640625" style="11" customWidth="1"/>
    <col min="10" max="10" width="15.54296875" style="11" customWidth="1"/>
    <col min="11" max="11" width="3.453125" style="11" customWidth="1"/>
    <col min="12" max="12" width="13.08984375" style="11" customWidth="1"/>
    <col min="13" max="13" width="1.90625" style="11" customWidth="1"/>
    <col min="14" max="14" width="8.81640625" style="11"/>
    <col min="15" max="15" width="15.1796875" style="11" bestFit="1" customWidth="1"/>
    <col min="16" max="16" width="14.54296875" style="11" bestFit="1" customWidth="1"/>
    <col min="17" max="16384" width="8.81640625" style="11"/>
  </cols>
  <sheetData>
    <row r="1" spans="1:15" ht="17.399999999999999">
      <c r="A1" s="688"/>
      <c r="C1" s="26"/>
      <c r="D1" s="26"/>
      <c r="E1" s="27"/>
      <c r="F1" s="26"/>
      <c r="G1" s="26"/>
      <c r="H1" s="26"/>
      <c r="I1" s="28"/>
      <c r="J1" s="73" t="s">
        <v>306</v>
      </c>
      <c r="K1" s="84"/>
      <c r="M1" s="84"/>
      <c r="N1" s="596"/>
    </row>
    <row r="2" spans="1:15">
      <c r="C2" s="26"/>
      <c r="D2" s="26"/>
      <c r="E2" s="27"/>
      <c r="F2" s="26"/>
      <c r="G2" s="26"/>
      <c r="H2" s="26"/>
      <c r="I2" s="28"/>
      <c r="J2" s="73" t="s">
        <v>417</v>
      </c>
      <c r="M2" s="73"/>
    </row>
    <row r="3" spans="1:15">
      <c r="C3" s="26"/>
      <c r="D3" s="26"/>
      <c r="E3" s="27"/>
      <c r="F3" s="26"/>
      <c r="G3" s="26"/>
      <c r="H3" s="26"/>
      <c r="I3" s="28"/>
      <c r="K3" s="1"/>
      <c r="M3" s="73"/>
    </row>
    <row r="4" spans="1:15">
      <c r="C4" s="26"/>
      <c r="D4" s="26"/>
      <c r="E4" s="27"/>
      <c r="F4" s="26"/>
      <c r="G4" s="26"/>
      <c r="H4" s="26"/>
      <c r="I4" s="28"/>
      <c r="K4" s="1"/>
      <c r="M4" s="73"/>
    </row>
    <row r="5" spans="1:15">
      <c r="C5" s="26"/>
      <c r="D5" s="26"/>
      <c r="E5" s="27"/>
      <c r="F5" s="26"/>
      <c r="G5" s="26"/>
      <c r="H5" s="26"/>
      <c r="I5" s="28"/>
      <c r="K5" s="1"/>
      <c r="M5" s="73"/>
    </row>
    <row r="6" spans="1:15">
      <c r="C6" s="26"/>
      <c r="D6" s="26"/>
      <c r="E6" s="27"/>
      <c r="F6" s="26"/>
      <c r="G6" s="26"/>
      <c r="H6" s="26"/>
      <c r="I6" s="28"/>
      <c r="J6" s="1"/>
      <c r="K6" s="1"/>
      <c r="M6" s="1"/>
    </row>
    <row r="7" spans="1:15">
      <c r="C7" s="26" t="s">
        <v>6</v>
      </c>
      <c r="D7" s="26"/>
      <c r="E7" s="27"/>
      <c r="F7" s="26"/>
      <c r="G7" s="26"/>
      <c r="H7" s="26"/>
      <c r="I7" s="28"/>
      <c r="J7" s="261" t="str">
        <f>"For the 12 months ended: "&amp;TEXT(INPUT!$B$1,"mm/dd/yyyy")</f>
        <v>For the 12 months ended: 12/31/2018</v>
      </c>
      <c r="K7" s="1"/>
      <c r="M7" s="1"/>
    </row>
    <row r="8" spans="1:15">
      <c r="A8" s="697" t="s">
        <v>263</v>
      </c>
      <c r="B8" s="246"/>
      <c r="C8" s="246"/>
      <c r="D8" s="240"/>
      <c r="E8" s="105"/>
      <c r="F8" s="240"/>
      <c r="G8" s="240"/>
      <c r="H8" s="240"/>
      <c r="I8" s="240"/>
      <c r="J8" s="105"/>
      <c r="K8" s="1"/>
      <c r="L8" s="105"/>
      <c r="M8" s="1"/>
    </row>
    <row r="9" spans="1:15">
      <c r="A9" s="690" t="s">
        <v>277</v>
      </c>
      <c r="B9" s="246"/>
      <c r="C9" s="244"/>
      <c r="D9" s="242"/>
      <c r="E9" s="105"/>
      <c r="F9" s="242"/>
      <c r="G9" s="242"/>
      <c r="H9" s="242"/>
      <c r="I9" s="240"/>
      <c r="J9" s="240"/>
      <c r="K9" s="1"/>
      <c r="L9" s="243"/>
      <c r="M9" s="1"/>
    </row>
    <row r="10" spans="1:15">
      <c r="A10" s="690"/>
      <c r="B10" s="246"/>
      <c r="C10" s="241"/>
      <c r="D10" s="243"/>
      <c r="E10" s="105"/>
      <c r="F10" s="243"/>
      <c r="G10" s="243"/>
      <c r="H10" s="243"/>
      <c r="I10" s="243"/>
      <c r="J10" s="243"/>
      <c r="K10" s="1"/>
      <c r="L10" s="243"/>
      <c r="M10" s="1"/>
    </row>
    <row r="11" spans="1:15" ht="15.6">
      <c r="A11" s="698" t="s">
        <v>754</v>
      </c>
      <c r="B11" s="383"/>
      <c r="C11" s="384"/>
      <c r="D11" s="384"/>
      <c r="E11" s="383"/>
      <c r="F11" s="384"/>
      <c r="G11" s="384"/>
      <c r="H11" s="384"/>
      <c r="I11" s="384"/>
      <c r="J11" s="384"/>
      <c r="K11" s="1"/>
      <c r="L11" s="243"/>
      <c r="M11" s="1"/>
    </row>
    <row r="12" spans="1:15">
      <c r="A12" s="685"/>
      <c r="C12" s="4" t="s">
        <v>18</v>
      </c>
      <c r="D12" s="4" t="s">
        <v>19</v>
      </c>
      <c r="E12" s="4" t="s">
        <v>20</v>
      </c>
      <c r="F12" s="548" t="s">
        <v>7</v>
      </c>
      <c r="G12" s="1106" t="s">
        <v>21</v>
      </c>
      <c r="H12" s="589"/>
      <c r="I12" s="548"/>
      <c r="J12" s="7" t="s">
        <v>22</v>
      </c>
      <c r="K12" s="1"/>
      <c r="L12" s="1"/>
      <c r="M12" s="1"/>
    </row>
    <row r="13" spans="1:15">
      <c r="A13" s="685" t="s">
        <v>8</v>
      </c>
      <c r="C13" s="1"/>
      <c r="D13" s="1"/>
      <c r="E13" s="19"/>
      <c r="F13" s="1"/>
      <c r="G13" s="1"/>
      <c r="H13" s="1"/>
      <c r="I13" s="1"/>
      <c r="J13" s="29" t="s">
        <v>9</v>
      </c>
      <c r="K13" s="1"/>
      <c r="L13" s="1"/>
      <c r="M13" s="1"/>
    </row>
    <row r="14" spans="1:15">
      <c r="A14" s="694" t="s">
        <v>10</v>
      </c>
      <c r="B14" s="262"/>
      <c r="C14" s="263"/>
      <c r="D14" s="263"/>
      <c r="E14" s="263"/>
      <c r="F14" s="263"/>
      <c r="G14" s="263"/>
      <c r="H14" s="263"/>
      <c r="I14" s="263"/>
      <c r="J14" s="256" t="s">
        <v>11</v>
      </c>
      <c r="K14" s="1"/>
      <c r="L14" s="1"/>
      <c r="M14" s="1"/>
    </row>
    <row r="15" spans="1:15">
      <c r="A15" s="685">
        <v>1</v>
      </c>
      <c r="C15" s="1" t="s">
        <v>757</v>
      </c>
      <c r="D15" s="842" t="s">
        <v>756</v>
      </c>
      <c r="E15" s="2"/>
      <c r="F15" s="1"/>
      <c r="G15" s="1"/>
      <c r="H15" s="1"/>
      <c r="I15" s="1"/>
      <c r="J15" s="33">
        <f>J161</f>
        <v>132035557</v>
      </c>
      <c r="K15" s="1"/>
      <c r="L15" s="1"/>
      <c r="M15" s="1"/>
      <c r="O15" s="1182"/>
    </row>
    <row r="16" spans="1:15">
      <c r="A16" s="685"/>
      <c r="C16" s="1"/>
      <c r="D16" s="840"/>
      <c r="E16" s="1"/>
      <c r="F16" s="1"/>
      <c r="G16" s="1"/>
      <c r="H16" s="1"/>
      <c r="I16" s="1"/>
      <c r="J16" s="2"/>
      <c r="K16" s="1"/>
      <c r="L16" s="1"/>
      <c r="M16" s="1"/>
      <c r="O16" s="1182"/>
    </row>
    <row r="17" spans="1:15">
      <c r="A17" s="685"/>
      <c r="C17" s="1"/>
      <c r="D17" s="840"/>
      <c r="E17" s="1"/>
      <c r="F17" s="1"/>
      <c r="G17" s="1"/>
      <c r="H17" s="1"/>
      <c r="I17" s="1"/>
      <c r="J17" s="2"/>
      <c r="K17" s="1"/>
      <c r="L17" s="1"/>
      <c r="M17" s="1"/>
      <c r="O17" s="1182"/>
    </row>
    <row r="18" spans="1:15" ht="15.6" thickBot="1">
      <c r="A18" s="685" t="s">
        <v>7</v>
      </c>
      <c r="C18" s="566" t="s">
        <v>372</v>
      </c>
      <c r="D18" s="841"/>
      <c r="E18" s="37" t="s">
        <v>12</v>
      </c>
      <c r="F18" s="5"/>
      <c r="G18" s="45" t="s">
        <v>13</v>
      </c>
      <c r="H18" s="45"/>
      <c r="I18" s="1"/>
      <c r="J18" s="2"/>
      <c r="K18" s="1"/>
      <c r="L18" s="1"/>
      <c r="M18" s="1"/>
      <c r="O18" s="1182"/>
    </row>
    <row r="19" spans="1:15">
      <c r="A19" s="685">
        <v>2</v>
      </c>
      <c r="C19" s="566" t="s">
        <v>355</v>
      </c>
      <c r="D19" s="842" t="s">
        <v>130</v>
      </c>
      <c r="E19" s="597">
        <f>J237</f>
        <v>175445</v>
      </c>
      <c r="F19" s="319"/>
      <c r="G19" s="319" t="s">
        <v>14</v>
      </c>
      <c r="H19" s="18">
        <f>DEO_TP_Alloc</f>
        <v>1</v>
      </c>
      <c r="I19" s="319"/>
      <c r="J19" s="319">
        <f>ROUND(H19*E19,0)</f>
        <v>175445</v>
      </c>
      <c r="K19" s="1"/>
      <c r="L19" s="1"/>
      <c r="M19" s="1"/>
      <c r="O19" s="1182"/>
    </row>
    <row r="20" spans="1:15">
      <c r="A20" s="685">
        <v>3</v>
      </c>
      <c r="C20" s="566" t="s">
        <v>378</v>
      </c>
      <c r="D20" s="842" t="s">
        <v>312</v>
      </c>
      <c r="E20" s="808">
        <f>J239</f>
        <v>663115</v>
      </c>
      <c r="F20" s="319"/>
      <c r="G20" s="319" t="str">
        <f>G$19</f>
        <v>TP</v>
      </c>
      <c r="H20" s="18">
        <f>DEO_TP_Alloc</f>
        <v>1</v>
      </c>
      <c r="I20" s="319"/>
      <c r="J20" s="202">
        <f>ROUND(H20*E20,0)</f>
        <v>663115</v>
      </c>
      <c r="K20" s="1"/>
      <c r="L20" s="1"/>
      <c r="M20" s="1"/>
      <c r="O20" s="1182"/>
    </row>
    <row r="21" spans="1:15">
      <c r="A21" s="685" t="s">
        <v>299</v>
      </c>
      <c r="C21" s="566" t="s">
        <v>356</v>
      </c>
      <c r="D21" s="842"/>
      <c r="E21" s="809">
        <v>0</v>
      </c>
      <c r="F21" s="319"/>
      <c r="G21" s="319" t="str">
        <f>G$19</f>
        <v>TP</v>
      </c>
      <c r="H21" s="18">
        <f>DEO_TP_Alloc</f>
        <v>1</v>
      </c>
      <c r="I21" s="319"/>
      <c r="J21" s="202">
        <f t="shared" ref="J21:J23" si="0">ROUND(H21*E21,0)</f>
        <v>0</v>
      </c>
      <c r="K21" s="1"/>
      <c r="L21" s="1"/>
      <c r="M21" s="1"/>
      <c r="O21" s="1182"/>
    </row>
    <row r="22" spans="1:15">
      <c r="A22" s="685" t="s">
        <v>300</v>
      </c>
      <c r="C22" s="566" t="s">
        <v>411</v>
      </c>
      <c r="D22" s="842"/>
      <c r="E22" s="809">
        <v>0</v>
      </c>
      <c r="F22" s="319"/>
      <c r="G22" s="319" t="str">
        <f>G$19</f>
        <v>TP</v>
      </c>
      <c r="H22" s="18">
        <f>DEO_TP_Alloc</f>
        <v>1</v>
      </c>
      <c r="I22" s="319"/>
      <c r="J22" s="202">
        <f t="shared" si="0"/>
        <v>0</v>
      </c>
      <c r="K22" s="1"/>
      <c r="L22" s="1"/>
      <c r="M22" s="1"/>
      <c r="O22" s="1182"/>
    </row>
    <row r="23" spans="1:15">
      <c r="A23" s="685">
        <v>5</v>
      </c>
      <c r="C23" s="566" t="s">
        <v>696</v>
      </c>
      <c r="D23" s="842" t="s">
        <v>632</v>
      </c>
      <c r="E23" s="808">
        <f>ROUND(J240,0)</f>
        <v>1801397</v>
      </c>
      <c r="F23" s="440"/>
      <c r="G23" s="440"/>
      <c r="H23" s="396">
        <v>1</v>
      </c>
      <c r="I23" s="440"/>
      <c r="J23" s="202">
        <f t="shared" si="0"/>
        <v>1801397</v>
      </c>
      <c r="K23" s="1"/>
      <c r="L23" s="1"/>
      <c r="M23" s="1"/>
      <c r="O23" s="1182"/>
    </row>
    <row r="24" spans="1:15" s="596" customFormat="1">
      <c r="A24" s="685"/>
      <c r="C24" s="566"/>
      <c r="D24" s="842"/>
      <c r="E24" s="202"/>
      <c r="F24" s="597"/>
      <c r="G24" s="597"/>
      <c r="H24" s="396"/>
      <c r="I24" s="597"/>
      <c r="J24" s="202"/>
      <c r="K24" s="566"/>
      <c r="L24" s="566"/>
      <c r="M24" s="566"/>
      <c r="O24" s="1182"/>
    </row>
    <row r="25" spans="1:15" s="596" customFormat="1">
      <c r="A25" s="685"/>
      <c r="C25" s="566"/>
      <c r="D25" s="842"/>
      <c r="E25" s="202"/>
      <c r="F25" s="597"/>
      <c r="G25" s="597"/>
      <c r="H25" s="396"/>
      <c r="I25" s="597"/>
      <c r="J25" s="202"/>
      <c r="K25" s="566"/>
      <c r="L25" s="566"/>
      <c r="M25" s="566"/>
      <c r="O25" s="1182"/>
    </row>
    <row r="26" spans="1:15" s="596" customFormat="1">
      <c r="A26" s="685"/>
      <c r="C26" s="566"/>
      <c r="D26" s="842"/>
      <c r="E26" s="202"/>
      <c r="F26" s="597"/>
      <c r="G26" s="597"/>
      <c r="H26" s="396"/>
      <c r="I26" s="597"/>
      <c r="J26" s="202"/>
      <c r="K26" s="566"/>
      <c r="L26" s="566"/>
      <c r="M26" s="566"/>
      <c r="O26" s="1182"/>
    </row>
    <row r="27" spans="1:15">
      <c r="A27" s="685">
        <v>6</v>
      </c>
      <c r="C27" s="566" t="s">
        <v>618</v>
      </c>
      <c r="D27" s="840"/>
      <c r="E27" s="16" t="s">
        <v>7</v>
      </c>
      <c r="F27" s="5"/>
      <c r="G27" s="5"/>
      <c r="H27" s="18"/>
      <c r="I27" s="5"/>
      <c r="J27" s="667">
        <f>SUM(J19:J23)</f>
        <v>2639957</v>
      </c>
      <c r="K27" s="1"/>
      <c r="L27" s="1"/>
      <c r="M27" s="1"/>
      <c r="O27" s="1182"/>
    </row>
    <row r="28" spans="1:15">
      <c r="A28" s="685"/>
      <c r="D28" s="840"/>
      <c r="E28" s="5" t="s">
        <v>7</v>
      </c>
      <c r="F28" s="1"/>
      <c r="G28" s="1"/>
      <c r="H28" s="18"/>
      <c r="I28" s="1"/>
      <c r="K28" s="1"/>
      <c r="L28" s="1"/>
      <c r="M28" s="1"/>
      <c r="O28" s="1182"/>
    </row>
    <row r="29" spans="1:15">
      <c r="A29" s="685"/>
      <c r="C29" s="3"/>
      <c r="D29" s="840"/>
      <c r="J29" s="5"/>
      <c r="K29" s="1"/>
      <c r="L29" s="1"/>
      <c r="M29" s="1"/>
      <c r="O29" s="1182"/>
    </row>
    <row r="30" spans="1:15" ht="15.6" thickBot="1">
      <c r="A30" s="685">
        <v>7</v>
      </c>
      <c r="C30" s="566" t="s">
        <v>15</v>
      </c>
      <c r="D30" s="842" t="s">
        <v>131</v>
      </c>
      <c r="E30" s="16" t="s">
        <v>7</v>
      </c>
      <c r="F30" s="5"/>
      <c r="G30" s="5"/>
      <c r="H30" s="5"/>
      <c r="I30" s="5"/>
      <c r="J30" s="46">
        <f>J15-J27</f>
        <v>129395600</v>
      </c>
      <c r="K30" s="1"/>
      <c r="M30" s="1"/>
      <c r="O30" s="1182"/>
    </row>
    <row r="31" spans="1:15" ht="15.6" thickTop="1">
      <c r="A31" s="685"/>
      <c r="D31" s="840"/>
      <c r="E31" s="16"/>
      <c r="F31" s="5"/>
      <c r="G31" s="5"/>
      <c r="H31" s="5"/>
      <c r="I31" s="5"/>
      <c r="K31" s="1"/>
      <c r="L31" s="371"/>
      <c r="M31" s="1"/>
      <c r="O31" s="1182"/>
    </row>
    <row r="32" spans="1:15">
      <c r="A32" s="685"/>
      <c r="D32" s="669"/>
      <c r="J32" s="5"/>
      <c r="K32" s="1"/>
      <c r="L32" s="372"/>
      <c r="M32" s="1"/>
      <c r="O32" s="1182"/>
    </row>
    <row r="33" spans="1:15">
      <c r="A33" s="685"/>
      <c r="C33" s="3"/>
      <c r="D33" s="840"/>
      <c r="E33" s="33"/>
      <c r="F33" s="33"/>
      <c r="G33" s="33"/>
      <c r="H33" s="33"/>
      <c r="I33" s="33"/>
      <c r="J33" s="33"/>
      <c r="K33" s="1"/>
      <c r="L33" s="1"/>
      <c r="M33" s="1"/>
      <c r="O33" s="1182"/>
    </row>
    <row r="34" spans="1:15">
      <c r="C34" s="3"/>
      <c r="D34" s="26"/>
      <c r="E34" s="27"/>
      <c r="F34" s="26"/>
      <c r="G34" s="26"/>
      <c r="H34" s="26"/>
      <c r="I34" s="28"/>
      <c r="K34" s="29"/>
      <c r="L34" s="85"/>
      <c r="M34" s="29"/>
      <c r="O34" s="1182"/>
    </row>
    <row r="35" spans="1:15" ht="17.399999999999999">
      <c r="A35" s="688"/>
      <c r="C35" s="26"/>
      <c r="D35" s="26"/>
      <c r="E35" s="27"/>
      <c r="F35" s="26"/>
      <c r="G35" s="26"/>
      <c r="H35" s="26"/>
      <c r="I35" s="28"/>
      <c r="J35" s="73" t="s">
        <v>306</v>
      </c>
      <c r="K35" s="84"/>
      <c r="M35" s="84"/>
      <c r="O35" s="1182"/>
    </row>
    <row r="36" spans="1:15">
      <c r="C36" s="26"/>
      <c r="D36" s="26"/>
      <c r="E36" s="27"/>
      <c r="F36" s="26"/>
      <c r="G36" s="26"/>
      <c r="H36" s="26"/>
      <c r="I36" s="28"/>
      <c r="J36" s="73" t="s">
        <v>418</v>
      </c>
      <c r="M36" s="73"/>
      <c r="O36" s="1182"/>
    </row>
    <row r="37" spans="1:15">
      <c r="C37" s="26"/>
      <c r="D37" s="26"/>
      <c r="E37" s="27"/>
      <c r="F37" s="26"/>
      <c r="G37" s="26"/>
      <c r="H37" s="26"/>
      <c r="I37" s="28"/>
      <c r="K37" s="1"/>
      <c r="M37" s="73"/>
      <c r="O37" s="1182"/>
    </row>
    <row r="38" spans="1:15">
      <c r="C38" s="26"/>
      <c r="D38" s="26"/>
      <c r="E38" s="27"/>
      <c r="F38" s="26"/>
      <c r="G38" s="26"/>
      <c r="H38" s="26"/>
      <c r="I38" s="28"/>
      <c r="K38" s="1"/>
      <c r="M38" s="73"/>
      <c r="O38" s="1182"/>
    </row>
    <row r="39" spans="1:15">
      <c r="C39" s="26"/>
      <c r="D39" s="26"/>
      <c r="E39" s="27"/>
      <c r="F39" s="26"/>
      <c r="G39" s="26"/>
      <c r="H39" s="26"/>
      <c r="I39" s="28"/>
      <c r="K39" s="5"/>
      <c r="M39" s="73"/>
      <c r="O39" s="1182"/>
    </row>
    <row r="40" spans="1:15">
      <c r="C40" s="26"/>
      <c r="D40" s="26"/>
      <c r="E40" s="27"/>
      <c r="F40" s="26"/>
      <c r="G40" s="26"/>
      <c r="H40" s="26"/>
      <c r="I40" s="28"/>
      <c r="J40" s="73"/>
      <c r="K40" s="5"/>
      <c r="M40" s="73"/>
      <c r="O40" s="1182"/>
    </row>
    <row r="41" spans="1:15">
      <c r="C41" s="26" t="s">
        <v>6</v>
      </c>
      <c r="D41" s="26"/>
      <c r="E41" s="27"/>
      <c r="F41" s="26"/>
      <c r="G41" s="26"/>
      <c r="H41" s="26"/>
      <c r="I41" s="28"/>
      <c r="J41" s="85" t="str">
        <f>J7</f>
        <v>For the 12 months ended: 12/31/2018</v>
      </c>
      <c r="K41" s="5"/>
      <c r="M41" s="73"/>
      <c r="O41" s="1182"/>
    </row>
    <row r="42" spans="1:15">
      <c r="A42" s="689" t="str">
        <f>A8</f>
        <v>Rate Formula Template</v>
      </c>
      <c r="B42" s="246"/>
      <c r="C42" s="246"/>
      <c r="D42" s="240"/>
      <c r="E42" s="105"/>
      <c r="F42" s="240"/>
      <c r="G42" s="240"/>
      <c r="H42" s="240"/>
      <c r="I42" s="240"/>
      <c r="J42" s="105"/>
      <c r="K42" s="5"/>
      <c r="L42" s="105"/>
      <c r="M42" s="1"/>
      <c r="O42" s="1182"/>
    </row>
    <row r="43" spans="1:15">
      <c r="A43" s="690" t="s">
        <v>277</v>
      </c>
      <c r="B43" s="246"/>
      <c r="C43" s="244"/>
      <c r="D43" s="242"/>
      <c r="E43" s="105"/>
      <c r="F43" s="242"/>
      <c r="G43" s="242"/>
      <c r="H43" s="242"/>
      <c r="I43" s="240"/>
      <c r="J43" s="240"/>
      <c r="K43" s="5"/>
      <c r="L43" s="243"/>
      <c r="M43" s="1"/>
      <c r="O43" s="1182"/>
    </row>
    <row r="44" spans="1:15">
      <c r="A44" s="690"/>
      <c r="B44" s="246"/>
      <c r="C44" s="241"/>
      <c r="D44" s="243"/>
      <c r="E44" s="105"/>
      <c r="F44" s="243"/>
      <c r="G44" s="243"/>
      <c r="H44" s="243"/>
      <c r="I44" s="243"/>
      <c r="J44" s="243"/>
      <c r="K44" s="5"/>
      <c r="L44" s="243"/>
      <c r="M44" s="1"/>
      <c r="O44" s="1182"/>
    </row>
    <row r="45" spans="1:15" ht="15.6">
      <c r="A45" s="851" t="str">
        <f>$A$11</f>
        <v>DUKE ENERGY OHIO (DEO)</v>
      </c>
      <c r="B45" s="246"/>
      <c r="C45" s="241"/>
      <c r="D45" s="243"/>
      <c r="E45" s="105"/>
      <c r="F45" s="243"/>
      <c r="G45" s="243"/>
      <c r="H45" s="243"/>
      <c r="I45" s="243"/>
      <c r="J45" s="243"/>
      <c r="K45" s="5"/>
      <c r="L45" s="243"/>
      <c r="M45" s="5"/>
      <c r="O45" s="1182"/>
    </row>
    <row r="46" spans="1:15">
      <c r="C46" s="3"/>
      <c r="D46" s="1"/>
      <c r="E46" s="6"/>
      <c r="F46" s="5"/>
      <c r="G46" s="5"/>
      <c r="H46" s="5"/>
      <c r="I46" s="5"/>
      <c r="J46" s="5"/>
      <c r="K46" s="5"/>
      <c r="L46" s="5"/>
      <c r="M46" s="5"/>
      <c r="O46" s="1182"/>
    </row>
    <row r="47" spans="1:15">
      <c r="C47" s="4" t="s">
        <v>18</v>
      </c>
      <c r="D47" s="4" t="s">
        <v>19</v>
      </c>
      <c r="E47" s="4" t="s">
        <v>20</v>
      </c>
      <c r="F47" s="5" t="s">
        <v>7</v>
      </c>
      <c r="G47" s="1106" t="s">
        <v>21</v>
      </c>
      <c r="H47" s="589"/>
      <c r="I47" s="5"/>
      <c r="J47" s="7" t="s">
        <v>22</v>
      </c>
      <c r="K47" s="5"/>
      <c r="L47" s="4"/>
      <c r="M47" s="5"/>
      <c r="O47" s="1182"/>
    </row>
    <row r="48" spans="1:15">
      <c r="A48" s="685" t="s">
        <v>8</v>
      </c>
      <c r="B48" s="596"/>
      <c r="C48" s="531"/>
      <c r="D48" s="6" t="s">
        <v>23</v>
      </c>
      <c r="E48" s="548"/>
      <c r="F48" s="548"/>
      <c r="G48" s="548"/>
      <c r="H48" s="542"/>
      <c r="I48" s="548"/>
      <c r="J48" s="542" t="s">
        <v>24</v>
      </c>
      <c r="K48" s="5"/>
      <c r="L48" s="4"/>
      <c r="M48" s="5"/>
      <c r="O48" s="1182"/>
    </row>
    <row r="49" spans="1:15" ht="15.6" thickBot="1">
      <c r="A49" s="694" t="s">
        <v>10</v>
      </c>
      <c r="B49" s="257"/>
      <c r="C49" s="260" t="s">
        <v>27</v>
      </c>
      <c r="D49" s="852" t="s">
        <v>25</v>
      </c>
      <c r="E49" s="37" t="s">
        <v>26</v>
      </c>
      <c r="F49" s="347"/>
      <c r="G49" s="45" t="s">
        <v>13</v>
      </c>
      <c r="H49" s="45"/>
      <c r="I49" s="347"/>
      <c r="J49" s="853" t="s">
        <v>351</v>
      </c>
      <c r="K49" s="5"/>
      <c r="L49" s="4"/>
      <c r="M49" s="1"/>
      <c r="O49" s="1182"/>
    </row>
    <row r="50" spans="1:15">
      <c r="D50" s="5"/>
      <c r="E50" s="5"/>
      <c r="F50" s="5"/>
      <c r="G50" s="5"/>
      <c r="H50" s="5"/>
      <c r="I50" s="5"/>
      <c r="J50" s="5"/>
      <c r="K50" s="5"/>
      <c r="L50" s="5"/>
      <c r="M50" s="1"/>
      <c r="O50" s="1182"/>
    </row>
    <row r="51" spans="1:15">
      <c r="A51" s="685"/>
      <c r="C51" s="3"/>
      <c r="D51" s="5"/>
      <c r="E51" s="5"/>
      <c r="F51" s="5"/>
      <c r="G51" s="5"/>
      <c r="H51" s="5"/>
      <c r="I51" s="5"/>
      <c r="J51" s="5"/>
      <c r="K51" s="5"/>
      <c r="L51" s="5"/>
      <c r="M51" s="1"/>
      <c r="O51" s="1182"/>
    </row>
    <row r="52" spans="1:15">
      <c r="A52" s="685"/>
      <c r="C52" s="528" t="s">
        <v>28</v>
      </c>
      <c r="D52" s="5"/>
      <c r="E52" s="5"/>
      <c r="F52" s="5"/>
      <c r="G52" s="5"/>
      <c r="H52" s="5"/>
      <c r="I52" s="5"/>
      <c r="J52" s="5"/>
      <c r="K52" s="5"/>
      <c r="L52" s="5"/>
      <c r="M52" s="1"/>
      <c r="O52" s="1182"/>
    </row>
    <row r="53" spans="1:15">
      <c r="A53" s="685">
        <v>1</v>
      </c>
      <c r="C53" s="531" t="s">
        <v>29</v>
      </c>
      <c r="D53" s="842" t="s">
        <v>187</v>
      </c>
      <c r="E53" s="387">
        <f>INPUT!C9</f>
        <v>0</v>
      </c>
      <c r="F53" s="5"/>
      <c r="G53" s="5" t="s">
        <v>30</v>
      </c>
      <c r="H53" s="13" t="s">
        <v>7</v>
      </c>
      <c r="I53" s="5"/>
      <c r="J53" s="204">
        <v>0</v>
      </c>
      <c r="K53" s="5"/>
      <c r="L53" s="5"/>
      <c r="M53" s="1"/>
      <c r="O53" s="1182"/>
    </row>
    <row r="54" spans="1:15">
      <c r="A54" s="685">
        <v>2</v>
      </c>
      <c r="C54" s="531" t="s">
        <v>31</v>
      </c>
      <c r="D54" s="842" t="s">
        <v>175</v>
      </c>
      <c r="E54" s="321">
        <f>INPUT!C10</f>
        <v>939500769</v>
      </c>
      <c r="F54" s="5"/>
      <c r="G54" s="5" t="s">
        <v>14</v>
      </c>
      <c r="H54" s="18">
        <f>DEO_TP_Alloc</f>
        <v>1</v>
      </c>
      <c r="I54" s="5"/>
      <c r="J54" s="79">
        <f>ROUND(H54*E54,0)</f>
        <v>939500769</v>
      </c>
      <c r="K54" s="5"/>
      <c r="L54" s="5"/>
      <c r="M54" s="1"/>
      <c r="O54" s="1182"/>
    </row>
    <row r="55" spans="1:15">
      <c r="A55" s="685">
        <v>3</v>
      </c>
      <c r="C55" s="531" t="s">
        <v>32</v>
      </c>
      <c r="D55" s="842" t="s">
        <v>176</v>
      </c>
      <c r="E55" s="321">
        <f>INPUT!C11</f>
        <v>2692790384</v>
      </c>
      <c r="F55" s="5"/>
      <c r="G55" s="5" t="s">
        <v>30</v>
      </c>
      <c r="H55" s="13" t="s">
        <v>7</v>
      </c>
      <c r="I55" s="5"/>
      <c r="J55" s="204"/>
      <c r="K55" s="5"/>
      <c r="L55" s="5"/>
      <c r="M55" s="1"/>
      <c r="O55" s="1182"/>
    </row>
    <row r="56" spans="1:15" ht="16.95" customHeight="1">
      <c r="A56" s="685">
        <v>4</v>
      </c>
      <c r="C56" s="531" t="s">
        <v>33</v>
      </c>
      <c r="D56" s="842" t="s">
        <v>0</v>
      </c>
      <c r="E56" s="321">
        <f>INPUT!C12</f>
        <v>315875186</v>
      </c>
      <c r="F56" s="5"/>
      <c r="G56" s="5" t="s">
        <v>146</v>
      </c>
      <c r="H56" s="13">
        <f>DEO_WS_Alloc</f>
        <v>0.15806999999999999</v>
      </c>
      <c r="I56" s="5"/>
      <c r="J56" s="204">
        <f>ROUND(H56*E56,0)</f>
        <v>49930391</v>
      </c>
      <c r="K56" s="5"/>
      <c r="L56" s="5"/>
      <c r="M56" s="5"/>
      <c r="O56" s="1182"/>
    </row>
    <row r="57" spans="1:15" ht="15.6" thickBot="1">
      <c r="A57" s="685">
        <v>5</v>
      </c>
      <c r="C57" s="531" t="s">
        <v>34</v>
      </c>
      <c r="D57" s="842" t="s">
        <v>542</v>
      </c>
      <c r="E57" s="385">
        <f>INPUT!C13</f>
        <v>238460495</v>
      </c>
      <c r="F57" s="5"/>
      <c r="G57" s="5" t="s">
        <v>76</v>
      </c>
      <c r="H57" s="13">
        <f>DEO_CE_Alloc</f>
        <v>0.10589</v>
      </c>
      <c r="I57" s="5"/>
      <c r="J57" s="205">
        <f>ROUND(H57*E57,0)</f>
        <v>25250582</v>
      </c>
      <c r="K57" s="5"/>
      <c r="L57" s="5"/>
      <c r="M57" s="5"/>
      <c r="O57" s="1182"/>
    </row>
    <row r="58" spans="1:15">
      <c r="A58" s="685">
        <v>6</v>
      </c>
      <c r="C58" s="531" t="s">
        <v>35</v>
      </c>
      <c r="D58" s="842"/>
      <c r="E58" s="79">
        <f>SUM(E53:E57)</f>
        <v>4186626834</v>
      </c>
      <c r="F58" s="5"/>
      <c r="G58" s="5" t="s">
        <v>36</v>
      </c>
      <c r="H58" s="13">
        <f>IF(J58&gt;0,ROUND(J58/E58,5),0)</f>
        <v>0.24235999999999999</v>
      </c>
      <c r="I58" s="5"/>
      <c r="J58" s="79">
        <f>SUM(J53:J57)</f>
        <v>1014681742</v>
      </c>
      <c r="K58" s="5"/>
      <c r="L58" s="17"/>
      <c r="M58" s="1"/>
      <c r="O58" s="1182"/>
    </row>
    <row r="59" spans="1:15">
      <c r="C59" s="528"/>
      <c r="D59" s="842"/>
      <c r="E59" s="202"/>
      <c r="F59" s="5"/>
      <c r="G59" s="5"/>
      <c r="H59" s="17"/>
      <c r="I59" s="5"/>
      <c r="J59" s="204"/>
      <c r="K59" s="5"/>
      <c r="L59" s="17"/>
      <c r="M59" s="1"/>
      <c r="O59" s="1182"/>
    </row>
    <row r="60" spans="1:15">
      <c r="C60" s="531" t="s">
        <v>586</v>
      </c>
      <c r="D60" s="842"/>
      <c r="E60" s="202"/>
      <c r="F60" s="5"/>
      <c r="G60" s="5"/>
      <c r="H60" s="5"/>
      <c r="I60" s="5"/>
      <c r="J60" s="204"/>
      <c r="K60" s="5"/>
      <c r="L60" s="5"/>
      <c r="M60" s="1"/>
      <c r="O60" s="1182"/>
    </row>
    <row r="61" spans="1:15">
      <c r="A61" s="685">
        <v>7</v>
      </c>
      <c r="C61" s="531" t="s">
        <v>29</v>
      </c>
      <c r="D61" s="842" t="s">
        <v>633</v>
      </c>
      <c r="E61" s="387">
        <f>INPUT!C17</f>
        <v>0</v>
      </c>
      <c r="F61" s="5"/>
      <c r="G61" s="5" t="str">
        <f t="shared" ref="G61:G65" si="1">G53</f>
        <v>NA</v>
      </c>
      <c r="H61" s="13"/>
      <c r="I61" s="5"/>
      <c r="J61" s="204"/>
      <c r="K61" s="5"/>
      <c r="L61" s="5"/>
      <c r="M61" s="1"/>
      <c r="O61" s="1182"/>
    </row>
    <row r="62" spans="1:15">
      <c r="A62" s="685">
        <v>8</v>
      </c>
      <c r="C62" s="531" t="s">
        <v>31</v>
      </c>
      <c r="D62" s="842" t="s">
        <v>158</v>
      </c>
      <c r="E62" s="321">
        <f>INPUT!C18</f>
        <v>217295556</v>
      </c>
      <c r="F62" s="5"/>
      <c r="G62" s="5" t="str">
        <f t="shared" si="1"/>
        <v>TP</v>
      </c>
      <c r="H62" s="18">
        <f>DEO_TP_Alloc</f>
        <v>1</v>
      </c>
      <c r="I62" s="5"/>
      <c r="J62" s="79">
        <f>ROUND(H62*E62,0)</f>
        <v>217295556</v>
      </c>
      <c r="K62" s="5"/>
      <c r="L62" s="5"/>
      <c r="M62" s="1"/>
      <c r="O62" s="1182"/>
    </row>
    <row r="63" spans="1:15">
      <c r="A63" s="685">
        <v>9</v>
      </c>
      <c r="C63" s="531" t="s">
        <v>32</v>
      </c>
      <c r="D63" s="842" t="s">
        <v>159</v>
      </c>
      <c r="E63" s="321">
        <f>INPUT!C19</f>
        <v>743958083</v>
      </c>
      <c r="F63" s="5"/>
      <c r="G63" s="5" t="str">
        <f t="shared" si="1"/>
        <v>NA</v>
      </c>
      <c r="H63" s="13"/>
      <c r="I63" s="5"/>
      <c r="J63" s="204"/>
      <c r="K63" s="5"/>
      <c r="L63" s="5"/>
      <c r="M63" s="1"/>
      <c r="O63" s="1182"/>
    </row>
    <row r="64" spans="1:15">
      <c r="A64" s="685">
        <v>10</v>
      </c>
      <c r="C64" s="531" t="s">
        <v>33</v>
      </c>
      <c r="D64" s="842" t="s">
        <v>507</v>
      </c>
      <c r="E64" s="321">
        <f>INPUT!C20</f>
        <v>130416000</v>
      </c>
      <c r="F64" s="5"/>
      <c r="G64" s="548" t="str">
        <f>G56</f>
        <v>WS</v>
      </c>
      <c r="H64" s="13">
        <f>DEO_WS_Alloc</f>
        <v>0.15806999999999999</v>
      </c>
      <c r="I64" s="5"/>
      <c r="J64" s="204">
        <f>ROUND(H64*E64,0)</f>
        <v>20614857</v>
      </c>
      <c r="K64" s="5"/>
      <c r="L64" s="5"/>
      <c r="M64" s="1"/>
      <c r="O64" s="1182"/>
    </row>
    <row r="65" spans="1:16" ht="15.6" thickBot="1">
      <c r="A65" s="685">
        <v>11</v>
      </c>
      <c r="C65" s="531" t="s">
        <v>34</v>
      </c>
      <c r="D65" s="842" t="s">
        <v>542</v>
      </c>
      <c r="E65" s="385">
        <f>INPUT!C21</f>
        <v>91048508</v>
      </c>
      <c r="F65" s="5"/>
      <c r="G65" s="5" t="str">
        <f t="shared" si="1"/>
        <v>CE</v>
      </c>
      <c r="H65" s="13">
        <f>DEO_CE_Alloc</f>
        <v>0.10589</v>
      </c>
      <c r="I65" s="5"/>
      <c r="J65" s="205">
        <f>ROUND(H65*E65,0)</f>
        <v>9641127</v>
      </c>
      <c r="K65" s="5"/>
      <c r="L65" s="5"/>
      <c r="M65" s="1"/>
      <c r="O65" s="1182"/>
    </row>
    <row r="66" spans="1:16">
      <c r="A66" s="685">
        <v>12</v>
      </c>
      <c r="C66" s="531" t="s">
        <v>587</v>
      </c>
      <c r="D66" s="842"/>
      <c r="E66" s="79">
        <f>SUM(E61:E65)</f>
        <v>1182718147</v>
      </c>
      <c r="F66" s="5"/>
      <c r="G66" s="5"/>
      <c r="H66" s="5"/>
      <c r="I66" s="5"/>
      <c r="J66" s="79">
        <f>SUM(J61:J65)</f>
        <v>247551540</v>
      </c>
      <c r="K66" s="5"/>
      <c r="L66" s="5"/>
      <c r="M66" s="1"/>
      <c r="O66" s="1182"/>
    </row>
    <row r="67" spans="1:16">
      <c r="A67" s="685"/>
      <c r="C67" s="527"/>
      <c r="D67" s="842" t="s">
        <v>7</v>
      </c>
      <c r="E67" s="202"/>
      <c r="F67" s="5"/>
      <c r="G67" s="5"/>
      <c r="H67" s="17"/>
      <c r="I67" s="5"/>
      <c r="J67" s="204"/>
      <c r="K67" s="5"/>
      <c r="L67" s="17"/>
      <c r="M67" s="1"/>
      <c r="O67" s="1182"/>
    </row>
    <row r="68" spans="1:16">
      <c r="A68" s="685"/>
      <c r="C68" s="531" t="s">
        <v>38</v>
      </c>
      <c r="D68" s="842"/>
      <c r="E68" s="202"/>
      <c r="F68" s="5"/>
      <c r="G68" s="5"/>
      <c r="H68" s="5"/>
      <c r="I68" s="5"/>
      <c r="J68" s="204"/>
      <c r="K68" s="5"/>
      <c r="L68" s="5"/>
      <c r="M68" s="1"/>
      <c r="O68" s="1182"/>
    </row>
    <row r="69" spans="1:16">
      <c r="A69" s="685">
        <v>13</v>
      </c>
      <c r="C69" s="531" t="s">
        <v>29</v>
      </c>
      <c r="D69" s="842" t="s">
        <v>781</v>
      </c>
      <c r="E69" s="79">
        <f>E53-E61</f>
        <v>0</v>
      </c>
      <c r="F69" s="5"/>
      <c r="G69" s="5"/>
      <c r="H69" s="17"/>
      <c r="I69" s="5"/>
      <c r="J69" s="204" t="s">
        <v>7</v>
      </c>
      <c r="K69" s="5"/>
      <c r="L69" s="17"/>
      <c r="M69" s="1"/>
      <c r="O69" s="1182"/>
    </row>
    <row r="70" spans="1:16">
      <c r="A70" s="685">
        <v>14</v>
      </c>
      <c r="C70" s="531" t="s">
        <v>31</v>
      </c>
      <c r="D70" s="842" t="s">
        <v>782</v>
      </c>
      <c r="E70" s="202">
        <f>E54-E62</f>
        <v>722205213</v>
      </c>
      <c r="F70" s="5"/>
      <c r="G70" s="5"/>
      <c r="H70" s="13"/>
      <c r="I70" s="5"/>
      <c r="J70" s="79">
        <f>J54-J62</f>
        <v>722205213</v>
      </c>
      <c r="K70" s="5"/>
      <c r="L70" s="17"/>
      <c r="M70" s="1"/>
      <c r="O70" s="1182"/>
    </row>
    <row r="71" spans="1:16">
      <c r="A71" s="685">
        <v>15</v>
      </c>
      <c r="C71" s="531" t="s">
        <v>32</v>
      </c>
      <c r="D71" s="842" t="s">
        <v>783</v>
      </c>
      <c r="E71" s="202">
        <f>E55-E63</f>
        <v>1948832301</v>
      </c>
      <c r="F71" s="5"/>
      <c r="G71" s="5"/>
      <c r="H71" s="17"/>
      <c r="I71" s="5"/>
      <c r="J71" s="204" t="s">
        <v>7</v>
      </c>
      <c r="K71" s="5"/>
      <c r="L71" s="17"/>
      <c r="M71" s="1"/>
      <c r="O71" s="1182"/>
    </row>
    <row r="72" spans="1:16">
      <c r="A72" s="685">
        <v>16</v>
      </c>
      <c r="C72" s="531" t="s">
        <v>33</v>
      </c>
      <c r="D72" s="842" t="s">
        <v>784</v>
      </c>
      <c r="E72" s="202">
        <f>E56-E64</f>
        <v>185459186</v>
      </c>
      <c r="F72" s="5"/>
      <c r="G72" s="5"/>
      <c r="H72" s="17"/>
      <c r="I72" s="5"/>
      <c r="J72" s="204">
        <f>J56-J64</f>
        <v>29315534</v>
      </c>
      <c r="K72" s="5"/>
      <c r="L72" s="17"/>
      <c r="M72" s="1"/>
      <c r="O72" s="1182"/>
    </row>
    <row r="73" spans="1:16" ht="15.6" thickBot="1">
      <c r="A73" s="685">
        <v>17</v>
      </c>
      <c r="C73" s="531" t="s">
        <v>34</v>
      </c>
      <c r="D73" s="842" t="s">
        <v>785</v>
      </c>
      <c r="E73" s="203">
        <f>E57-E65</f>
        <v>147411987</v>
      </c>
      <c r="F73" s="5"/>
      <c r="G73" s="5"/>
      <c r="H73" s="17"/>
      <c r="I73" s="5"/>
      <c r="J73" s="205">
        <f>J57-J65</f>
        <v>15609455</v>
      </c>
      <c r="K73" s="5"/>
      <c r="L73" s="17"/>
      <c r="M73" s="1"/>
      <c r="O73" s="1182"/>
    </row>
    <row r="74" spans="1:16">
      <c r="A74" s="685">
        <v>18</v>
      </c>
      <c r="C74" s="531" t="s">
        <v>39</v>
      </c>
      <c r="D74" s="842"/>
      <c r="E74" s="79">
        <f>SUM(E69:E73)</f>
        <v>3003908687</v>
      </c>
      <c r="F74" s="5"/>
      <c r="G74" s="5" t="s">
        <v>40</v>
      </c>
      <c r="H74" s="13">
        <f>IF(J74&gt;0,ROUND(J74/E74,5),0)</f>
        <v>0.25538</v>
      </c>
      <c r="I74" s="5"/>
      <c r="J74" s="79">
        <f>SUM(J69:J73)</f>
        <v>767130202</v>
      </c>
      <c r="K74" s="5"/>
      <c r="L74" s="5"/>
      <c r="M74" s="1"/>
      <c r="O74" s="1182"/>
    </row>
    <row r="75" spans="1:16">
      <c r="A75" s="685"/>
      <c r="C75" s="527"/>
      <c r="D75" s="842"/>
      <c r="E75" s="202"/>
      <c r="F75" s="5"/>
      <c r="I75" s="5"/>
      <c r="J75" s="204"/>
      <c r="K75" s="5"/>
      <c r="L75" s="17"/>
      <c r="M75" s="1"/>
      <c r="O75" s="1182"/>
    </row>
    <row r="76" spans="1:16">
      <c r="A76" s="685"/>
      <c r="C76" s="530" t="s">
        <v>623</v>
      </c>
      <c r="D76" s="842"/>
      <c r="E76" s="202"/>
      <c r="F76" s="5"/>
      <c r="G76" s="5"/>
      <c r="H76" s="5"/>
      <c r="I76" s="5"/>
      <c r="J76" s="204"/>
      <c r="K76" s="5"/>
      <c r="L76" s="5"/>
      <c r="M76" s="1"/>
      <c r="O76" s="1182"/>
    </row>
    <row r="77" spans="1:16">
      <c r="A77" s="685">
        <v>19</v>
      </c>
      <c r="C77" s="531" t="s">
        <v>120</v>
      </c>
      <c r="D77" s="842" t="s">
        <v>41</v>
      </c>
      <c r="E77" s="387">
        <f>INPUT!C33</f>
        <v>0</v>
      </c>
      <c r="F77" s="34"/>
      <c r="G77" s="34" t="str">
        <f>G61</f>
        <v>NA</v>
      </c>
      <c r="H77" s="76" t="s">
        <v>152</v>
      </c>
      <c r="I77" s="5"/>
      <c r="J77" s="79">
        <v>0</v>
      </c>
      <c r="K77" s="5"/>
      <c r="L77" s="17"/>
      <c r="M77" s="1"/>
      <c r="O77" s="1184"/>
      <c r="P77" s="573"/>
    </row>
    <row r="78" spans="1:16">
      <c r="A78" s="685">
        <v>20</v>
      </c>
      <c r="B78" s="11" t="s">
        <v>157</v>
      </c>
      <c r="C78" s="531" t="s">
        <v>121</v>
      </c>
      <c r="D78" s="842" t="s">
        <v>588</v>
      </c>
      <c r="E78" s="448">
        <f>INPUT!C34</f>
        <v>-751483578</v>
      </c>
      <c r="F78" s="5"/>
      <c r="G78" s="5" t="s">
        <v>42</v>
      </c>
      <c r="H78" s="13">
        <f>DEO_NP_Alloc</f>
        <v>0.25538</v>
      </c>
      <c r="I78" s="5"/>
      <c r="J78" s="204">
        <f>ROUND(H78*E78,0)</f>
        <v>-191913876</v>
      </c>
      <c r="K78" s="5"/>
      <c r="L78" s="17"/>
      <c r="M78" s="1"/>
      <c r="O78" s="1185"/>
      <c r="P78" s="446"/>
    </row>
    <row r="79" spans="1:16">
      <c r="A79" s="685">
        <v>21</v>
      </c>
      <c r="C79" s="531" t="s">
        <v>122</v>
      </c>
      <c r="D79" s="842" t="s">
        <v>589</v>
      </c>
      <c r="E79" s="448">
        <f>INPUT!C35</f>
        <v>-48166249</v>
      </c>
      <c r="F79" s="5"/>
      <c r="G79" s="5" t="s">
        <v>42</v>
      </c>
      <c r="H79" s="13">
        <f>DEO_NP_Alloc</f>
        <v>0.25538</v>
      </c>
      <c r="I79" s="5"/>
      <c r="J79" s="204">
        <f>ROUND(H79*E79,0)</f>
        <v>-12300697</v>
      </c>
      <c r="K79" s="5"/>
      <c r="L79" s="17"/>
      <c r="M79" s="1"/>
      <c r="O79" s="1185"/>
      <c r="P79" s="446"/>
    </row>
    <row r="80" spans="1:16">
      <c r="A80" s="685">
        <v>22</v>
      </c>
      <c r="C80" s="531" t="s">
        <v>124</v>
      </c>
      <c r="D80" s="842" t="s">
        <v>590</v>
      </c>
      <c r="E80" s="448">
        <f>INPUT!C36</f>
        <v>55713760</v>
      </c>
      <c r="F80" s="5"/>
      <c r="G80" s="5" t="str">
        <f>G79</f>
        <v>NP</v>
      </c>
      <c r="H80" s="13">
        <f>DEO_NP_Alloc</f>
        <v>0.25538</v>
      </c>
      <c r="I80" s="5"/>
      <c r="J80" s="204">
        <f>ROUND(H80*E80,0)</f>
        <v>14228180</v>
      </c>
      <c r="K80" s="5"/>
      <c r="L80" s="17"/>
      <c r="M80" s="1"/>
      <c r="O80" s="1185"/>
      <c r="P80" s="754"/>
    </row>
    <row r="81" spans="1:16" ht="15.6" thickBot="1">
      <c r="A81" s="685">
        <v>23</v>
      </c>
      <c r="C81" s="596" t="s">
        <v>591</v>
      </c>
      <c r="D81" s="842" t="s">
        <v>169</v>
      </c>
      <c r="E81" s="670">
        <f>INPUT!C37</f>
        <v>0</v>
      </c>
      <c r="F81" s="5"/>
      <c r="G81" s="5" t="s">
        <v>42</v>
      </c>
      <c r="H81" s="13">
        <f>DEO_NP_Alloc</f>
        <v>0.25538</v>
      </c>
      <c r="I81" s="5"/>
      <c r="J81" s="207">
        <f>ROUND(H81*E81,0)</f>
        <v>0</v>
      </c>
      <c r="K81" s="5"/>
      <c r="L81" s="17"/>
      <c r="M81" s="1"/>
      <c r="O81" s="1182"/>
      <c r="P81" s="446"/>
    </row>
    <row r="82" spans="1:16">
      <c r="A82" s="685">
        <v>24</v>
      </c>
      <c r="C82" s="531" t="s">
        <v>624</v>
      </c>
      <c r="D82" s="842"/>
      <c r="E82" s="671">
        <f>SUM(E77:E81)</f>
        <v>-743936067</v>
      </c>
      <c r="F82" s="5"/>
      <c r="G82" s="5"/>
      <c r="H82" s="5"/>
      <c r="I82" s="5"/>
      <c r="J82" s="671">
        <f>SUM(J77:J81)</f>
        <v>-189986393</v>
      </c>
      <c r="K82" s="5"/>
      <c r="L82" s="5"/>
      <c r="M82" s="1"/>
      <c r="O82" s="1182"/>
    </row>
    <row r="83" spans="1:16">
      <c r="A83" s="685"/>
      <c r="C83" s="561"/>
      <c r="D83" s="842"/>
      <c r="E83" s="202"/>
      <c r="F83" s="5"/>
      <c r="G83" s="5"/>
      <c r="H83" s="17"/>
      <c r="I83" s="5"/>
      <c r="J83" s="204"/>
      <c r="K83" s="5"/>
      <c r="L83" s="17"/>
      <c r="M83" s="1"/>
      <c r="O83" s="1182"/>
    </row>
    <row r="84" spans="1:16">
      <c r="A84" s="685">
        <v>25</v>
      </c>
      <c r="C84" s="530" t="s">
        <v>360</v>
      </c>
      <c r="D84" s="842" t="s">
        <v>339</v>
      </c>
      <c r="E84" s="387">
        <f>INPUT!C40</f>
        <v>324654</v>
      </c>
      <c r="F84" s="34"/>
      <c r="G84" s="34"/>
      <c r="H84" s="386">
        <v>1</v>
      </c>
      <c r="I84" s="5"/>
      <c r="J84" s="79">
        <f>ROUND(H84*E84,0)</f>
        <v>324654</v>
      </c>
      <c r="K84" s="5"/>
      <c r="L84" s="5"/>
      <c r="M84" s="1"/>
      <c r="O84" s="1182"/>
    </row>
    <row r="85" spans="1:16">
      <c r="A85" s="685"/>
      <c r="C85" s="531"/>
      <c r="D85" s="842"/>
      <c r="E85" s="202"/>
      <c r="F85" s="5"/>
      <c r="G85" s="5"/>
      <c r="H85" s="5"/>
      <c r="I85" s="5"/>
      <c r="J85" s="204"/>
      <c r="K85" s="5"/>
      <c r="L85" s="5"/>
      <c r="M85" s="1"/>
      <c r="O85" s="1182"/>
    </row>
    <row r="86" spans="1:16">
      <c r="A86" s="685"/>
      <c r="C86" s="537" t="s">
        <v>373</v>
      </c>
      <c r="D86" s="842" t="s">
        <v>7</v>
      </c>
      <c r="E86" s="202"/>
      <c r="F86" s="5"/>
      <c r="G86" s="5"/>
      <c r="H86" s="5"/>
      <c r="I86" s="5"/>
      <c r="J86" s="204"/>
      <c r="K86" s="5"/>
      <c r="L86" s="5"/>
      <c r="M86" s="1"/>
      <c r="O86" s="1182"/>
    </row>
    <row r="87" spans="1:16">
      <c r="A87" s="685">
        <v>26</v>
      </c>
      <c r="C87" s="531" t="s">
        <v>147</v>
      </c>
      <c r="D87" s="842" t="s">
        <v>145</v>
      </c>
      <c r="E87" s="79">
        <f>ROUND(E126/8,0)</f>
        <v>7673207</v>
      </c>
      <c r="F87" s="5"/>
      <c r="G87" s="5"/>
      <c r="H87" s="17"/>
      <c r="I87" s="5"/>
      <c r="J87" s="440">
        <f>ROUND(J126/8,0)</f>
        <v>2041783</v>
      </c>
      <c r="K87" s="1"/>
      <c r="L87" s="17"/>
      <c r="M87" s="1"/>
      <c r="O87" s="1182"/>
    </row>
    <row r="88" spans="1:16">
      <c r="A88" s="685">
        <v>27</v>
      </c>
      <c r="C88" s="537" t="s">
        <v>374</v>
      </c>
      <c r="D88" s="842" t="s">
        <v>513</v>
      </c>
      <c r="E88" s="321">
        <f>INPUT!C44</f>
        <v>20259071</v>
      </c>
      <c r="F88" s="5"/>
      <c r="G88" s="5" t="s">
        <v>43</v>
      </c>
      <c r="H88" s="13">
        <f>DEO_TE_Alloc</f>
        <v>0.50061</v>
      </c>
      <c r="I88" s="5"/>
      <c r="J88" s="204">
        <f>ROUND(H88*E88,0)</f>
        <v>10141894</v>
      </c>
      <c r="K88" s="5" t="s">
        <v>7</v>
      </c>
      <c r="L88" s="17"/>
      <c r="M88" s="1"/>
      <c r="O88" s="1182"/>
    </row>
    <row r="89" spans="1:16" ht="15.6" thickBot="1">
      <c r="A89" s="685">
        <v>28</v>
      </c>
      <c r="C89" s="531" t="s">
        <v>125</v>
      </c>
      <c r="D89" s="842" t="s">
        <v>173</v>
      </c>
      <c r="E89" s="385">
        <f>INPUT!C45</f>
        <v>58479</v>
      </c>
      <c r="F89" s="5"/>
      <c r="G89" s="5" t="s">
        <v>44</v>
      </c>
      <c r="H89" s="13">
        <f>DEO_GP_Alloc</f>
        <v>0.24235999999999999</v>
      </c>
      <c r="I89" s="5"/>
      <c r="J89" s="205">
        <f>ROUND(H89*E89,0)</f>
        <v>14173</v>
      </c>
      <c r="K89" s="5"/>
      <c r="L89" s="17"/>
      <c r="M89" s="1"/>
      <c r="O89" s="1182"/>
    </row>
    <row r="90" spans="1:16">
      <c r="A90" s="685">
        <v>29</v>
      </c>
      <c r="C90" s="531" t="s">
        <v>625</v>
      </c>
      <c r="D90" s="839"/>
      <c r="E90" s="319">
        <f>E87+E88+E89</f>
        <v>27990757</v>
      </c>
      <c r="F90" s="1"/>
      <c r="G90" s="1"/>
      <c r="H90" s="1"/>
      <c r="I90" s="1"/>
      <c r="J90" s="319">
        <f>J87+J88+J89</f>
        <v>12197850</v>
      </c>
      <c r="K90" s="1"/>
      <c r="L90" s="1"/>
      <c r="M90" s="1"/>
      <c r="O90" s="1182"/>
    </row>
    <row r="91" spans="1:16" ht="15.6" thickBot="1">
      <c r="C91" s="561"/>
      <c r="D91" s="842"/>
      <c r="E91" s="205"/>
      <c r="F91" s="5"/>
      <c r="G91" s="5"/>
      <c r="H91" s="5"/>
      <c r="I91" s="5"/>
      <c r="J91" s="205"/>
      <c r="K91" s="5"/>
      <c r="L91" s="5"/>
      <c r="M91" s="1"/>
      <c r="O91" s="1182"/>
    </row>
    <row r="92" spans="1:16" ht="15.6" thickBot="1">
      <c r="A92" s="685">
        <v>30</v>
      </c>
      <c r="C92" s="531" t="s">
        <v>626</v>
      </c>
      <c r="D92" s="842"/>
      <c r="E92" s="320">
        <f>E90+E84+E82+E74</f>
        <v>2288288031</v>
      </c>
      <c r="F92" s="5"/>
      <c r="G92" s="5"/>
      <c r="H92" s="17"/>
      <c r="I92" s="5"/>
      <c r="J92" s="320">
        <f>J90+J84+J82+J74</f>
        <v>589666313</v>
      </c>
      <c r="K92" s="5"/>
      <c r="L92" s="17"/>
      <c r="M92" s="5"/>
      <c r="O92" s="1182"/>
    </row>
    <row r="93" spans="1:16" ht="15.6" thickTop="1">
      <c r="A93" s="685"/>
      <c r="C93" s="3"/>
      <c r="D93" s="5"/>
      <c r="E93" s="5"/>
      <c r="F93" s="5"/>
      <c r="G93" s="5"/>
      <c r="H93" s="5"/>
      <c r="I93" s="5"/>
      <c r="J93" s="5"/>
      <c r="K93" s="5"/>
      <c r="L93" s="5"/>
      <c r="M93" s="5"/>
      <c r="O93" s="1182"/>
    </row>
    <row r="94" spans="1:16">
      <c r="A94" s="685"/>
      <c r="C94" s="3"/>
      <c r="D94" s="26"/>
      <c r="E94" s="27"/>
      <c r="F94" s="26"/>
      <c r="G94" s="26"/>
      <c r="H94" s="26"/>
      <c r="I94" s="28"/>
      <c r="K94" s="29"/>
      <c r="L94" s="85"/>
      <c r="M94" s="29"/>
      <c r="O94" s="1182"/>
    </row>
    <row r="95" spans="1:16" ht="17.399999999999999">
      <c r="A95" s="688"/>
      <c r="C95" s="26"/>
      <c r="D95" s="26"/>
      <c r="E95" s="27"/>
      <c r="F95" s="26"/>
      <c r="G95" s="26"/>
      <c r="H95" s="26"/>
      <c r="I95" s="28"/>
      <c r="J95" s="73" t="s">
        <v>306</v>
      </c>
      <c r="K95" s="84"/>
      <c r="M95" s="84"/>
      <c r="O95" s="1182"/>
    </row>
    <row r="96" spans="1:16">
      <c r="C96" s="26"/>
      <c r="D96" s="26"/>
      <c r="E96" s="27"/>
      <c r="F96" s="26"/>
      <c r="G96" s="26"/>
      <c r="H96" s="26"/>
      <c r="I96" s="28"/>
      <c r="J96" s="73" t="s">
        <v>419</v>
      </c>
      <c r="M96" s="73"/>
      <c r="O96" s="1182"/>
    </row>
    <row r="97" spans="1:15">
      <c r="C97" s="26"/>
      <c r="D97" s="26"/>
      <c r="E97" s="27"/>
      <c r="F97" s="26"/>
      <c r="G97" s="26"/>
      <c r="H97" s="26"/>
      <c r="I97" s="28"/>
      <c r="J97" s="73"/>
      <c r="M97" s="73"/>
      <c r="O97" s="1182"/>
    </row>
    <row r="98" spans="1:15">
      <c r="C98" s="26"/>
      <c r="D98" s="26"/>
      <c r="E98" s="27"/>
      <c r="F98" s="26"/>
      <c r="G98" s="26"/>
      <c r="H98" s="26"/>
      <c r="I98" s="28"/>
      <c r="M98" s="73"/>
      <c r="O98" s="1182"/>
    </row>
    <row r="99" spans="1:15">
      <c r="C99" s="26"/>
      <c r="D99" s="26"/>
      <c r="E99" s="27"/>
      <c r="F99" s="26"/>
      <c r="G99" s="26"/>
      <c r="H99" s="26"/>
      <c r="I99" s="28"/>
      <c r="K99" s="1"/>
      <c r="M99" s="73"/>
      <c r="O99" s="1182"/>
    </row>
    <row r="100" spans="1:15">
      <c r="C100" s="26"/>
      <c r="D100" s="26"/>
      <c r="E100" s="27"/>
      <c r="F100" s="26"/>
      <c r="G100" s="26"/>
      <c r="H100" s="26"/>
      <c r="I100" s="28"/>
      <c r="J100" s="73"/>
      <c r="K100" s="1"/>
      <c r="M100" s="73"/>
      <c r="O100" s="1182"/>
    </row>
    <row r="101" spans="1:15">
      <c r="C101" s="26" t="s">
        <v>6</v>
      </c>
      <c r="D101" s="26"/>
      <c r="E101" s="27"/>
      <c r="F101" s="26"/>
      <c r="G101" s="26"/>
      <c r="H101" s="26"/>
      <c r="I101" s="28"/>
      <c r="J101" s="85" t="str">
        <f>J7</f>
        <v>For the 12 months ended: 12/31/2018</v>
      </c>
      <c r="K101" s="1"/>
      <c r="M101" s="73"/>
      <c r="O101" s="1182"/>
    </row>
    <row r="102" spans="1:15">
      <c r="A102" s="689" t="str">
        <f>A8</f>
        <v>Rate Formula Template</v>
      </c>
      <c r="B102" s="246"/>
      <c r="C102" s="246"/>
      <c r="D102" s="240"/>
      <c r="E102" s="105"/>
      <c r="F102" s="240"/>
      <c r="G102" s="240"/>
      <c r="H102" s="240"/>
      <c r="I102" s="240"/>
      <c r="J102" s="105"/>
      <c r="K102" s="5"/>
      <c r="L102" s="105"/>
      <c r="M102" s="1"/>
      <c r="O102" s="1182"/>
    </row>
    <row r="103" spans="1:15">
      <c r="A103" s="690" t="s">
        <v>277</v>
      </c>
      <c r="B103" s="246"/>
      <c r="C103" s="244"/>
      <c r="D103" s="242"/>
      <c r="E103" s="105"/>
      <c r="F103" s="242"/>
      <c r="G103" s="242"/>
      <c r="H103" s="242"/>
      <c r="I103" s="240"/>
      <c r="J103" s="240"/>
      <c r="K103" s="5"/>
      <c r="L103" s="243"/>
      <c r="M103" s="1"/>
      <c r="O103" s="1182"/>
    </row>
    <row r="104" spans="1:15">
      <c r="A104" s="690"/>
      <c r="B104" s="246"/>
      <c r="C104" s="241"/>
      <c r="D104" s="243"/>
      <c r="E104" s="105"/>
      <c r="F104" s="243"/>
      <c r="G104" s="243"/>
      <c r="H104" s="243"/>
      <c r="I104" s="243"/>
      <c r="J104" s="243"/>
      <c r="K104" s="5"/>
      <c r="L104" s="243"/>
      <c r="M104" s="1"/>
      <c r="O104" s="1182"/>
    </row>
    <row r="105" spans="1:15" ht="15.6">
      <c r="A105" s="851" t="str">
        <f>$A$11</f>
        <v>DUKE ENERGY OHIO (DEO)</v>
      </c>
      <c r="B105" s="246"/>
      <c r="C105" s="241"/>
      <c r="D105" s="243"/>
      <c r="E105" s="105"/>
      <c r="F105" s="243"/>
      <c r="G105" s="243"/>
      <c r="H105" s="243"/>
      <c r="I105" s="243"/>
      <c r="J105" s="243"/>
      <c r="K105" s="5"/>
      <c r="L105" s="243"/>
      <c r="M105" s="5"/>
      <c r="O105" s="1182"/>
    </row>
    <row r="106" spans="1:15">
      <c r="A106" s="685"/>
      <c r="K106" s="5"/>
      <c r="L106" s="5"/>
      <c r="M106" s="5"/>
      <c r="O106" s="1182"/>
    </row>
    <row r="107" spans="1:15" ht="15.6">
      <c r="A107" s="685"/>
      <c r="C107" s="4" t="s">
        <v>18</v>
      </c>
      <c r="D107" s="4" t="s">
        <v>19</v>
      </c>
      <c r="E107" s="4" t="s">
        <v>20</v>
      </c>
      <c r="F107" s="5" t="s">
        <v>7</v>
      </c>
      <c r="G107" s="1106" t="s">
        <v>21</v>
      </c>
      <c r="H107" s="589"/>
      <c r="I107" s="5"/>
      <c r="J107" s="7" t="s">
        <v>22</v>
      </c>
      <c r="K107" s="5"/>
      <c r="L107" s="30"/>
      <c r="M107" s="28"/>
      <c r="O107" s="1182"/>
    </row>
    <row r="108" spans="1:15" ht="15.6">
      <c r="A108" s="693" t="s">
        <v>8</v>
      </c>
      <c r="B108" s="262"/>
      <c r="C108" s="264"/>
      <c r="D108" s="6" t="s">
        <v>23</v>
      </c>
      <c r="E108" s="548"/>
      <c r="F108" s="548"/>
      <c r="G108" s="548"/>
      <c r="H108" s="542"/>
      <c r="I108" s="548"/>
      <c r="J108" s="542" t="s">
        <v>24</v>
      </c>
      <c r="K108" s="5"/>
      <c r="L108" s="30"/>
      <c r="M108" s="5"/>
      <c r="O108" s="1182"/>
    </row>
    <row r="109" spans="1:15" ht="15.6">
      <c r="A109" s="694" t="s">
        <v>10</v>
      </c>
      <c r="B109" s="262"/>
      <c r="C109" s="264"/>
      <c r="D109" s="349" t="s">
        <v>25</v>
      </c>
      <c r="E109" s="256" t="s">
        <v>26</v>
      </c>
      <c r="F109" s="854"/>
      <c r="G109" s="855" t="s">
        <v>13</v>
      </c>
      <c r="H109" s="265"/>
      <c r="I109" s="854"/>
      <c r="J109" s="258" t="s">
        <v>351</v>
      </c>
      <c r="K109" s="5"/>
      <c r="L109" s="30"/>
      <c r="M109" s="47"/>
      <c r="O109" s="1182"/>
    </row>
    <row r="110" spans="1:15" ht="15.6">
      <c r="C110" s="3"/>
      <c r="D110" s="5"/>
      <c r="E110" s="8"/>
      <c r="F110" s="9"/>
      <c r="G110" s="10"/>
      <c r="I110" s="9"/>
      <c r="J110" s="8"/>
      <c r="K110" s="5"/>
      <c r="L110" s="5"/>
      <c r="M110" s="5"/>
      <c r="O110" s="1182"/>
    </row>
    <row r="111" spans="1:15">
      <c r="A111" s="685"/>
      <c r="C111" s="531" t="s">
        <v>45</v>
      </c>
      <c r="D111" s="5"/>
      <c r="E111" s="5"/>
      <c r="F111" s="5"/>
      <c r="G111" s="5"/>
      <c r="H111" s="5"/>
      <c r="I111" s="5"/>
      <c r="J111" s="5"/>
      <c r="K111" s="5"/>
      <c r="L111" s="5"/>
      <c r="M111" s="5"/>
      <c r="O111" s="1182"/>
    </row>
    <row r="112" spans="1:15">
      <c r="A112" s="685">
        <v>1</v>
      </c>
      <c r="C112" s="531" t="s">
        <v>46</v>
      </c>
      <c r="D112" s="842" t="s">
        <v>188</v>
      </c>
      <c r="E112" s="79">
        <f>INPUT!C51</f>
        <v>7812840</v>
      </c>
      <c r="F112" s="5"/>
      <c r="G112" s="5" t="s">
        <v>43</v>
      </c>
      <c r="H112" s="13">
        <f>DEO_TE_Alloc</f>
        <v>0.50061</v>
      </c>
      <c r="I112" s="5"/>
      <c r="J112" s="319">
        <f>ROUND(H112*E112,0)</f>
        <v>3911186</v>
      </c>
      <c r="K112" s="1"/>
      <c r="L112" s="5"/>
      <c r="M112" s="5"/>
      <c r="O112" s="1182"/>
    </row>
    <row r="113" spans="1:15">
      <c r="A113" s="686" t="s">
        <v>1</v>
      </c>
      <c r="B113" s="63"/>
      <c r="C113" s="536" t="s">
        <v>367</v>
      </c>
      <c r="D113" s="842" t="s">
        <v>592</v>
      </c>
      <c r="E113" s="321">
        <f>'P17 LSE Expenses'!G21</f>
        <v>-4806770</v>
      </c>
      <c r="F113" s="5"/>
      <c r="G113" s="34"/>
      <c r="H113" s="60">
        <v>1</v>
      </c>
      <c r="I113" s="34"/>
      <c r="J113" s="204">
        <f>ROUND(H113*E113,0)</f>
        <v>-4806770</v>
      </c>
      <c r="K113" s="1"/>
      <c r="L113" s="5"/>
      <c r="M113" s="5"/>
      <c r="O113" s="1182"/>
    </row>
    <row r="114" spans="1:15">
      <c r="A114" s="686" t="s">
        <v>250</v>
      </c>
      <c r="B114" s="63"/>
      <c r="C114" s="534" t="s">
        <v>556</v>
      </c>
      <c r="D114" s="842" t="s">
        <v>481</v>
      </c>
      <c r="E114" s="321">
        <f>INPUT!C53</f>
        <v>0</v>
      </c>
      <c r="F114" s="34"/>
      <c r="G114" s="5" t="s">
        <v>43</v>
      </c>
      <c r="H114" s="13">
        <f>DEO_TE_Alloc</f>
        <v>0.50061</v>
      </c>
      <c r="I114" s="34"/>
      <c r="J114" s="204">
        <f>ROUND(H114*E114,0)</f>
        <v>0</v>
      </c>
      <c r="K114" s="1"/>
      <c r="L114" s="5"/>
      <c r="M114" s="5"/>
      <c r="O114" s="1182"/>
    </row>
    <row r="115" spans="1:15" s="596" customFormat="1">
      <c r="A115" s="686" t="s">
        <v>253</v>
      </c>
      <c r="B115" s="550"/>
      <c r="C115" s="534" t="s">
        <v>576</v>
      </c>
      <c r="D115" s="842" t="s">
        <v>574</v>
      </c>
      <c r="E115" s="448">
        <f>INPUT!C54</f>
        <v>282229</v>
      </c>
      <c r="F115" s="543"/>
      <c r="G115" s="548" t="s">
        <v>43</v>
      </c>
      <c r="H115" s="13">
        <f>DEO_TE_Alloc</f>
        <v>0.50061</v>
      </c>
      <c r="I115" s="543"/>
      <c r="J115" s="446">
        <f>ROUND(H115*E115,0)</f>
        <v>141287</v>
      </c>
      <c r="K115" s="566"/>
      <c r="L115" s="548"/>
      <c r="M115" s="548"/>
      <c r="O115" s="1182"/>
    </row>
    <row r="116" spans="1:15">
      <c r="A116" s="685">
        <v>2</v>
      </c>
      <c r="C116" s="534" t="s">
        <v>2</v>
      </c>
      <c r="D116" s="842" t="s">
        <v>189</v>
      </c>
      <c r="E116" s="321">
        <f>INPUT!C55</f>
        <v>-13232</v>
      </c>
      <c r="F116" s="5"/>
      <c r="G116" s="5" t="s">
        <v>43</v>
      </c>
      <c r="H116" s="13">
        <f>DEO_TE_Alloc</f>
        <v>0.50061</v>
      </c>
      <c r="I116" s="5"/>
      <c r="J116" s="204">
        <f t="shared" ref="J116:J125" si="2">ROUND(H116*E116,0)</f>
        <v>-6624</v>
      </c>
      <c r="K116" s="1"/>
      <c r="L116" s="5"/>
      <c r="M116" s="5"/>
      <c r="O116" s="1182"/>
    </row>
    <row r="117" spans="1:15">
      <c r="A117" s="686">
        <v>3</v>
      </c>
      <c r="B117" s="63"/>
      <c r="C117" s="539" t="s">
        <v>47</v>
      </c>
      <c r="D117" s="842" t="s">
        <v>190</v>
      </c>
      <c r="E117" s="202">
        <f>'P5 A&amp;G Adjusments'!E21</f>
        <v>51005709</v>
      </c>
      <c r="F117" s="34"/>
      <c r="G117" s="34" t="s">
        <v>146</v>
      </c>
      <c r="H117" s="13">
        <f>DEO_WS_Alloc</f>
        <v>0.15806999999999999</v>
      </c>
      <c r="I117" s="34"/>
      <c r="J117" s="204">
        <f t="shared" si="2"/>
        <v>8062472</v>
      </c>
      <c r="K117" s="5"/>
      <c r="L117" s="5" t="s">
        <v>7</v>
      </c>
      <c r="M117" s="5"/>
      <c r="O117" s="1182"/>
    </row>
    <row r="118" spans="1:15" s="596" customFormat="1" ht="30">
      <c r="A118" s="695" t="s">
        <v>380</v>
      </c>
      <c r="B118" s="550"/>
      <c r="C118" s="668" t="s">
        <v>607</v>
      </c>
      <c r="D118" s="842" t="s">
        <v>245</v>
      </c>
      <c r="E118" s="630">
        <f>INPUT!C57</f>
        <v>2198592</v>
      </c>
      <c r="F118" s="575"/>
      <c r="G118" s="575" t="s">
        <v>146</v>
      </c>
      <c r="H118" s="673">
        <f>DEO_WS_Alloc</f>
        <v>0.15806999999999999</v>
      </c>
      <c r="I118" s="575"/>
      <c r="J118" s="631">
        <f t="shared" si="2"/>
        <v>347531</v>
      </c>
      <c r="K118" s="548"/>
      <c r="L118" s="548"/>
      <c r="M118" s="548"/>
      <c r="O118" s="1182"/>
    </row>
    <row r="119" spans="1:15">
      <c r="A119" s="686" t="s">
        <v>381</v>
      </c>
      <c r="B119" s="63"/>
      <c r="C119" s="534" t="s">
        <v>559</v>
      </c>
      <c r="D119" s="842" t="s">
        <v>483</v>
      </c>
      <c r="E119" s="321">
        <f>INPUT!C58</f>
        <v>0</v>
      </c>
      <c r="F119" s="34"/>
      <c r="G119" s="34" t="s">
        <v>146</v>
      </c>
      <c r="H119" s="13">
        <f>DEO_WS_Alloc</f>
        <v>0.15806999999999999</v>
      </c>
      <c r="I119" s="34"/>
      <c r="J119" s="204">
        <f t="shared" si="2"/>
        <v>0</v>
      </c>
      <c r="K119" s="5"/>
      <c r="L119" s="5"/>
      <c r="M119" s="5"/>
      <c r="O119" s="1182"/>
    </row>
    <row r="120" spans="1:15" s="550" customFormat="1">
      <c r="A120" s="686"/>
      <c r="C120" s="538" t="s">
        <v>564</v>
      </c>
      <c r="D120" s="629"/>
      <c r="E120" s="202"/>
      <c r="F120" s="543"/>
      <c r="G120" s="543"/>
      <c r="H120" s="60"/>
      <c r="I120" s="543"/>
      <c r="J120" s="202"/>
      <c r="K120" s="543"/>
      <c r="L120" s="543"/>
      <c r="M120" s="543"/>
      <c r="O120" s="1183"/>
    </row>
    <row r="121" spans="1:15">
      <c r="A121" s="686">
        <v>4</v>
      </c>
      <c r="B121" s="63"/>
      <c r="C121" s="538" t="s">
        <v>357</v>
      </c>
      <c r="D121" s="842" t="s">
        <v>593</v>
      </c>
      <c r="E121" s="321">
        <f>INPUT!C60</f>
        <v>0</v>
      </c>
      <c r="F121" s="34"/>
      <c r="G121" s="34" t="str">
        <f>G117</f>
        <v>WS</v>
      </c>
      <c r="H121" s="13">
        <f>DEO_WS_Alloc</f>
        <v>0.15806999999999999</v>
      </c>
      <c r="I121" s="34"/>
      <c r="J121" s="204">
        <f t="shared" si="2"/>
        <v>0</v>
      </c>
      <c r="K121" s="5"/>
      <c r="L121" s="5"/>
      <c r="M121" s="5"/>
      <c r="O121" s="1182"/>
    </row>
    <row r="122" spans="1:15">
      <c r="A122" s="686">
        <v>5</v>
      </c>
      <c r="B122" s="63"/>
      <c r="C122" s="536" t="s">
        <v>368</v>
      </c>
      <c r="D122" s="629"/>
      <c r="E122" s="321">
        <f>INPUT!C61</f>
        <v>1970669</v>
      </c>
      <c r="F122" s="34"/>
      <c r="G122" s="34" t="str">
        <f>G121</f>
        <v>WS</v>
      </c>
      <c r="H122" s="13">
        <f>DEO_WS_Alloc</f>
        <v>0.15806999999999999</v>
      </c>
      <c r="I122" s="34"/>
      <c r="J122" s="204">
        <f t="shared" si="2"/>
        <v>311504</v>
      </c>
      <c r="K122" s="5"/>
      <c r="L122" s="5"/>
      <c r="M122" s="5"/>
      <c r="O122" s="1182"/>
    </row>
    <row r="123" spans="1:15">
      <c r="A123" s="696" t="s">
        <v>151</v>
      </c>
      <c r="B123" s="63"/>
      <c r="C123" s="536" t="s">
        <v>369</v>
      </c>
      <c r="D123" s="629"/>
      <c r="E123" s="321">
        <f>INPUT!C62</f>
        <v>0</v>
      </c>
      <c r="F123" s="34"/>
      <c r="G123" s="59" t="str">
        <f>G112</f>
        <v>TE</v>
      </c>
      <c r="H123" s="13">
        <f>DEO_TE_Alloc</f>
        <v>0.50061</v>
      </c>
      <c r="I123" s="34"/>
      <c r="J123" s="204">
        <f t="shared" si="2"/>
        <v>0</v>
      </c>
      <c r="K123" s="5"/>
      <c r="L123" s="5"/>
      <c r="M123" s="5"/>
      <c r="O123" s="1182"/>
    </row>
    <row r="124" spans="1:15">
      <c r="A124" s="686">
        <v>6</v>
      </c>
      <c r="B124" s="63"/>
      <c r="C124" s="539" t="s">
        <v>34</v>
      </c>
      <c r="D124" s="842" t="s">
        <v>542</v>
      </c>
      <c r="E124" s="321">
        <f>INPUT!C63</f>
        <v>0</v>
      </c>
      <c r="F124" s="34"/>
      <c r="G124" s="34" t="s">
        <v>76</v>
      </c>
      <c r="H124" s="60">
        <f>DEO_CE_Alloc</f>
        <v>0.10589</v>
      </c>
      <c r="I124" s="34"/>
      <c r="J124" s="204">
        <f t="shared" si="2"/>
        <v>0</v>
      </c>
      <c r="K124" s="5"/>
      <c r="L124" s="5"/>
      <c r="M124" s="5"/>
      <c r="O124" s="1182"/>
    </row>
    <row r="125" spans="1:15" ht="15.6" thickBot="1">
      <c r="A125" s="686">
        <v>7</v>
      </c>
      <c r="B125" s="63"/>
      <c r="C125" s="539" t="s">
        <v>48</v>
      </c>
      <c r="D125" s="629"/>
      <c r="E125" s="385">
        <f>INPUT!C64</f>
        <v>0</v>
      </c>
      <c r="F125" s="34"/>
      <c r="G125" s="34" t="s">
        <v>7</v>
      </c>
      <c r="H125" s="386">
        <v>1</v>
      </c>
      <c r="I125" s="34"/>
      <c r="J125" s="205">
        <f t="shared" si="2"/>
        <v>0</v>
      </c>
      <c r="K125" s="5"/>
      <c r="L125" s="5"/>
      <c r="M125" s="5"/>
      <c r="O125" s="1182"/>
    </row>
    <row r="126" spans="1:15" s="550" customFormat="1">
      <c r="A126" s="686">
        <v>8</v>
      </c>
      <c r="C126" s="539" t="s">
        <v>594</v>
      </c>
      <c r="D126" s="629"/>
      <c r="E126" s="440">
        <f>E112-E113-E114-E115-E116+E117-E119-E121-E122+E123+E124+E125</f>
        <v>61385653</v>
      </c>
      <c r="F126" s="543"/>
      <c r="G126" s="543"/>
      <c r="H126" s="543"/>
      <c r="I126" s="543"/>
      <c r="J126" s="440">
        <f>J112-J113-J114-J115-J116+J117-J119-J121-J122+J123+J124+J125</f>
        <v>16334261</v>
      </c>
      <c r="K126" s="543"/>
      <c r="L126" s="543"/>
      <c r="M126" s="543"/>
      <c r="O126" s="1183"/>
    </row>
    <row r="127" spans="1:15">
      <c r="A127" s="686"/>
      <c r="B127" s="63"/>
      <c r="C127" s="550"/>
      <c r="D127" s="629"/>
      <c r="E127" s="202"/>
      <c r="F127" s="34"/>
      <c r="G127" s="34"/>
      <c r="H127" s="34"/>
      <c r="I127" s="34"/>
      <c r="J127" s="202"/>
      <c r="K127" s="5"/>
      <c r="L127" s="5"/>
      <c r="M127" s="5"/>
      <c r="O127" s="1182"/>
    </row>
    <row r="128" spans="1:15">
      <c r="A128" s="685"/>
      <c r="C128" s="531" t="s">
        <v>595</v>
      </c>
      <c r="D128" s="842"/>
      <c r="E128" s="204"/>
      <c r="F128" s="5"/>
      <c r="G128" s="5"/>
      <c r="H128" s="5"/>
      <c r="I128" s="5"/>
      <c r="J128" s="204"/>
      <c r="K128" s="5"/>
      <c r="L128" s="5"/>
      <c r="M128" s="5"/>
      <c r="O128" s="1182"/>
    </row>
    <row r="129" spans="1:15">
      <c r="A129" s="685">
        <v>9</v>
      </c>
      <c r="C129" s="531" t="s">
        <v>46</v>
      </c>
      <c r="D129" s="842" t="s">
        <v>518</v>
      </c>
      <c r="E129" s="387">
        <f>INPUT!C68</f>
        <v>15575285</v>
      </c>
      <c r="F129" s="5"/>
      <c r="G129" s="5" t="s">
        <v>14</v>
      </c>
      <c r="H129" s="13">
        <f>DEO_TP_Alloc</f>
        <v>1</v>
      </c>
      <c r="I129" s="5"/>
      <c r="J129" s="319">
        <f>ROUND(H129*E129,0)</f>
        <v>15575285</v>
      </c>
      <c r="K129" s="5"/>
      <c r="L129" s="17"/>
      <c r="M129" s="5"/>
      <c r="O129" s="1182"/>
    </row>
    <row r="130" spans="1:15" ht="15.6" customHeight="1">
      <c r="A130" s="685">
        <v>10</v>
      </c>
      <c r="C130" s="531" t="s">
        <v>33</v>
      </c>
      <c r="D130" s="842" t="s">
        <v>509</v>
      </c>
      <c r="E130" s="321">
        <f>INPUT!C69</f>
        <v>21149637</v>
      </c>
      <c r="F130" s="5"/>
      <c r="G130" s="5" t="s">
        <v>146</v>
      </c>
      <c r="H130" s="13">
        <f>DEO_WS_Alloc</f>
        <v>0.15806999999999999</v>
      </c>
      <c r="I130" s="5"/>
      <c r="J130" s="204">
        <f>ROUND(H130*E130,0)</f>
        <v>3343123</v>
      </c>
      <c r="K130" s="5"/>
      <c r="L130" s="17"/>
      <c r="M130" s="5"/>
      <c r="O130" s="1182"/>
    </row>
    <row r="131" spans="1:15" ht="15.6" thickBot="1">
      <c r="A131" s="685">
        <v>11</v>
      </c>
      <c r="C131" s="531" t="s">
        <v>34</v>
      </c>
      <c r="D131" s="842" t="s">
        <v>517</v>
      </c>
      <c r="E131" s="385">
        <f>INPUT!C70</f>
        <v>9295958</v>
      </c>
      <c r="F131" s="5"/>
      <c r="G131" s="5" t="s">
        <v>76</v>
      </c>
      <c r="H131" s="60">
        <f>DEO_CE_Alloc</f>
        <v>0.10589</v>
      </c>
      <c r="I131" s="5"/>
      <c r="J131" s="205">
        <f>ROUND(H131*E131,0)</f>
        <v>984349</v>
      </c>
      <c r="K131" s="5"/>
      <c r="L131" s="17"/>
      <c r="M131" s="5"/>
      <c r="O131" s="1182"/>
    </row>
    <row r="132" spans="1:15">
      <c r="A132" s="685">
        <v>12</v>
      </c>
      <c r="C132" s="531" t="s">
        <v>596</v>
      </c>
      <c r="D132" s="842"/>
      <c r="E132" s="319">
        <f>SUM(E129:E131)</f>
        <v>46020880</v>
      </c>
      <c r="F132" s="5"/>
      <c r="G132" s="5"/>
      <c r="H132" s="5"/>
      <c r="I132" s="5"/>
      <c r="J132" s="319">
        <f>SUM(J129:J131)</f>
        <v>19902757</v>
      </c>
      <c r="K132" s="5"/>
      <c r="L132" s="5"/>
      <c r="M132" s="5"/>
      <c r="O132" s="1182"/>
    </row>
    <row r="133" spans="1:15">
      <c r="A133" s="685"/>
      <c r="C133" s="531"/>
      <c r="D133" s="842"/>
      <c r="E133" s="204"/>
      <c r="F133" s="5"/>
      <c r="G133" s="5"/>
      <c r="H133" s="5"/>
      <c r="I133" s="5"/>
      <c r="J133" s="204"/>
      <c r="K133" s="5"/>
      <c r="L133" s="5"/>
      <c r="M133" s="5"/>
      <c r="O133" s="1182"/>
    </row>
    <row r="134" spans="1:15">
      <c r="A134" s="685" t="s">
        <v>7</v>
      </c>
      <c r="C134" s="537" t="s">
        <v>370</v>
      </c>
      <c r="D134" s="844"/>
      <c r="E134" s="204"/>
      <c r="F134" s="5"/>
      <c r="G134" s="5"/>
      <c r="H134" s="5"/>
      <c r="I134" s="5"/>
      <c r="J134" s="204"/>
      <c r="K134" s="5"/>
      <c r="L134" s="5"/>
      <c r="M134" s="5"/>
      <c r="O134" s="1182"/>
    </row>
    <row r="135" spans="1:15">
      <c r="A135" s="685"/>
      <c r="C135" s="531" t="s">
        <v>51</v>
      </c>
      <c r="D135" s="844"/>
      <c r="E135" s="204"/>
      <c r="F135" s="5"/>
      <c r="G135" s="5"/>
      <c r="I135" s="5"/>
      <c r="J135" s="204"/>
      <c r="K135" s="5"/>
      <c r="L135" s="17"/>
      <c r="M135" s="5"/>
      <c r="O135" s="1182"/>
    </row>
    <row r="136" spans="1:15">
      <c r="A136" s="685">
        <v>13</v>
      </c>
      <c r="C136" s="535" t="s">
        <v>358</v>
      </c>
      <c r="D136" s="842" t="s">
        <v>170</v>
      </c>
      <c r="E136" s="387">
        <f>INPUT!C75</f>
        <v>4106171</v>
      </c>
      <c r="F136" s="5"/>
      <c r="G136" s="5" t="s">
        <v>146</v>
      </c>
      <c r="H136" s="13">
        <f>DEO_WS_Alloc</f>
        <v>0.15806999999999999</v>
      </c>
      <c r="I136" s="5"/>
      <c r="J136" s="319">
        <f>ROUND(H136*E136,0)</f>
        <v>649062</v>
      </c>
      <c r="K136" s="5"/>
      <c r="L136" s="17"/>
      <c r="M136" s="5"/>
      <c r="O136" s="1182"/>
    </row>
    <row r="137" spans="1:15">
      <c r="A137" s="685">
        <v>14</v>
      </c>
      <c r="C137" s="535" t="s">
        <v>359</v>
      </c>
      <c r="D137" s="842" t="s">
        <v>170</v>
      </c>
      <c r="E137" s="321">
        <f>INPUT!C76</f>
        <v>3863</v>
      </c>
      <c r="F137" s="5"/>
      <c r="G137" s="5" t="str">
        <f>G136</f>
        <v>WS</v>
      </c>
      <c r="H137" s="13">
        <f>DEO_WS_Alloc</f>
        <v>0.15806999999999999</v>
      </c>
      <c r="I137" s="5"/>
      <c r="J137" s="204">
        <f>ROUND(H137*E137,0)</f>
        <v>611</v>
      </c>
      <c r="K137" s="5"/>
      <c r="L137" s="17"/>
      <c r="M137" s="5"/>
      <c r="O137" s="1182"/>
    </row>
    <row r="138" spans="1:15">
      <c r="A138" s="685">
        <v>15</v>
      </c>
      <c r="C138" s="531" t="s">
        <v>52</v>
      </c>
      <c r="D138" s="842" t="s">
        <v>7</v>
      </c>
      <c r="E138" s="321"/>
      <c r="F138" s="5"/>
      <c r="G138" s="5"/>
      <c r="I138" s="5"/>
      <c r="J138" s="204"/>
      <c r="K138" s="5"/>
      <c r="L138" s="17"/>
      <c r="M138" s="5"/>
      <c r="O138" s="1182"/>
    </row>
    <row r="139" spans="1:15">
      <c r="A139" s="685">
        <v>16</v>
      </c>
      <c r="C139" s="535" t="s">
        <v>620</v>
      </c>
      <c r="D139" s="842" t="s">
        <v>170</v>
      </c>
      <c r="E139" s="321">
        <f>INPUT!C78</f>
        <v>141234636</v>
      </c>
      <c r="F139" s="5"/>
      <c r="G139" s="5" t="s">
        <v>44</v>
      </c>
      <c r="H139" s="18">
        <f>DEO_GP_Alloc</f>
        <v>0.24235999999999999</v>
      </c>
      <c r="I139" s="5"/>
      <c r="J139" s="204">
        <f>ROUND(H139*E139,0)</f>
        <v>34229626</v>
      </c>
      <c r="K139" s="5"/>
      <c r="L139" s="17"/>
      <c r="M139" s="5"/>
      <c r="O139" s="1182"/>
    </row>
    <row r="140" spans="1:15">
      <c r="A140" s="685">
        <v>17</v>
      </c>
      <c r="C140" s="535" t="s">
        <v>621</v>
      </c>
      <c r="D140" s="842" t="s">
        <v>170</v>
      </c>
      <c r="E140" s="321">
        <f>INPUT!C79</f>
        <v>2702889</v>
      </c>
      <c r="F140" s="5"/>
      <c r="G140" s="34" t="str">
        <f>G77</f>
        <v>NA</v>
      </c>
      <c r="H140" s="77" t="s">
        <v>152</v>
      </c>
      <c r="I140" s="5"/>
      <c r="J140" s="206">
        <v>0</v>
      </c>
      <c r="K140" s="5"/>
      <c r="L140" s="24" t="s">
        <v>7</v>
      </c>
      <c r="M140" s="5"/>
      <c r="O140" s="1182"/>
    </row>
    <row r="141" spans="1:15">
      <c r="A141" s="685">
        <v>18</v>
      </c>
      <c r="C141" s="535" t="s">
        <v>612</v>
      </c>
      <c r="D141" s="842" t="s">
        <v>170</v>
      </c>
      <c r="E141" s="321">
        <f>INPUT!C80</f>
        <v>0</v>
      </c>
      <c r="F141" s="5"/>
      <c r="G141" s="5" t="str">
        <f>G139</f>
        <v>GP</v>
      </c>
      <c r="H141" s="18">
        <f>DEO_GP_Alloc</f>
        <v>0.24235999999999999</v>
      </c>
      <c r="I141" s="5"/>
      <c r="J141" s="204">
        <f>ROUND(H141*E141,0)</f>
        <v>0</v>
      </c>
      <c r="K141" s="5"/>
      <c r="L141" s="24" t="s">
        <v>7</v>
      </c>
      <c r="M141" s="5"/>
      <c r="O141" s="1182"/>
    </row>
    <row r="142" spans="1:15" ht="15.6" thickBot="1">
      <c r="A142" s="685">
        <v>19</v>
      </c>
      <c r="C142" s="535" t="s">
        <v>622</v>
      </c>
      <c r="D142" s="842"/>
      <c r="E142" s="385">
        <f>INPUT!C81</f>
        <v>0</v>
      </c>
      <c r="F142" s="5"/>
      <c r="G142" s="5" t="s">
        <v>44</v>
      </c>
      <c r="H142" s="18">
        <f>DEO_GP_Alloc</f>
        <v>0.24235999999999999</v>
      </c>
      <c r="I142" s="5"/>
      <c r="J142" s="205">
        <f>ROUND(H142*E142,0)</f>
        <v>0</v>
      </c>
      <c r="K142" s="5"/>
      <c r="L142" s="17"/>
      <c r="M142" s="5"/>
      <c r="O142" s="1182"/>
    </row>
    <row r="143" spans="1:15">
      <c r="A143" s="685">
        <v>20</v>
      </c>
      <c r="C143" s="531" t="s">
        <v>57</v>
      </c>
      <c r="D143" s="842"/>
      <c r="E143" s="319">
        <f>E136+E137+E139+E140+E141+E142</f>
        <v>148047559</v>
      </c>
      <c r="F143" s="5"/>
      <c r="G143" s="5"/>
      <c r="H143" s="18"/>
      <c r="I143" s="5"/>
      <c r="J143" s="319">
        <f>J136+J137+J139+J140+J141+J142</f>
        <v>34879299</v>
      </c>
      <c r="K143" s="5"/>
      <c r="L143" s="5"/>
      <c r="M143" s="5"/>
      <c r="O143" s="1182"/>
    </row>
    <row r="144" spans="1:15">
      <c r="A144" s="685"/>
      <c r="C144" s="531"/>
      <c r="D144" s="842"/>
      <c r="E144" s="204"/>
      <c r="F144" s="5"/>
      <c r="G144" s="5"/>
      <c r="H144" s="18"/>
      <c r="I144" s="5"/>
      <c r="J144" s="5"/>
      <c r="K144" s="5"/>
      <c r="L144" s="5"/>
      <c r="M144" s="5"/>
      <c r="O144" s="1182"/>
    </row>
    <row r="145" spans="1:15">
      <c r="A145" s="685" t="s">
        <v>58</v>
      </c>
      <c r="C145" s="531"/>
      <c r="D145" s="842"/>
      <c r="E145" s="5"/>
      <c r="F145" s="5"/>
      <c r="G145" s="5"/>
      <c r="H145" s="18"/>
      <c r="I145" s="5"/>
      <c r="J145" s="5"/>
      <c r="K145" s="5"/>
      <c r="L145" s="5"/>
      <c r="M145" s="5"/>
      <c r="O145" s="1182"/>
    </row>
    <row r="146" spans="1:15">
      <c r="A146" s="685" t="s">
        <v>7</v>
      </c>
      <c r="C146" s="537" t="s">
        <v>375</v>
      </c>
      <c r="D146" s="842"/>
      <c r="E146" s="5"/>
      <c r="F146" s="5"/>
      <c r="H146" s="15"/>
      <c r="I146" s="5"/>
      <c r="K146" s="5"/>
      <c r="M146" s="5"/>
      <c r="O146" s="1182"/>
    </row>
    <row r="147" spans="1:15">
      <c r="A147" s="685">
        <v>21</v>
      </c>
      <c r="C147" s="532" t="s">
        <v>137</v>
      </c>
      <c r="D147" s="842"/>
      <c r="E147" s="438">
        <f>IF(FIT&gt;0,1-(((1-SIT_DEO)*(1-FIT))/(1-SIT_DEO*FIT*E284)),0)</f>
        <v>0.20999999999999996</v>
      </c>
      <c r="F147" s="5"/>
      <c r="H147" s="15"/>
      <c r="I147" s="5"/>
      <c r="K147" s="5"/>
      <c r="M147" s="5"/>
      <c r="O147" s="1182"/>
    </row>
    <row r="148" spans="1:15">
      <c r="A148" s="685">
        <v>22</v>
      </c>
      <c r="C148" s="596" t="s">
        <v>138</v>
      </c>
      <c r="D148" s="842"/>
      <c r="E148" s="350">
        <f>IF(J227&gt;0,(E147/(1-E147))*(1-J224/J227),0)</f>
        <v>0.19721343178621653</v>
      </c>
      <c r="F148" s="5"/>
      <c r="H148" s="15"/>
      <c r="I148" s="5"/>
      <c r="K148" s="5"/>
      <c r="M148" s="5"/>
      <c r="O148" s="1182"/>
    </row>
    <row r="149" spans="1:15">
      <c r="A149" s="685"/>
      <c r="C149" s="531" t="s">
        <v>338</v>
      </c>
      <c r="D149" s="842"/>
      <c r="E149" s="5"/>
      <c r="F149" s="5"/>
      <c r="H149" s="15"/>
      <c r="I149" s="5"/>
      <c r="K149" s="5"/>
      <c r="M149" s="5"/>
      <c r="O149" s="1182"/>
    </row>
    <row r="150" spans="1:15">
      <c r="A150" s="685"/>
      <c r="C150" s="531" t="s">
        <v>140</v>
      </c>
      <c r="D150" s="842"/>
      <c r="E150" s="5"/>
      <c r="F150" s="5"/>
      <c r="H150" s="15"/>
      <c r="I150" s="5"/>
      <c r="K150" s="5"/>
      <c r="M150" s="5"/>
      <c r="O150" s="1182"/>
    </row>
    <row r="151" spans="1:15">
      <c r="A151" s="685">
        <v>23</v>
      </c>
      <c r="C151" s="532" t="s">
        <v>139</v>
      </c>
      <c r="D151" s="842"/>
      <c r="E151" s="522">
        <f>IF(E147&gt;0,1/(1-E147),0)</f>
        <v>1.2658227848101264</v>
      </c>
      <c r="F151" s="5"/>
      <c r="H151" s="15"/>
      <c r="I151" s="5"/>
      <c r="J151" s="204"/>
      <c r="K151" s="5"/>
      <c r="M151" s="5"/>
      <c r="O151" s="1182"/>
    </row>
    <row r="152" spans="1:15">
      <c r="A152" s="685">
        <v>24</v>
      </c>
      <c r="C152" s="531" t="s">
        <v>342</v>
      </c>
      <c r="D152" s="842" t="s">
        <v>341</v>
      </c>
      <c r="E152" s="321">
        <f>INPUT!C91</f>
        <v>-233230</v>
      </c>
      <c r="F152" s="5"/>
      <c r="H152" s="15"/>
      <c r="I152" s="5"/>
      <c r="J152" s="204"/>
      <c r="K152" s="5"/>
      <c r="M152" s="5"/>
      <c r="O152" s="1182"/>
    </row>
    <row r="153" spans="1:15">
      <c r="A153" s="685"/>
      <c r="C153" s="531"/>
      <c r="D153" s="842"/>
      <c r="E153" s="204"/>
      <c r="F153" s="5"/>
      <c r="H153" s="15"/>
      <c r="I153" s="5"/>
      <c r="J153" s="204"/>
      <c r="K153" s="5"/>
      <c r="M153" s="5"/>
      <c r="O153" s="1182"/>
    </row>
    <row r="154" spans="1:15">
      <c r="A154" s="685">
        <v>25</v>
      </c>
      <c r="C154" s="532" t="s">
        <v>343</v>
      </c>
      <c r="D154" s="902"/>
      <c r="E154" s="319">
        <f>ROUND(E148*E158,0)</f>
        <v>38990690</v>
      </c>
      <c r="F154" s="5"/>
      <c r="G154" s="5" t="s">
        <v>30</v>
      </c>
      <c r="H154" s="18"/>
      <c r="I154" s="5"/>
      <c r="J154" s="319">
        <f>ROUND(E148*J158,0)</f>
        <v>10047466</v>
      </c>
      <c r="K154" s="5"/>
      <c r="L154" s="14" t="s">
        <v>7</v>
      </c>
      <c r="M154" s="5"/>
      <c r="O154" s="1182"/>
    </row>
    <row r="155" spans="1:15" ht="15.6" thickBot="1">
      <c r="A155" s="685">
        <v>26</v>
      </c>
      <c r="C155" s="596" t="s">
        <v>143</v>
      </c>
      <c r="D155" s="902"/>
      <c r="E155" s="205">
        <f>ROUND(E151*E152,0)</f>
        <v>-295228</v>
      </c>
      <c r="F155" s="5"/>
      <c r="G155" s="11" t="s">
        <v>42</v>
      </c>
      <c r="H155" s="18">
        <f>DEO_NP_Alloc</f>
        <v>0.25538</v>
      </c>
      <c r="I155" s="5"/>
      <c r="J155" s="205">
        <f>ROUND(H155*E155,0)</f>
        <v>-75395</v>
      </c>
      <c r="K155" s="5"/>
      <c r="L155" s="14"/>
      <c r="M155" s="5"/>
      <c r="O155" s="1182"/>
    </row>
    <row r="156" spans="1:15">
      <c r="A156" s="685">
        <v>27</v>
      </c>
      <c r="C156" s="533" t="s">
        <v>127</v>
      </c>
      <c r="D156" s="842" t="s">
        <v>144</v>
      </c>
      <c r="E156" s="322">
        <f>E154+E155</f>
        <v>38695462</v>
      </c>
      <c r="F156" s="5"/>
      <c r="G156" s="5" t="s">
        <v>7</v>
      </c>
      <c r="H156" s="18" t="s">
        <v>7</v>
      </c>
      <c r="I156" s="5"/>
      <c r="J156" s="322">
        <f>J154+J155</f>
        <v>9972071</v>
      </c>
      <c r="K156" s="5"/>
      <c r="L156" s="5"/>
      <c r="M156" s="5"/>
      <c r="O156" s="1182"/>
    </row>
    <row r="157" spans="1:15">
      <c r="A157" s="685" t="s">
        <v>7</v>
      </c>
      <c r="C157" s="561"/>
      <c r="D157" s="903"/>
      <c r="E157" s="204"/>
      <c r="F157" s="5"/>
      <c r="G157" s="5"/>
      <c r="H157" s="18"/>
      <c r="I157" s="5"/>
      <c r="J157" s="204"/>
      <c r="K157" s="5"/>
      <c r="L157" s="5"/>
      <c r="M157" s="5"/>
      <c r="O157" s="1182"/>
    </row>
    <row r="158" spans="1:15">
      <c r="A158" s="685">
        <v>28</v>
      </c>
      <c r="C158" s="531" t="s">
        <v>59</v>
      </c>
      <c r="D158" s="904"/>
      <c r="E158" s="319">
        <f>ROUND($J227*E92,0)</f>
        <v>197708086</v>
      </c>
      <c r="F158" s="5"/>
      <c r="G158" s="5" t="s">
        <v>30</v>
      </c>
      <c r="H158" s="15"/>
      <c r="I158" s="5"/>
      <c r="J158" s="319">
        <f>ROUND($J227*J92,0)</f>
        <v>50947169</v>
      </c>
      <c r="K158" s="5"/>
      <c r="M158" s="5"/>
      <c r="O158" s="1182"/>
    </row>
    <row r="159" spans="1:15">
      <c r="A159" s="685"/>
      <c r="C159" s="750" t="s">
        <v>720</v>
      </c>
      <c r="D159" s="841"/>
      <c r="E159" s="204"/>
      <c r="F159" s="5"/>
      <c r="G159" s="5"/>
      <c r="H159" s="15"/>
      <c r="I159" s="5"/>
      <c r="J159" s="204"/>
      <c r="K159" s="5"/>
      <c r="L159" s="17"/>
      <c r="M159" s="5"/>
      <c r="O159" s="1182"/>
    </row>
    <row r="160" spans="1:15">
      <c r="A160" s="685"/>
      <c r="C160" s="531"/>
      <c r="D160" s="841"/>
      <c r="E160" s="207"/>
      <c r="F160" s="5"/>
      <c r="G160" s="5"/>
      <c r="H160" s="15"/>
      <c r="I160" s="5"/>
      <c r="J160" s="207"/>
      <c r="K160" s="5"/>
      <c r="L160" s="17"/>
      <c r="M160" s="5"/>
      <c r="O160" s="1182"/>
    </row>
    <row r="161" spans="1:15" ht="15.6" thickBot="1">
      <c r="A161" s="685">
        <v>29</v>
      </c>
      <c r="C161" s="531" t="s">
        <v>141</v>
      </c>
      <c r="D161" s="669"/>
      <c r="E161" s="323">
        <f>E158+E156+E143+E132+E126</f>
        <v>491857640</v>
      </c>
      <c r="F161" s="86"/>
      <c r="G161" s="86"/>
      <c r="H161" s="86"/>
      <c r="I161" s="86"/>
      <c r="J161" s="323">
        <f>J158+J156+J143+J132+J126</f>
        <v>132035557</v>
      </c>
      <c r="K161" s="1"/>
      <c r="L161" s="1"/>
      <c r="M161" s="1"/>
      <c r="O161" s="1182"/>
    </row>
    <row r="162" spans="1:15" ht="15.6" thickTop="1">
      <c r="A162" s="685"/>
      <c r="C162" s="3"/>
      <c r="D162" s="5"/>
      <c r="E162" s="86"/>
      <c r="F162" s="5"/>
      <c r="G162" s="5"/>
      <c r="H162" s="5"/>
      <c r="I162" s="5"/>
      <c r="J162" s="86"/>
      <c r="K162" s="1"/>
      <c r="L162" s="1"/>
      <c r="M162" s="1"/>
      <c r="O162" s="1182"/>
    </row>
    <row r="163" spans="1:15">
      <c r="A163" s="685"/>
      <c r="C163" s="3"/>
      <c r="D163" s="5"/>
      <c r="E163" s="86"/>
      <c r="F163" s="5"/>
      <c r="G163" s="5"/>
      <c r="H163" s="5"/>
      <c r="I163" s="5"/>
      <c r="J163" s="86"/>
      <c r="K163" s="1"/>
      <c r="L163" s="1"/>
      <c r="M163" s="1"/>
      <c r="O163" s="1182"/>
    </row>
    <row r="164" spans="1:15">
      <c r="A164" s="685"/>
      <c r="C164" s="3"/>
      <c r="D164" s="26"/>
      <c r="E164" s="27"/>
      <c r="F164" s="26"/>
      <c r="G164" s="26"/>
      <c r="H164" s="26"/>
      <c r="I164" s="28"/>
      <c r="K164" s="29"/>
      <c r="L164" s="85"/>
      <c r="M164" s="29"/>
      <c r="O164" s="1182"/>
    </row>
    <row r="165" spans="1:15" ht="17.399999999999999">
      <c r="A165" s="688"/>
      <c r="C165" s="26"/>
      <c r="D165" s="26"/>
      <c r="E165" s="27"/>
      <c r="F165" s="26"/>
      <c r="I165" s="84"/>
      <c r="J165" s="73" t="s">
        <v>306</v>
      </c>
      <c r="M165" s="84"/>
      <c r="O165" s="1182"/>
    </row>
    <row r="166" spans="1:15">
      <c r="C166" s="26"/>
      <c r="D166" s="26"/>
      <c r="E166" s="27"/>
      <c r="F166" s="26"/>
      <c r="H166" s="28"/>
      <c r="J166" s="73" t="s">
        <v>421</v>
      </c>
      <c r="M166" s="73"/>
      <c r="O166" s="1182"/>
    </row>
    <row r="167" spans="1:15">
      <c r="C167" s="26"/>
      <c r="D167" s="26"/>
      <c r="E167" s="27"/>
      <c r="F167" s="26"/>
      <c r="H167" s="28"/>
      <c r="I167" s="1"/>
      <c r="M167" s="73"/>
      <c r="O167" s="1182"/>
    </row>
    <row r="168" spans="1:15">
      <c r="C168" s="26"/>
      <c r="D168" s="26"/>
      <c r="E168" s="27"/>
      <c r="F168" s="26"/>
      <c r="H168" s="28"/>
      <c r="I168" s="1"/>
      <c r="M168" s="73"/>
      <c r="O168" s="1182"/>
    </row>
    <row r="169" spans="1:15">
      <c r="C169" s="26"/>
      <c r="D169" s="26"/>
      <c r="E169" s="27"/>
      <c r="F169" s="26"/>
      <c r="H169" s="28"/>
      <c r="I169" s="1"/>
      <c r="M169" s="73"/>
      <c r="O169" s="1182"/>
    </row>
    <row r="170" spans="1:15">
      <c r="C170" s="26"/>
      <c r="D170" s="26"/>
      <c r="E170" s="27"/>
      <c r="F170" s="26"/>
      <c r="H170" s="28"/>
      <c r="I170" s="1"/>
      <c r="J170" s="73"/>
      <c r="M170" s="73"/>
      <c r="O170" s="1182"/>
    </row>
    <row r="171" spans="1:15">
      <c r="C171" s="26" t="s">
        <v>6</v>
      </c>
      <c r="D171" s="26"/>
      <c r="E171" s="27"/>
      <c r="F171" s="26"/>
      <c r="H171" s="28"/>
      <c r="I171" s="1"/>
      <c r="J171" s="85" t="str">
        <f>J7</f>
        <v>For the 12 months ended: 12/31/2018</v>
      </c>
      <c r="M171" s="73"/>
      <c r="O171" s="1182"/>
    </row>
    <row r="172" spans="1:15">
      <c r="A172" s="689" t="str">
        <f>A8</f>
        <v>Rate Formula Template</v>
      </c>
      <c r="B172" s="246"/>
      <c r="C172" s="246"/>
      <c r="D172" s="240"/>
      <c r="E172" s="105"/>
      <c r="F172" s="240"/>
      <c r="G172" s="240"/>
      <c r="H172" s="240"/>
      <c r="I172" s="240"/>
      <c r="J172" s="105"/>
      <c r="K172" s="241"/>
      <c r="L172" s="105"/>
      <c r="M172" s="1"/>
      <c r="O172" s="1182"/>
    </row>
    <row r="173" spans="1:15">
      <c r="A173" s="690" t="s">
        <v>277</v>
      </c>
      <c r="B173" s="246"/>
      <c r="C173" s="244"/>
      <c r="D173" s="242"/>
      <c r="E173" s="105"/>
      <c r="F173" s="242"/>
      <c r="G173" s="242"/>
      <c r="H173" s="242"/>
      <c r="I173" s="240"/>
      <c r="J173" s="240"/>
      <c r="K173" s="243"/>
      <c r="L173" s="243"/>
      <c r="M173" s="1"/>
      <c r="O173" s="1182"/>
    </row>
    <row r="174" spans="1:15">
      <c r="A174" s="690"/>
      <c r="B174" s="246"/>
      <c r="C174" s="241"/>
      <c r="D174" s="243"/>
      <c r="E174" s="105"/>
      <c r="F174" s="243"/>
      <c r="G174" s="243"/>
      <c r="H174" s="243"/>
      <c r="I174" s="243"/>
      <c r="J174" s="243"/>
      <c r="K174" s="243"/>
      <c r="L174" s="243"/>
      <c r="M174" s="5"/>
      <c r="O174" s="1182"/>
    </row>
    <row r="175" spans="1:15" ht="15.6">
      <c r="A175" s="851" t="str">
        <f>$A$11</f>
        <v>DUKE ENERGY OHIO (DEO)</v>
      </c>
      <c r="B175" s="246"/>
      <c r="C175" s="241"/>
      <c r="D175" s="243"/>
      <c r="E175" s="105"/>
      <c r="F175" s="243"/>
      <c r="G175" s="243"/>
      <c r="H175" s="243"/>
      <c r="I175" s="243"/>
      <c r="J175" s="243"/>
      <c r="K175" s="243"/>
      <c r="L175" s="243"/>
      <c r="M175" s="5"/>
      <c r="O175" s="1182"/>
    </row>
    <row r="176" spans="1:15" ht="15.6">
      <c r="A176" s="691" t="s">
        <v>278</v>
      </c>
      <c r="B176" s="105"/>
      <c r="C176" s="105"/>
      <c r="D176" s="105"/>
      <c r="E176" s="105"/>
      <c r="F176" s="243"/>
      <c r="G176" s="243"/>
      <c r="H176" s="243"/>
      <c r="I176" s="243"/>
      <c r="J176" s="243"/>
      <c r="K176" s="242"/>
      <c r="L176" s="242"/>
      <c r="M176" s="5"/>
      <c r="O176" s="1182"/>
    </row>
    <row r="177" spans="1:15" ht="15.6">
      <c r="A177" s="685" t="s">
        <v>8</v>
      </c>
      <c r="C177" s="12"/>
      <c r="D177" s="1"/>
      <c r="E177" s="1"/>
      <c r="F177" s="1"/>
      <c r="G177" s="1"/>
      <c r="H177" s="1"/>
      <c r="I177" s="1"/>
      <c r="J177" s="1"/>
      <c r="K177" s="5"/>
      <c r="L177" s="5"/>
      <c r="M177" s="5"/>
      <c r="O177" s="1182"/>
    </row>
    <row r="178" spans="1:15" ht="15.6">
      <c r="A178" s="694" t="s">
        <v>10</v>
      </c>
      <c r="B178" s="262"/>
      <c r="C178" s="336" t="s">
        <v>316</v>
      </c>
      <c r="D178" s="62"/>
      <c r="E178" s="62"/>
      <c r="F178" s="62"/>
      <c r="G178" s="62"/>
      <c r="H178" s="62"/>
      <c r="I178" s="63"/>
      <c r="J178" s="63"/>
      <c r="K178" s="34"/>
      <c r="L178" s="5"/>
      <c r="M178" s="5"/>
      <c r="O178" s="1182"/>
    </row>
    <row r="179" spans="1:15">
      <c r="A179" s="685"/>
      <c r="C179" s="61"/>
      <c r="D179" s="62"/>
      <c r="E179" s="62"/>
      <c r="F179" s="62"/>
      <c r="G179" s="62"/>
      <c r="H179" s="62"/>
      <c r="I179" s="62"/>
      <c r="J179" s="62"/>
      <c r="K179" s="34"/>
      <c r="L179" s="5"/>
      <c r="M179" s="5"/>
      <c r="O179" s="1182"/>
    </row>
    <row r="180" spans="1:15">
      <c r="A180" s="685">
        <v>1</v>
      </c>
      <c r="C180" s="56" t="s">
        <v>317</v>
      </c>
      <c r="D180" s="62"/>
      <c r="E180" s="34"/>
      <c r="F180" s="34"/>
      <c r="G180" s="34"/>
      <c r="H180" s="34"/>
      <c r="I180" s="34"/>
      <c r="J180" s="440">
        <f>E54</f>
        <v>939500769</v>
      </c>
      <c r="K180" s="34"/>
      <c r="L180" s="5"/>
      <c r="M180" s="5"/>
      <c r="O180" s="1182"/>
    </row>
    <row r="181" spans="1:15">
      <c r="A181" s="685">
        <v>2</v>
      </c>
      <c r="C181" s="367" t="s">
        <v>362</v>
      </c>
      <c r="D181" s="63"/>
      <c r="E181" s="63"/>
      <c r="F181" s="63"/>
      <c r="G181" s="63"/>
      <c r="H181" s="63"/>
      <c r="I181" s="63"/>
      <c r="J181" s="253">
        <f>INPUT!C95</f>
        <v>0</v>
      </c>
      <c r="K181" s="34"/>
      <c r="L181" s="5"/>
      <c r="M181" s="5"/>
      <c r="O181" s="1182"/>
    </row>
    <row r="182" spans="1:15" ht="15.6" thickBot="1">
      <c r="A182" s="685">
        <v>3</v>
      </c>
      <c r="C182" s="368" t="s">
        <v>363</v>
      </c>
      <c r="D182" s="64"/>
      <c r="E182" s="65"/>
      <c r="F182" s="34"/>
      <c r="G182" s="34"/>
      <c r="H182" s="66"/>
      <c r="I182" s="34"/>
      <c r="J182" s="211">
        <f>INPUT!C96</f>
        <v>0</v>
      </c>
      <c r="K182" s="34"/>
      <c r="M182" s="5"/>
      <c r="O182" s="1182"/>
    </row>
    <row r="183" spans="1:15">
      <c r="A183" s="685">
        <v>4</v>
      </c>
      <c r="C183" s="56" t="s">
        <v>318</v>
      </c>
      <c r="D183" s="62"/>
      <c r="E183" s="34"/>
      <c r="F183" s="34"/>
      <c r="G183" s="34"/>
      <c r="H183" s="66"/>
      <c r="I183" s="34"/>
      <c r="J183" s="440">
        <f>J180-J181-J182</f>
        <v>939500769</v>
      </c>
      <c r="K183" s="34"/>
      <c r="L183" s="5"/>
      <c r="M183" s="5"/>
      <c r="O183" s="1182"/>
    </row>
    <row r="184" spans="1:15">
      <c r="A184" s="685"/>
      <c r="C184" s="63"/>
      <c r="D184" s="62"/>
      <c r="E184" s="34"/>
      <c r="F184" s="34"/>
      <c r="G184" s="34"/>
      <c r="H184" s="66"/>
      <c r="I184" s="34"/>
      <c r="J184" s="63"/>
      <c r="K184" s="34"/>
      <c r="L184" s="5"/>
      <c r="M184" s="5"/>
      <c r="O184" s="1182"/>
    </row>
    <row r="185" spans="1:15">
      <c r="A185" s="685">
        <v>5</v>
      </c>
      <c r="C185" s="56" t="s">
        <v>319</v>
      </c>
      <c r="D185" s="67"/>
      <c r="E185" s="68"/>
      <c r="F185" s="68"/>
      <c r="G185" s="68"/>
      <c r="H185" s="69"/>
      <c r="I185" s="34" t="s">
        <v>63</v>
      </c>
      <c r="J185" s="58">
        <f>IF(J180&gt;0,ROUND(J183/J180,5),0)</f>
        <v>1</v>
      </c>
      <c r="K185" s="34"/>
      <c r="L185" s="5"/>
      <c r="M185" s="5"/>
      <c r="O185" s="1182"/>
    </row>
    <row r="186" spans="1:15">
      <c r="A186" s="685"/>
      <c r="C186" s="63"/>
      <c r="D186" s="63"/>
      <c r="E186" s="63"/>
      <c r="F186" s="63"/>
      <c r="G186" s="63"/>
      <c r="H186" s="63"/>
      <c r="I186" s="63"/>
      <c r="J186" s="63"/>
      <c r="K186" s="34"/>
      <c r="L186" s="5"/>
      <c r="M186" s="5"/>
      <c r="O186" s="1182"/>
    </row>
    <row r="187" spans="1:15" ht="15.6">
      <c r="A187" s="685"/>
      <c r="C187" s="335" t="s">
        <v>60</v>
      </c>
      <c r="D187" s="63"/>
      <c r="E187" s="63"/>
      <c r="F187" s="63"/>
      <c r="G187" s="63"/>
      <c r="H187" s="63"/>
      <c r="I187" s="63"/>
      <c r="J187" s="63"/>
      <c r="K187" s="34"/>
      <c r="L187" s="5"/>
      <c r="M187" s="5"/>
      <c r="O187" s="1182"/>
    </row>
    <row r="188" spans="1:15">
      <c r="A188" s="685"/>
      <c r="C188" s="63"/>
      <c r="D188" s="63"/>
      <c r="E188" s="63"/>
      <c r="F188" s="63"/>
      <c r="G188" s="63"/>
      <c r="H188" s="63"/>
      <c r="I188" s="63"/>
      <c r="J188" s="63"/>
      <c r="K188" s="34"/>
      <c r="L188" s="5"/>
      <c r="M188" s="5"/>
      <c r="O188" s="1182"/>
    </row>
    <row r="189" spans="1:15">
      <c r="A189" s="685">
        <v>6</v>
      </c>
      <c r="C189" s="63" t="s">
        <v>61</v>
      </c>
      <c r="D189" s="63"/>
      <c r="E189" s="62"/>
      <c r="F189" s="62"/>
      <c r="G189" s="62"/>
      <c r="H189" s="70"/>
      <c r="I189" s="62"/>
      <c r="J189" s="440">
        <f>E112</f>
        <v>7812840</v>
      </c>
      <c r="K189" s="34"/>
      <c r="L189" s="5"/>
      <c r="M189" s="5"/>
      <c r="O189" s="1182"/>
    </row>
    <row r="190" spans="1:15" ht="15.6" thickBot="1">
      <c r="A190" s="685">
        <v>7</v>
      </c>
      <c r="C190" s="368" t="s">
        <v>364</v>
      </c>
      <c r="D190" s="64"/>
      <c r="E190" s="65"/>
      <c r="F190" s="65"/>
      <c r="G190" s="34"/>
      <c r="H190" s="34"/>
      <c r="I190" s="34"/>
      <c r="J190" s="203">
        <f>INPUT!C103</f>
        <v>3901652</v>
      </c>
      <c r="K190" s="34"/>
      <c r="L190" s="5"/>
      <c r="M190" s="5"/>
      <c r="O190" s="1182"/>
    </row>
    <row r="191" spans="1:15">
      <c r="A191" s="685">
        <v>8</v>
      </c>
      <c r="C191" s="56" t="s">
        <v>156</v>
      </c>
      <c r="D191" s="67"/>
      <c r="E191" s="68"/>
      <c r="F191" s="68"/>
      <c r="G191" s="68"/>
      <c r="H191" s="69"/>
      <c r="I191" s="68"/>
      <c r="J191" s="440">
        <f>J189-J190</f>
        <v>3911188</v>
      </c>
      <c r="K191" s="63"/>
      <c r="M191" s="5"/>
      <c r="O191" s="1182"/>
    </row>
    <row r="192" spans="1:15">
      <c r="A192" s="685"/>
      <c r="C192" s="56"/>
      <c r="D192" s="62"/>
      <c r="E192" s="34"/>
      <c r="F192" s="34"/>
      <c r="G192" s="34"/>
      <c r="H192" s="34"/>
      <c r="I192" s="63"/>
      <c r="J192" s="63"/>
      <c r="K192" s="63"/>
      <c r="M192" s="5"/>
      <c r="O192" s="1182"/>
    </row>
    <row r="193" spans="1:15">
      <c r="A193" s="685">
        <v>9</v>
      </c>
      <c r="C193" s="56" t="s">
        <v>155</v>
      </c>
      <c r="D193" s="62"/>
      <c r="E193" s="34"/>
      <c r="F193" s="34"/>
      <c r="G193" s="34"/>
      <c r="H193" s="34"/>
      <c r="I193" s="34"/>
      <c r="J193" s="60">
        <f>IF(J189&gt;0,ROUND(J191/J189,5),0)</f>
        <v>0.50061</v>
      </c>
      <c r="K193" s="63"/>
      <c r="M193" s="5"/>
      <c r="O193" s="1182"/>
    </row>
    <row r="194" spans="1:15">
      <c r="A194" s="685">
        <v>10</v>
      </c>
      <c r="C194" s="56" t="s">
        <v>320</v>
      </c>
      <c r="D194" s="62"/>
      <c r="E194" s="34"/>
      <c r="F194" s="34"/>
      <c r="G194" s="34"/>
      <c r="H194" s="34"/>
      <c r="I194" s="62" t="s">
        <v>14</v>
      </c>
      <c r="J194" s="71">
        <f>DEO_TP_Alloc</f>
        <v>1</v>
      </c>
      <c r="K194" s="63"/>
      <c r="M194" s="5"/>
      <c r="O194" s="1182"/>
    </row>
    <row r="195" spans="1:15">
      <c r="A195" s="685">
        <v>11</v>
      </c>
      <c r="C195" s="56" t="s">
        <v>321</v>
      </c>
      <c r="D195" s="62"/>
      <c r="E195" s="62"/>
      <c r="F195" s="62"/>
      <c r="G195" s="62"/>
      <c r="H195" s="62"/>
      <c r="I195" s="62" t="s">
        <v>62</v>
      </c>
      <c r="J195" s="72">
        <f>ROUND(J194*J193,5)</f>
        <v>0.50061</v>
      </c>
      <c r="K195" s="63"/>
      <c r="M195" s="5"/>
      <c r="O195" s="1182"/>
    </row>
    <row r="196" spans="1:15">
      <c r="A196" s="685"/>
      <c r="D196" s="1"/>
      <c r="E196" s="5"/>
      <c r="F196" s="5"/>
      <c r="G196" s="5"/>
      <c r="H196" s="6"/>
      <c r="I196" s="5"/>
      <c r="M196" s="5"/>
      <c r="O196" s="1182"/>
    </row>
    <row r="197" spans="1:15" ht="15.6">
      <c r="A197" s="685" t="s">
        <v>7</v>
      </c>
      <c r="C197" s="12" t="s">
        <v>613</v>
      </c>
      <c r="D197" s="5"/>
      <c r="E197" s="5"/>
      <c r="F197" s="5"/>
      <c r="G197" s="5"/>
      <c r="H197" s="5"/>
      <c r="I197" s="5"/>
      <c r="J197" s="5"/>
      <c r="K197" s="5"/>
      <c r="L197" s="5"/>
      <c r="M197" s="5"/>
      <c r="O197" s="1182"/>
    </row>
    <row r="198" spans="1:15" ht="15.6" thickBot="1">
      <c r="A198" s="685" t="s">
        <v>7</v>
      </c>
      <c r="C198" s="3"/>
      <c r="D198" s="41" t="s">
        <v>65</v>
      </c>
      <c r="E198" s="42" t="s">
        <v>66</v>
      </c>
      <c r="F198" s="42" t="s">
        <v>14</v>
      </c>
      <c r="G198" s="5"/>
      <c r="H198" s="42" t="s">
        <v>67</v>
      </c>
      <c r="I198" s="5"/>
      <c r="J198" s="5"/>
      <c r="K198" s="5"/>
      <c r="L198" s="5"/>
      <c r="M198" s="5"/>
      <c r="O198" s="1182"/>
    </row>
    <row r="199" spans="1:15">
      <c r="A199" s="685">
        <v>12</v>
      </c>
      <c r="C199" s="3" t="s">
        <v>29</v>
      </c>
      <c r="D199" s="523" t="s">
        <v>68</v>
      </c>
      <c r="E199" s="321">
        <f>INPUT!C108</f>
        <v>2438772</v>
      </c>
      <c r="F199" s="78">
        <v>0</v>
      </c>
      <c r="G199" s="20"/>
      <c r="H199" s="5">
        <f>E199*F199</f>
        <v>0</v>
      </c>
      <c r="I199" s="5"/>
      <c r="J199" s="5"/>
      <c r="K199" s="5"/>
      <c r="L199" s="5"/>
      <c r="M199" s="5"/>
      <c r="O199" s="1182"/>
    </row>
    <row r="200" spans="1:15">
      <c r="A200" s="685">
        <v>13</v>
      </c>
      <c r="C200" s="3" t="s">
        <v>31</v>
      </c>
      <c r="D200" s="523" t="s">
        <v>191</v>
      </c>
      <c r="E200" s="321">
        <f>INPUT!C109</f>
        <v>6961691</v>
      </c>
      <c r="F200" s="20">
        <f>J185</f>
        <v>1</v>
      </c>
      <c r="G200" s="20"/>
      <c r="H200" s="5">
        <f>E200*F200</f>
        <v>6961691</v>
      </c>
      <c r="I200" s="5"/>
      <c r="J200" s="5"/>
      <c r="K200" s="5"/>
      <c r="L200" s="5"/>
      <c r="M200" s="1"/>
      <c r="O200" s="1182"/>
    </row>
    <row r="201" spans="1:15">
      <c r="A201" s="685">
        <v>14</v>
      </c>
      <c r="C201" s="3" t="s">
        <v>32</v>
      </c>
      <c r="D201" s="523" t="s">
        <v>192</v>
      </c>
      <c r="E201" s="321">
        <f>INPUT!C110</f>
        <v>23857199</v>
      </c>
      <c r="F201" s="78">
        <v>0</v>
      </c>
      <c r="G201" s="20"/>
      <c r="H201" s="5">
        <f>E201*F201</f>
        <v>0</v>
      </c>
      <c r="I201" s="5"/>
      <c r="J201" s="44" t="s">
        <v>634</v>
      </c>
      <c r="K201" s="5"/>
      <c r="L201" s="5"/>
      <c r="M201" s="5"/>
      <c r="O201" s="1182"/>
    </row>
    <row r="202" spans="1:15" ht="15.6" thickBot="1">
      <c r="A202" s="685">
        <v>15</v>
      </c>
      <c r="C202" s="3" t="s">
        <v>69</v>
      </c>
      <c r="D202" s="523" t="s">
        <v>193</v>
      </c>
      <c r="E202" s="211">
        <f>INPUT!C111</f>
        <v>10783480</v>
      </c>
      <c r="F202" s="78">
        <v>0</v>
      </c>
      <c r="G202" s="20"/>
      <c r="H202" s="41">
        <f>E202*F202</f>
        <v>0</v>
      </c>
      <c r="I202" s="5"/>
      <c r="J202" s="37" t="s">
        <v>70</v>
      </c>
      <c r="K202" s="5"/>
      <c r="L202" s="5"/>
      <c r="M202" s="5"/>
      <c r="O202" s="1182"/>
    </row>
    <row r="203" spans="1:15">
      <c r="A203" s="685">
        <v>16</v>
      </c>
      <c r="C203" s="3" t="s">
        <v>619</v>
      </c>
      <c r="D203" s="523"/>
      <c r="E203" s="204">
        <f>SUM(E199:E202)</f>
        <v>44041142</v>
      </c>
      <c r="F203" s="5"/>
      <c r="G203" s="5"/>
      <c r="H203" s="5">
        <f>SUM(H199:H202)</f>
        <v>6961691</v>
      </c>
      <c r="I203" s="4" t="s">
        <v>71</v>
      </c>
      <c r="J203" s="13">
        <f>IF(H203&gt;0,ROUND(H203/E203,5),0)</f>
        <v>0.15806999999999999</v>
      </c>
      <c r="K203" s="6" t="s">
        <v>71</v>
      </c>
      <c r="L203" s="5" t="s">
        <v>146</v>
      </c>
      <c r="M203" s="5"/>
      <c r="O203" s="1182"/>
    </row>
    <row r="204" spans="1:15">
      <c r="A204" s="685"/>
      <c r="C204" s="3"/>
      <c r="D204" s="523"/>
      <c r="E204" s="5"/>
      <c r="F204" s="5"/>
      <c r="G204" s="5"/>
      <c r="H204" s="5"/>
      <c r="I204" s="5"/>
      <c r="J204" s="5"/>
      <c r="K204" s="5"/>
      <c r="L204" s="5"/>
      <c r="M204" s="5" t="s">
        <v>7</v>
      </c>
      <c r="O204" s="1182"/>
    </row>
    <row r="205" spans="1:15" ht="15.6">
      <c r="A205" s="685"/>
      <c r="C205" s="369" t="s">
        <v>340</v>
      </c>
      <c r="D205" s="523"/>
      <c r="E205" s="5"/>
      <c r="F205" s="5"/>
      <c r="G205" s="5"/>
      <c r="M205" s="5"/>
      <c r="O205" s="1182"/>
    </row>
    <row r="206" spans="1:15" ht="15.6" thickBot="1">
      <c r="A206" s="685"/>
      <c r="C206" s="3"/>
      <c r="D206" s="523"/>
      <c r="E206" s="439" t="s">
        <v>66</v>
      </c>
      <c r="F206" s="5"/>
      <c r="G206" s="5"/>
      <c r="H206" s="6" t="s">
        <v>72</v>
      </c>
      <c r="I206" s="15" t="s">
        <v>7</v>
      </c>
      <c r="J206" s="17" t="str">
        <f>J201</f>
        <v>WS Allocator</v>
      </c>
      <c r="M206" s="5"/>
      <c r="O206" s="1182"/>
    </row>
    <row r="207" spans="1:15">
      <c r="A207" s="685">
        <v>17</v>
      </c>
      <c r="C207" s="3" t="s">
        <v>73</v>
      </c>
      <c r="D207" s="523" t="s">
        <v>74</v>
      </c>
      <c r="E207" s="321">
        <f>INPUT!C116</f>
        <v>3153189130</v>
      </c>
      <c r="F207" s="5"/>
      <c r="H207" s="751" t="s">
        <v>629</v>
      </c>
      <c r="I207" s="752"/>
      <c r="J207" s="751" t="s">
        <v>75</v>
      </c>
      <c r="K207" s="5"/>
      <c r="L207" s="398" t="s">
        <v>76</v>
      </c>
      <c r="M207" s="5"/>
      <c r="O207" s="1182"/>
    </row>
    <row r="208" spans="1:15">
      <c r="A208" s="685">
        <v>18</v>
      </c>
      <c r="C208" s="3" t="s">
        <v>77</v>
      </c>
      <c r="D208" s="523" t="s">
        <v>171</v>
      </c>
      <c r="E208" s="321">
        <f>INPUT!C117</f>
        <v>1553882234</v>
      </c>
      <c r="F208" s="5"/>
      <c r="H208" s="18">
        <f>IF(E210&gt;0,ROUND(E207/E210,5),0)</f>
        <v>0.66988000000000003</v>
      </c>
      <c r="I208" s="6" t="s">
        <v>78</v>
      </c>
      <c r="J208" s="18">
        <f>DEO_WS_Alloc</f>
        <v>0.15806999999999999</v>
      </c>
      <c r="K208" s="15" t="s">
        <v>71</v>
      </c>
      <c r="L208" s="399">
        <f>ROUND(J208*H208,5)</f>
        <v>0.10589</v>
      </c>
      <c r="M208" s="5"/>
      <c r="O208" s="1182"/>
    </row>
    <row r="209" spans="1:15" ht="15.6" thickBot="1">
      <c r="A209" s="685">
        <v>19</v>
      </c>
      <c r="C209" s="50" t="s">
        <v>79</v>
      </c>
      <c r="D209" s="666" t="s">
        <v>172</v>
      </c>
      <c r="E209" s="211">
        <f>INPUT!C118</f>
        <v>0</v>
      </c>
      <c r="F209" s="5"/>
      <c r="G209" s="5"/>
      <c r="H209" s="5" t="s">
        <v>7</v>
      </c>
      <c r="I209" s="5"/>
      <c r="J209" s="5"/>
      <c r="K209" s="5"/>
      <c r="L209" s="5"/>
      <c r="M209" s="5"/>
      <c r="O209" s="1182"/>
    </row>
    <row r="210" spans="1:15">
      <c r="A210" s="685">
        <v>20</v>
      </c>
      <c r="C210" s="3" t="s">
        <v>128</v>
      </c>
      <c r="D210" s="5"/>
      <c r="E210" s="204">
        <f>E207+E208+E209</f>
        <v>4707071364</v>
      </c>
      <c r="F210" s="5"/>
      <c r="G210" s="5"/>
      <c r="H210" s="5"/>
      <c r="I210" s="5"/>
      <c r="J210" s="5"/>
      <c r="K210" s="5"/>
      <c r="L210" s="5"/>
      <c r="M210" s="5"/>
      <c r="O210" s="1182"/>
    </row>
    <row r="211" spans="1:15">
      <c r="A211" s="685"/>
      <c r="C211" s="3"/>
      <c r="D211" s="5"/>
      <c r="F211" s="5"/>
      <c r="G211" s="5"/>
      <c r="H211" s="5"/>
      <c r="I211" s="5"/>
      <c r="J211" s="5"/>
      <c r="K211" s="5"/>
      <c r="L211" s="5"/>
      <c r="M211" s="5"/>
      <c r="O211" s="1182"/>
    </row>
    <row r="212" spans="1:15" ht="16.2" thickBot="1">
      <c r="A212" s="685"/>
      <c r="B212" s="28"/>
      <c r="C212" s="334" t="s">
        <v>80</v>
      </c>
      <c r="D212" s="5"/>
      <c r="E212" s="5"/>
      <c r="F212" s="5"/>
      <c r="G212" s="5"/>
      <c r="H212" s="5"/>
      <c r="I212" s="5"/>
      <c r="J212" s="42" t="s">
        <v>66</v>
      </c>
      <c r="K212" s="5"/>
      <c r="L212" s="5"/>
      <c r="M212" s="5"/>
      <c r="O212" s="1182"/>
    </row>
    <row r="213" spans="1:15">
      <c r="A213" s="685">
        <v>21</v>
      </c>
      <c r="B213" s="28"/>
      <c r="C213" s="28"/>
      <c r="D213" s="523" t="s">
        <v>183</v>
      </c>
      <c r="E213" s="5"/>
      <c r="F213" s="5"/>
      <c r="G213" s="5"/>
      <c r="H213" s="5"/>
      <c r="I213" s="5"/>
      <c r="J213" s="437">
        <f>INPUT!C128</f>
        <v>84331328</v>
      </c>
      <c r="K213" s="5"/>
      <c r="L213" s="5"/>
      <c r="M213" s="5"/>
      <c r="O213" s="1182"/>
    </row>
    <row r="214" spans="1:15">
      <c r="A214" s="685"/>
      <c r="C214" s="3"/>
      <c r="D214" s="523"/>
      <c r="E214" s="5"/>
      <c r="F214" s="5"/>
      <c r="G214" s="5"/>
      <c r="H214" s="5"/>
      <c r="I214" s="5"/>
      <c r="J214" s="204"/>
      <c r="K214" s="5"/>
      <c r="L214" s="5"/>
      <c r="M214" s="5"/>
      <c r="O214" s="1182"/>
    </row>
    <row r="215" spans="1:15">
      <c r="A215" s="685">
        <v>22</v>
      </c>
      <c r="B215" s="28"/>
      <c r="C215" s="26"/>
      <c r="D215" s="523" t="s">
        <v>184</v>
      </c>
      <c r="E215" s="5"/>
      <c r="F215" s="5"/>
      <c r="G215" s="5"/>
      <c r="H215" s="5"/>
      <c r="I215" s="34"/>
      <c r="J215" s="436">
        <f>INPUT!C130</f>
        <v>0</v>
      </c>
      <c r="K215" s="5"/>
      <c r="L215" s="5"/>
      <c r="M215" s="5"/>
      <c r="O215" s="1182"/>
    </row>
    <row r="216" spans="1:15">
      <c r="A216" s="685"/>
      <c r="B216" s="28"/>
      <c r="C216" s="26"/>
      <c r="D216" s="523"/>
      <c r="E216" s="5"/>
      <c r="F216" s="5"/>
      <c r="G216" s="5"/>
      <c r="H216" s="5"/>
      <c r="I216" s="5"/>
      <c r="J216" s="204"/>
      <c r="K216" s="5"/>
      <c r="L216" s="5"/>
      <c r="M216" s="5"/>
      <c r="O216" s="1182"/>
    </row>
    <row r="217" spans="1:15">
      <c r="A217" s="685"/>
      <c r="B217" s="28"/>
      <c r="C217" s="26" t="s">
        <v>81</v>
      </c>
      <c r="D217" s="523"/>
      <c r="E217" s="5"/>
      <c r="F217" s="5"/>
      <c r="G217" s="5"/>
      <c r="H217" s="5"/>
      <c r="I217" s="5"/>
      <c r="J217" s="204"/>
      <c r="K217" s="5"/>
      <c r="L217" s="5"/>
      <c r="M217" s="5"/>
      <c r="O217" s="1182"/>
    </row>
    <row r="218" spans="1:15">
      <c r="A218" s="685">
        <v>23</v>
      </c>
      <c r="B218" s="28"/>
      <c r="C218" s="26"/>
      <c r="D218" s="523" t="s">
        <v>177</v>
      </c>
      <c r="E218" s="28"/>
      <c r="F218" s="5"/>
      <c r="G218" s="5"/>
      <c r="H218" s="5"/>
      <c r="I218" s="5"/>
      <c r="J218" s="321">
        <f>INPUT!C133</f>
        <v>2708505516</v>
      </c>
      <c r="K218" s="5"/>
      <c r="L218" s="5"/>
      <c r="M218" s="5"/>
      <c r="O218" s="1182"/>
    </row>
    <row r="219" spans="1:15">
      <c r="A219" s="685">
        <v>24</v>
      </c>
      <c r="B219" s="28"/>
      <c r="C219" s="26"/>
      <c r="D219" s="525" t="s">
        <v>627</v>
      </c>
      <c r="E219" s="543"/>
      <c r="F219" s="5"/>
      <c r="G219" s="5"/>
      <c r="H219" s="5"/>
      <c r="I219" s="5"/>
      <c r="J219" s="321">
        <f>INPUT!C134</f>
        <v>0</v>
      </c>
      <c r="K219" s="5"/>
      <c r="L219" s="5"/>
      <c r="M219" s="5"/>
      <c r="O219" s="1182"/>
    </row>
    <row r="220" spans="1:15" ht="15.6" thickBot="1">
      <c r="A220" s="685">
        <v>25</v>
      </c>
      <c r="B220" s="28"/>
      <c r="C220" s="26"/>
      <c r="D220" s="525" t="s">
        <v>178</v>
      </c>
      <c r="E220" s="543"/>
      <c r="F220" s="5"/>
      <c r="G220" s="5"/>
      <c r="H220" s="5"/>
      <c r="I220" s="5"/>
      <c r="J220" s="211">
        <f>INPUT!C135</f>
        <v>-581684069</v>
      </c>
      <c r="K220" s="5"/>
      <c r="L220" s="5"/>
      <c r="M220" s="5"/>
      <c r="O220" s="1182"/>
    </row>
    <row r="221" spans="1:15">
      <c r="A221" s="685">
        <v>26</v>
      </c>
      <c r="B221" s="28"/>
      <c r="C221" s="28"/>
      <c r="D221" s="543" t="s">
        <v>628</v>
      </c>
      <c r="E221" s="547"/>
      <c r="F221" s="28"/>
      <c r="G221" s="28"/>
      <c r="H221" s="28"/>
      <c r="I221" s="28"/>
      <c r="J221" s="204">
        <f>J218+J219+J220</f>
        <v>2126821447</v>
      </c>
      <c r="K221" s="5"/>
      <c r="L221" s="5"/>
      <c r="M221" s="5"/>
      <c r="O221" s="1182"/>
    </row>
    <row r="222" spans="1:15">
      <c r="A222" s="685"/>
      <c r="C222" s="3"/>
      <c r="D222" s="5"/>
      <c r="E222" s="5"/>
      <c r="F222" s="5"/>
      <c r="G222" s="5"/>
      <c r="H222" s="6"/>
      <c r="I222" s="5"/>
      <c r="J222" s="5"/>
      <c r="K222" s="5"/>
      <c r="L222" s="5"/>
      <c r="M222" s="5"/>
      <c r="O222" s="1182"/>
    </row>
    <row r="223" spans="1:15" ht="15.6" thickBot="1">
      <c r="A223" s="685"/>
      <c r="C223" s="3"/>
      <c r="D223" s="54" t="s">
        <v>353</v>
      </c>
      <c r="E223" s="37" t="s">
        <v>66</v>
      </c>
      <c r="F223" s="37" t="s">
        <v>84</v>
      </c>
      <c r="G223" s="5"/>
      <c r="H223" s="37" t="s">
        <v>83</v>
      </c>
      <c r="I223" s="5"/>
      <c r="J223" s="37" t="s">
        <v>85</v>
      </c>
      <c r="K223" s="5"/>
      <c r="L223" s="5"/>
      <c r="M223" s="5"/>
      <c r="O223" s="1182"/>
    </row>
    <row r="224" spans="1:15">
      <c r="A224" s="685">
        <v>27</v>
      </c>
      <c r="C224" s="61" t="s">
        <v>179</v>
      </c>
      <c r="E224" s="321">
        <f>INPUT!C143</f>
        <v>1650000000</v>
      </c>
      <c r="F224" s="51">
        <f>IF($E$227&gt;0,E224/$E$227,0)</f>
        <v>0.436875299283906</v>
      </c>
      <c r="G224" s="21"/>
      <c r="H224" s="21">
        <f>IF(E224&gt;0,J213/E224,0)</f>
        <v>5.1109895757575755E-2</v>
      </c>
      <c r="J224" s="21">
        <f>ROUND(H224*F224,4)</f>
        <v>2.23E-2</v>
      </c>
      <c r="K224" s="22" t="s">
        <v>86</v>
      </c>
      <c r="M224" s="5"/>
      <c r="O224" s="1182"/>
    </row>
    <row r="225" spans="1:15">
      <c r="A225" s="685">
        <v>28</v>
      </c>
      <c r="C225" s="61" t="s">
        <v>180</v>
      </c>
      <c r="E225" s="321">
        <f>INPUT!C144</f>
        <v>0</v>
      </c>
      <c r="F225" s="51">
        <f>IF($E$227&gt;0,E225/$E$227,0)</f>
        <v>0</v>
      </c>
      <c r="G225" s="21"/>
      <c r="H225" s="21">
        <f>IF(E225&gt;0,J215/E225,0)</f>
        <v>0</v>
      </c>
      <c r="J225" s="21">
        <f>ROUND(H225*F225,4)</f>
        <v>0</v>
      </c>
      <c r="K225" s="5"/>
      <c r="M225" s="5"/>
      <c r="O225" s="1182"/>
    </row>
    <row r="226" spans="1:15" ht="16.2" thickBot="1">
      <c r="A226" s="685">
        <v>29</v>
      </c>
      <c r="C226" s="570" t="s">
        <v>87</v>
      </c>
      <c r="E226" s="205">
        <f>J221</f>
        <v>2126821447</v>
      </c>
      <c r="F226" s="51">
        <f>IF($E$227&gt;0,E226/$E$227,0)</f>
        <v>0.563124700716094</v>
      </c>
      <c r="G226" s="21"/>
      <c r="H226" s="445">
        <f>ROE</f>
        <v>0.1138</v>
      </c>
      <c r="J226" s="57">
        <f>ROUND(H226*F226,4)</f>
        <v>6.4100000000000004E-2</v>
      </c>
      <c r="K226" s="5"/>
      <c r="M226" s="5"/>
      <c r="O226" s="1182"/>
    </row>
    <row r="227" spans="1:15">
      <c r="A227" s="685">
        <v>30</v>
      </c>
      <c r="C227" s="539" t="s">
        <v>148</v>
      </c>
      <c r="E227" s="204">
        <f>E226+E225+E224</f>
        <v>3776821447</v>
      </c>
      <c r="F227" s="5" t="s">
        <v>7</v>
      </c>
      <c r="G227" s="5"/>
      <c r="H227" s="5"/>
      <c r="I227" s="5"/>
      <c r="J227" s="21">
        <f>SUM(J224:J226)</f>
        <v>8.6400000000000005E-2</v>
      </c>
      <c r="K227" s="22" t="s">
        <v>88</v>
      </c>
      <c r="M227" s="5"/>
      <c r="O227" s="1182"/>
    </row>
    <row r="228" spans="1:15">
      <c r="F228" s="5"/>
      <c r="G228" s="5"/>
      <c r="H228" s="5"/>
      <c r="I228" s="5"/>
      <c r="M228" s="5"/>
      <c r="O228" s="1182"/>
    </row>
    <row r="229" spans="1:15">
      <c r="L229" s="5"/>
      <c r="M229" s="5"/>
      <c r="O229" s="1182"/>
    </row>
    <row r="230" spans="1:15" ht="15.6">
      <c r="A230" s="685"/>
      <c r="C230" s="334" t="s">
        <v>89</v>
      </c>
      <c r="D230" s="28"/>
      <c r="E230" s="28"/>
      <c r="F230" s="28"/>
      <c r="G230" s="28"/>
      <c r="H230" s="28"/>
      <c r="I230" s="28"/>
      <c r="J230" s="28"/>
      <c r="K230" s="28"/>
      <c r="L230" s="28"/>
      <c r="M230" s="5"/>
      <c r="O230" s="1182"/>
    </row>
    <row r="231" spans="1:15" ht="15.6" thickBot="1">
      <c r="A231" s="685"/>
      <c r="C231" s="26"/>
      <c r="D231" s="26"/>
      <c r="E231" s="26"/>
      <c r="F231" s="26"/>
      <c r="G231" s="26"/>
      <c r="H231" s="26"/>
      <c r="I231" s="26"/>
      <c r="J231" s="37" t="s">
        <v>129</v>
      </c>
      <c r="K231" s="54"/>
      <c r="O231" s="1182"/>
    </row>
    <row r="232" spans="1:15">
      <c r="A232" s="685"/>
      <c r="C232" s="366" t="s">
        <v>365</v>
      </c>
      <c r="D232" s="28"/>
      <c r="E232" s="28" t="s">
        <v>90</v>
      </c>
      <c r="F232" s="28"/>
      <c r="G232" s="28"/>
      <c r="H232" s="32" t="s">
        <v>7</v>
      </c>
      <c r="I232" s="25"/>
      <c r="J232" s="213"/>
      <c r="K232" s="213"/>
      <c r="O232" s="1182"/>
    </row>
    <row r="233" spans="1:15">
      <c r="A233" s="685">
        <v>31</v>
      </c>
      <c r="C233" s="11" t="s">
        <v>126</v>
      </c>
      <c r="D233" s="28"/>
      <c r="E233" s="28"/>
      <c r="G233" s="28"/>
      <c r="I233" s="25"/>
      <c r="J233" s="388">
        <v>0</v>
      </c>
      <c r="K233" s="214"/>
      <c r="O233" s="1182"/>
    </row>
    <row r="234" spans="1:15" ht="15.6" thickBot="1">
      <c r="A234" s="685">
        <v>32</v>
      </c>
      <c r="C234" s="52" t="s">
        <v>344</v>
      </c>
      <c r="D234" s="49"/>
      <c r="E234" s="52"/>
      <c r="F234" s="48"/>
      <c r="G234" s="48"/>
      <c r="H234" s="48"/>
      <c r="I234" s="28"/>
      <c r="J234" s="389">
        <v>0</v>
      </c>
      <c r="K234" s="215"/>
      <c r="O234" s="1182"/>
    </row>
    <row r="235" spans="1:15">
      <c r="A235" s="685">
        <v>33</v>
      </c>
      <c r="C235" s="11" t="s">
        <v>91</v>
      </c>
      <c r="D235" s="1"/>
      <c r="F235" s="28"/>
      <c r="G235" s="28"/>
      <c r="H235" s="28"/>
      <c r="I235" s="28"/>
      <c r="J235" s="55">
        <f>J233-J234</f>
        <v>0</v>
      </c>
      <c r="K235" s="214"/>
      <c r="O235" s="1182"/>
    </row>
    <row r="236" spans="1:15">
      <c r="A236" s="685"/>
      <c r="C236" s="11" t="s">
        <v>7</v>
      </c>
      <c r="D236" s="1"/>
      <c r="F236" s="28"/>
      <c r="G236" s="28"/>
      <c r="H236" s="43"/>
      <c r="I236" s="28"/>
      <c r="J236" s="38" t="s">
        <v>7</v>
      </c>
      <c r="K236" s="213"/>
      <c r="L236" s="39"/>
      <c r="M236" s="5"/>
      <c r="O236" s="1182"/>
    </row>
    <row r="237" spans="1:15">
      <c r="A237" s="685">
        <v>34</v>
      </c>
      <c r="C237" s="366" t="s">
        <v>366</v>
      </c>
      <c r="D237" s="1"/>
      <c r="E237" s="550"/>
      <c r="F237" s="28"/>
      <c r="G237" s="28"/>
      <c r="H237" s="53"/>
      <c r="I237" s="28"/>
      <c r="J237" s="103">
        <f>ROUND('P8 Rev Cred Support'!E22,0)</f>
        <v>175445</v>
      </c>
      <c r="K237" s="213"/>
      <c r="L237" s="39"/>
      <c r="M237" s="5"/>
      <c r="O237" s="1182"/>
    </row>
    <row r="238" spans="1:15">
      <c r="A238" s="685"/>
      <c r="D238" s="28"/>
      <c r="E238" s="547"/>
      <c r="F238" s="28"/>
      <c r="G238" s="28"/>
      <c r="H238" s="28"/>
      <c r="I238" s="28"/>
      <c r="J238" s="74"/>
      <c r="K238" s="213"/>
      <c r="L238" s="39"/>
      <c r="M238" s="5"/>
      <c r="O238" s="1182"/>
    </row>
    <row r="239" spans="1:15">
      <c r="A239" s="685">
        <v>35</v>
      </c>
      <c r="C239" s="366" t="s">
        <v>379</v>
      </c>
      <c r="D239" s="28"/>
      <c r="E239" s="547" t="s">
        <v>92</v>
      </c>
      <c r="F239" s="28"/>
      <c r="G239" s="28"/>
      <c r="H239" s="28"/>
      <c r="I239" s="28"/>
      <c r="J239" s="103">
        <f>'P8 Rev Cred Support'!E42</f>
        <v>663115</v>
      </c>
      <c r="L239" s="40"/>
      <c r="M239" s="5"/>
      <c r="O239" s="1182"/>
    </row>
    <row r="240" spans="1:15">
      <c r="A240" s="685">
        <v>36</v>
      </c>
      <c r="C240" s="367" t="s">
        <v>614</v>
      </c>
      <c r="D240" s="26"/>
      <c r="E240" s="547" t="s">
        <v>92</v>
      </c>
      <c r="F240" s="26"/>
      <c r="G240" s="26"/>
      <c r="H240" s="26"/>
      <c r="I240" s="28"/>
      <c r="J240" s="103">
        <f>'P8 Rev Cred Support'!E35</f>
        <v>1801397</v>
      </c>
      <c r="K240" s="29"/>
      <c r="L240" s="27"/>
      <c r="M240" s="29"/>
      <c r="O240" s="1182"/>
    </row>
    <row r="241" spans="1:13" s="596" customFormat="1">
      <c r="A241" s="685"/>
      <c r="C241" s="367"/>
      <c r="D241" s="570"/>
      <c r="E241" s="547"/>
      <c r="F241" s="570"/>
      <c r="G241" s="570"/>
      <c r="H241" s="570"/>
      <c r="I241" s="547"/>
      <c r="J241" s="674"/>
      <c r="K241" s="542"/>
      <c r="L241" s="85"/>
      <c r="M241" s="542"/>
    </row>
    <row r="242" spans="1:13" ht="17.399999999999999">
      <c r="A242" s="688"/>
      <c r="C242" s="26"/>
      <c r="D242" s="26"/>
      <c r="E242" s="27"/>
      <c r="F242" s="26"/>
      <c r="G242" s="26"/>
      <c r="H242" s="26"/>
      <c r="I242" s="28"/>
      <c r="J242" s="73" t="s">
        <v>306</v>
      </c>
      <c r="K242" s="84"/>
      <c r="M242" s="84"/>
    </row>
    <row r="243" spans="1:13">
      <c r="C243" s="26"/>
      <c r="D243" s="26"/>
      <c r="E243" s="27"/>
      <c r="F243" s="26"/>
      <c r="G243" s="26"/>
      <c r="H243" s="26"/>
      <c r="I243" s="28"/>
      <c r="J243" s="73" t="s">
        <v>420</v>
      </c>
      <c r="M243" s="73"/>
    </row>
    <row r="244" spans="1:13">
      <c r="C244" s="26"/>
      <c r="D244" s="26"/>
      <c r="E244" s="27"/>
      <c r="F244" s="26"/>
      <c r="G244" s="26"/>
      <c r="H244" s="26"/>
      <c r="I244" s="28"/>
      <c r="J244" s="73"/>
      <c r="M244" s="73"/>
    </row>
    <row r="245" spans="1:13">
      <c r="C245" s="26"/>
      <c r="D245" s="26"/>
      <c r="E245" s="27"/>
      <c r="F245" s="26"/>
      <c r="G245" s="26"/>
      <c r="H245" s="26"/>
      <c r="I245" s="28"/>
      <c r="M245" s="73"/>
    </row>
    <row r="246" spans="1:13">
      <c r="C246" s="26"/>
      <c r="D246" s="26"/>
      <c r="E246" s="27"/>
      <c r="F246" s="26"/>
      <c r="G246" s="26"/>
      <c r="H246" s="26"/>
      <c r="I246" s="28"/>
      <c r="K246" s="1"/>
      <c r="M246" s="73"/>
    </row>
    <row r="247" spans="1:13">
      <c r="C247" s="26"/>
      <c r="D247" s="26"/>
      <c r="E247" s="27"/>
      <c r="F247" s="26"/>
      <c r="G247" s="26"/>
      <c r="H247" s="26"/>
      <c r="I247" s="28"/>
      <c r="J247" s="73"/>
      <c r="K247" s="1"/>
      <c r="M247" s="73"/>
    </row>
    <row r="248" spans="1:13">
      <c r="C248" s="26" t="s">
        <v>6</v>
      </c>
      <c r="D248" s="26"/>
      <c r="E248" s="27"/>
      <c r="F248" s="26"/>
      <c r="G248" s="26"/>
      <c r="H248" s="26"/>
      <c r="I248" s="28"/>
      <c r="J248" s="85" t="str">
        <f>$J$7</f>
        <v>For the 12 months ended: 12/31/2018</v>
      </c>
      <c r="K248" s="1"/>
      <c r="M248" s="73"/>
    </row>
    <row r="249" spans="1:13">
      <c r="A249" s="689" t="str">
        <f>$A$8</f>
        <v>Rate Formula Template</v>
      </c>
      <c r="B249" s="105"/>
      <c r="C249" s="105"/>
      <c r="D249" s="240"/>
      <c r="E249" s="105"/>
      <c r="F249" s="240"/>
      <c r="G249" s="240"/>
      <c r="H249" s="240"/>
      <c r="I249" s="240"/>
      <c r="J249" s="105"/>
      <c r="K249" s="28"/>
      <c r="L249" s="105"/>
      <c r="M249" s="1"/>
    </row>
    <row r="250" spans="1:13">
      <c r="A250" s="690" t="s">
        <v>277</v>
      </c>
      <c r="B250" s="105"/>
      <c r="C250" s="240"/>
      <c r="D250" s="242"/>
      <c r="E250" s="105"/>
      <c r="F250" s="242"/>
      <c r="G250" s="242"/>
      <c r="H250" s="242"/>
      <c r="I250" s="240"/>
      <c r="J250" s="240"/>
      <c r="K250" s="28"/>
      <c r="L250" s="243"/>
      <c r="M250" s="1"/>
    </row>
    <row r="251" spans="1:13">
      <c r="A251" s="690"/>
      <c r="B251" s="105"/>
      <c r="C251" s="243"/>
      <c r="D251" s="243"/>
      <c r="E251" s="105"/>
      <c r="F251" s="243"/>
      <c r="G251" s="243"/>
      <c r="H251" s="243"/>
      <c r="I251" s="243"/>
      <c r="J251" s="243"/>
      <c r="K251" s="28"/>
      <c r="L251" s="243"/>
      <c r="M251" s="28"/>
    </row>
    <row r="252" spans="1:13" ht="15.6">
      <c r="A252" s="851" t="str">
        <f>$A$11</f>
        <v>DUKE ENERGY OHIO (DEO)</v>
      </c>
      <c r="B252" s="105"/>
      <c r="C252" s="243"/>
      <c r="D252" s="243"/>
      <c r="E252" s="105"/>
      <c r="F252" s="243"/>
      <c r="G252" s="243"/>
      <c r="H252" s="243"/>
      <c r="I252" s="243"/>
      <c r="J252" s="243"/>
      <c r="K252" s="28"/>
      <c r="L252" s="243"/>
      <c r="M252" s="28"/>
    </row>
    <row r="253" spans="1:13">
      <c r="A253" s="685"/>
      <c r="B253" s="28"/>
      <c r="C253" s="36"/>
      <c r="D253" s="29"/>
      <c r="E253" s="5"/>
      <c r="F253" s="5"/>
      <c r="G253" s="5"/>
      <c r="H253" s="5"/>
      <c r="I253" s="28"/>
      <c r="J253" s="217"/>
      <c r="K253" s="28"/>
      <c r="L253" s="216"/>
      <c r="M253" s="28"/>
    </row>
    <row r="254" spans="1:13" ht="20.399999999999999">
      <c r="A254" s="685"/>
      <c r="B254" s="28"/>
      <c r="C254" s="26" t="s">
        <v>93</v>
      </c>
      <c r="D254" s="29"/>
      <c r="E254" s="5"/>
      <c r="F254" s="5"/>
      <c r="G254" s="5"/>
      <c r="H254" s="5"/>
      <c r="I254" s="28"/>
      <c r="J254" s="5"/>
      <c r="K254" s="28"/>
      <c r="L254" s="5"/>
      <c r="M254" s="218"/>
    </row>
    <row r="255" spans="1:13" ht="20.399999999999999">
      <c r="A255" s="685"/>
      <c r="B255" s="28"/>
      <c r="C255" s="26" t="s">
        <v>611</v>
      </c>
      <c r="D255" s="28"/>
      <c r="E255" s="5"/>
      <c r="F255" s="5"/>
      <c r="G255" s="5"/>
      <c r="H255" s="5"/>
      <c r="I255" s="28"/>
      <c r="J255" s="5"/>
      <c r="K255" s="28"/>
      <c r="L255" s="5"/>
      <c r="M255" s="218"/>
    </row>
    <row r="256" spans="1:13" ht="20.399999999999999">
      <c r="A256" s="694" t="s">
        <v>610</v>
      </c>
      <c r="B256" s="28"/>
      <c r="C256" s="26"/>
      <c r="D256" s="28"/>
      <c r="E256" s="5"/>
      <c r="F256" s="5"/>
      <c r="G256" s="5"/>
      <c r="H256" s="5"/>
      <c r="I256" s="28"/>
      <c r="J256" s="5"/>
      <c r="K256" s="28"/>
      <c r="L256" s="5"/>
      <c r="M256" s="218"/>
    </row>
    <row r="257" spans="1:13" ht="20.399999999999999">
      <c r="A257" s="685" t="s">
        <v>96</v>
      </c>
      <c r="B257" s="541"/>
      <c r="C257" s="753" t="s">
        <v>617</v>
      </c>
      <c r="D257" s="574"/>
      <c r="E257" s="575"/>
      <c r="F257" s="575"/>
      <c r="G257" s="575"/>
      <c r="H257" s="575"/>
      <c r="I257" s="574"/>
      <c r="J257" s="575"/>
      <c r="K257" s="574"/>
      <c r="L257" s="575"/>
      <c r="M257" s="219"/>
    </row>
    <row r="258" spans="1:13" ht="20.399999999999999">
      <c r="A258" s="686" t="s">
        <v>97</v>
      </c>
      <c r="B258" s="547"/>
      <c r="C258" s="753" t="s">
        <v>697</v>
      </c>
      <c r="D258" s="547"/>
      <c r="E258" s="543"/>
      <c r="F258" s="543"/>
      <c r="G258" s="543"/>
      <c r="H258" s="543"/>
      <c r="I258" s="547"/>
      <c r="J258" s="543"/>
      <c r="K258" s="56"/>
      <c r="L258" s="34"/>
      <c r="M258" s="219"/>
    </row>
    <row r="259" spans="1:13" ht="20.399999999999999">
      <c r="A259" s="686" t="s">
        <v>98</v>
      </c>
      <c r="B259" s="547"/>
      <c r="C259" s="675" t="s">
        <v>302</v>
      </c>
      <c r="D259" s="547"/>
      <c r="E259" s="56"/>
      <c r="F259" s="56"/>
      <c r="G259" s="56"/>
      <c r="H259" s="56"/>
      <c r="I259" s="56"/>
      <c r="J259" s="34"/>
      <c r="K259" s="56"/>
      <c r="L259" s="56"/>
      <c r="M259" s="219"/>
    </row>
    <row r="260" spans="1:13" s="540" customFormat="1" ht="20.399999999999999">
      <c r="A260" s="686" t="s">
        <v>99</v>
      </c>
      <c r="B260" s="547"/>
      <c r="C260" s="675" t="s">
        <v>302</v>
      </c>
      <c r="D260" s="547"/>
      <c r="E260" s="544"/>
      <c r="F260" s="544"/>
      <c r="G260" s="544"/>
      <c r="H260" s="544"/>
      <c r="I260" s="544"/>
      <c r="J260" s="543"/>
      <c r="K260" s="544"/>
      <c r="L260" s="544"/>
      <c r="M260" s="545"/>
    </row>
    <row r="261" spans="1:13" s="540" customFormat="1" ht="20.399999999999999">
      <c r="A261" s="686" t="s">
        <v>100</v>
      </c>
      <c r="B261" s="547"/>
      <c r="C261" s="676" t="s">
        <v>597</v>
      </c>
      <c r="D261" s="547"/>
      <c r="E261" s="544"/>
      <c r="F261" s="544"/>
      <c r="G261" s="544"/>
      <c r="H261" s="544"/>
      <c r="I261" s="544"/>
      <c r="J261" s="543"/>
      <c r="K261" s="544"/>
      <c r="L261" s="544"/>
      <c r="M261" s="545"/>
    </row>
    <row r="262" spans="1:13" ht="20.399999999999999">
      <c r="A262" s="686"/>
      <c r="B262" s="547"/>
      <c r="C262" s="676" t="s">
        <v>598</v>
      </c>
      <c r="D262" s="547"/>
      <c r="E262" s="56"/>
      <c r="F262" s="56"/>
      <c r="G262" s="56"/>
      <c r="H262" s="56"/>
      <c r="I262" s="56"/>
      <c r="J262" s="34"/>
      <c r="K262" s="56"/>
      <c r="L262" s="56"/>
      <c r="M262" s="219"/>
    </row>
    <row r="263" spans="1:13" s="596" customFormat="1" ht="20.399999999999999">
      <c r="A263" s="686"/>
      <c r="B263" s="547"/>
      <c r="C263" s="676" t="s">
        <v>599</v>
      </c>
      <c r="D263" s="547"/>
      <c r="E263" s="547"/>
      <c r="F263" s="547"/>
      <c r="G263" s="547"/>
      <c r="H263" s="547"/>
      <c r="I263" s="547"/>
      <c r="J263" s="543"/>
      <c r="K263" s="547"/>
      <c r="L263" s="547"/>
      <c r="M263" s="545"/>
    </row>
    <row r="264" spans="1:13" s="596" customFormat="1" ht="20.399999999999999">
      <c r="A264" s="686"/>
      <c r="B264" s="547"/>
      <c r="C264" s="676" t="s">
        <v>600</v>
      </c>
      <c r="D264" s="547"/>
      <c r="E264" s="547"/>
      <c r="F264" s="547"/>
      <c r="G264" s="547"/>
      <c r="H264" s="547"/>
      <c r="I264" s="547"/>
      <c r="J264" s="543"/>
      <c r="K264" s="547"/>
      <c r="L264" s="547"/>
      <c r="M264" s="545"/>
    </row>
    <row r="265" spans="1:13" s="596" customFormat="1" ht="20.399999999999999">
      <c r="A265" s="686"/>
      <c r="B265" s="547"/>
      <c r="C265" s="676" t="s">
        <v>601</v>
      </c>
      <c r="D265" s="547"/>
      <c r="E265" s="547"/>
      <c r="F265" s="547"/>
      <c r="G265" s="547"/>
      <c r="H265" s="547"/>
      <c r="I265" s="547"/>
      <c r="J265" s="543"/>
      <c r="K265" s="547"/>
      <c r="L265" s="547"/>
      <c r="M265" s="545"/>
    </row>
    <row r="266" spans="1:13" ht="20.399999999999999">
      <c r="A266" s="685" t="s">
        <v>101</v>
      </c>
      <c r="B266" s="541"/>
      <c r="C266" s="676" t="s">
        <v>218</v>
      </c>
      <c r="D266" s="547"/>
      <c r="E266" s="56"/>
      <c r="F266" s="56"/>
      <c r="G266" s="56"/>
      <c r="H266" s="56"/>
      <c r="I266" s="56"/>
      <c r="J266" s="34"/>
      <c r="K266" s="56"/>
      <c r="L266" s="56"/>
      <c r="M266" s="219"/>
    </row>
    <row r="267" spans="1:13" ht="20.399999999999999">
      <c r="A267" s="685"/>
      <c r="B267" s="541"/>
      <c r="C267" s="676" t="s">
        <v>219</v>
      </c>
      <c r="D267" s="547"/>
      <c r="E267" s="56"/>
      <c r="F267" s="56"/>
      <c r="G267" s="56"/>
      <c r="H267" s="56"/>
      <c r="I267" s="56"/>
      <c r="J267" s="34"/>
      <c r="K267" s="56"/>
      <c r="L267" s="56"/>
      <c r="M267" s="219"/>
    </row>
    <row r="268" spans="1:13" ht="20.399999999999999">
      <c r="A268" s="685"/>
      <c r="B268" s="541"/>
      <c r="C268" s="676" t="s">
        <v>209</v>
      </c>
      <c r="D268" s="547"/>
      <c r="E268" s="56"/>
      <c r="F268" s="56"/>
      <c r="G268" s="56"/>
      <c r="H268" s="56"/>
      <c r="I268" s="56"/>
      <c r="J268" s="56"/>
      <c r="K268" s="56"/>
      <c r="L268" s="56"/>
      <c r="M268" s="219"/>
    </row>
    <row r="269" spans="1:13" ht="20.399999999999999">
      <c r="A269" s="685" t="s">
        <v>102</v>
      </c>
      <c r="B269" s="541"/>
      <c r="C269" s="676" t="s">
        <v>103</v>
      </c>
      <c r="D269" s="547"/>
      <c r="E269" s="56"/>
      <c r="F269" s="56"/>
      <c r="G269" s="56"/>
      <c r="H269" s="56"/>
      <c r="I269" s="56"/>
      <c r="J269" s="56"/>
      <c r="K269" s="56"/>
      <c r="L269" s="56"/>
      <c r="M269" s="219"/>
    </row>
    <row r="270" spans="1:13" ht="20.399999999999999">
      <c r="A270" s="685" t="s">
        <v>104</v>
      </c>
      <c r="B270" s="541"/>
      <c r="C270" s="676" t="s">
        <v>105</v>
      </c>
      <c r="D270" s="547"/>
      <c r="E270" s="56"/>
      <c r="F270" s="56"/>
      <c r="G270" s="56"/>
      <c r="H270" s="56"/>
      <c r="I270" s="56"/>
      <c r="J270" s="56"/>
      <c r="K270" s="56"/>
      <c r="L270" s="56"/>
      <c r="M270" s="219"/>
    </row>
    <row r="271" spans="1:13" ht="20.399999999999999">
      <c r="A271" s="685"/>
      <c r="B271" s="541"/>
      <c r="C271" s="676" t="s">
        <v>308</v>
      </c>
      <c r="D271" s="547"/>
      <c r="E271" s="56"/>
      <c r="F271" s="56"/>
      <c r="G271" s="56"/>
      <c r="H271" s="56"/>
      <c r="I271" s="56"/>
      <c r="J271" s="56"/>
      <c r="K271" s="56"/>
      <c r="L271" s="56"/>
      <c r="M271" s="219"/>
    </row>
    <row r="272" spans="1:13" ht="20.399999999999999">
      <c r="A272" s="685" t="s">
        <v>106</v>
      </c>
      <c r="B272" s="541"/>
      <c r="C272" s="676" t="s">
        <v>330</v>
      </c>
      <c r="D272" s="547"/>
      <c r="E272" s="56"/>
      <c r="F272" s="56"/>
      <c r="G272" s="56"/>
      <c r="H272" s="56"/>
      <c r="I272" s="56"/>
      <c r="J272" s="56"/>
      <c r="K272" s="56"/>
      <c r="L272" s="56"/>
      <c r="M272" s="219"/>
    </row>
    <row r="273" spans="1:13" ht="20.399999999999999">
      <c r="A273" s="685"/>
      <c r="B273" s="541"/>
      <c r="C273" s="677" t="s">
        <v>331</v>
      </c>
      <c r="D273" s="547"/>
      <c r="E273" s="56"/>
      <c r="F273" s="56"/>
      <c r="G273" s="56"/>
      <c r="H273" s="56"/>
      <c r="I273" s="56"/>
      <c r="J273" s="56"/>
      <c r="K273" s="56"/>
      <c r="L273" s="56"/>
      <c r="M273" s="219"/>
    </row>
    <row r="274" spans="1:13" ht="20.399999999999999">
      <c r="A274" s="685" t="s">
        <v>107</v>
      </c>
      <c r="B274" s="541"/>
      <c r="C274" s="676" t="s">
        <v>332</v>
      </c>
      <c r="D274" s="547"/>
      <c r="E274" s="56"/>
      <c r="F274" s="56"/>
      <c r="G274" s="56"/>
      <c r="H274" s="56"/>
      <c r="I274" s="56"/>
      <c r="J274" s="56"/>
      <c r="K274" s="56"/>
      <c r="L274" s="56"/>
      <c r="M274" s="219"/>
    </row>
    <row r="275" spans="1:13" ht="20.399999999999999">
      <c r="A275" s="685"/>
      <c r="B275" s="541"/>
      <c r="C275" s="676" t="s">
        <v>333</v>
      </c>
      <c r="D275" s="547"/>
      <c r="E275" s="56"/>
      <c r="F275" s="56"/>
      <c r="G275" s="56"/>
      <c r="H275" s="56"/>
      <c r="I275" s="56"/>
      <c r="J275" s="56"/>
      <c r="K275" s="56"/>
      <c r="L275" s="56"/>
      <c r="M275" s="219"/>
    </row>
    <row r="276" spans="1:13" ht="20.399999999999999">
      <c r="A276" s="685" t="s">
        <v>108</v>
      </c>
      <c r="B276" s="541"/>
      <c r="C276" s="676" t="s">
        <v>514</v>
      </c>
      <c r="D276" s="547"/>
      <c r="E276" s="56"/>
      <c r="F276" s="56"/>
      <c r="G276" s="56"/>
      <c r="H276" s="56"/>
      <c r="I276" s="56"/>
      <c r="J276" s="56"/>
      <c r="K276" s="56"/>
      <c r="L276" s="56"/>
      <c r="M276" s="219"/>
    </row>
    <row r="277" spans="1:13" ht="20.399999999999999">
      <c r="A277" s="685"/>
      <c r="B277" s="541"/>
      <c r="C277" s="676" t="s">
        <v>334</v>
      </c>
      <c r="D277" s="547"/>
      <c r="E277" s="56"/>
      <c r="F277" s="56"/>
      <c r="G277" s="56"/>
      <c r="H277" s="56"/>
      <c r="I277" s="56"/>
      <c r="J277" s="56"/>
      <c r="K277" s="56"/>
      <c r="L277" s="56"/>
      <c r="M277" s="219"/>
    </row>
    <row r="278" spans="1:13" ht="20.399999999999999">
      <c r="A278" s="685"/>
      <c r="B278" s="541"/>
      <c r="C278" s="676" t="s">
        <v>335</v>
      </c>
      <c r="D278" s="547"/>
      <c r="E278" s="56"/>
      <c r="F278" s="56"/>
      <c r="G278" s="56"/>
      <c r="H278" s="56"/>
      <c r="I278" s="56"/>
      <c r="J278" s="56"/>
      <c r="K278" s="56"/>
      <c r="L278" s="56"/>
      <c r="M278" s="219"/>
    </row>
    <row r="279" spans="1:13" ht="20.399999999999999">
      <c r="A279" s="685"/>
      <c r="B279" s="541"/>
      <c r="C279" s="676" t="s">
        <v>336</v>
      </c>
      <c r="D279" s="547"/>
      <c r="E279" s="56"/>
      <c r="F279" s="56"/>
      <c r="G279" s="56"/>
      <c r="H279" s="56"/>
      <c r="I279" s="56"/>
      <c r="J279" s="56"/>
      <c r="K279" s="56"/>
      <c r="L279" s="56"/>
      <c r="M279" s="219"/>
    </row>
    <row r="280" spans="1:13" ht="20.399999999999999">
      <c r="A280" s="685"/>
      <c r="B280" s="541"/>
      <c r="C280" s="676" t="s">
        <v>337</v>
      </c>
      <c r="D280" s="547"/>
      <c r="E280" s="56"/>
      <c r="F280" s="56"/>
      <c r="G280" s="56"/>
      <c r="H280" s="56"/>
      <c r="I280" s="56"/>
      <c r="J280" s="56"/>
      <c r="K280" s="56"/>
      <c r="L280" s="56"/>
      <c r="M280" s="219"/>
    </row>
    <row r="281" spans="1:13" ht="20.399999999999999">
      <c r="A281" s="685"/>
      <c r="B281" s="28"/>
      <c r="C281" s="676"/>
      <c r="D281" s="56"/>
      <c r="E281" s="56"/>
      <c r="F281" s="56"/>
      <c r="G281" s="56"/>
      <c r="H281" s="56"/>
      <c r="I281" s="56"/>
      <c r="J281" s="56"/>
      <c r="K281" s="56"/>
      <c r="L281" s="56"/>
      <c r="M281" s="219"/>
    </row>
    <row r="282" spans="1:13" ht="20.399999999999999">
      <c r="A282" s="685" t="s">
        <v>7</v>
      </c>
      <c r="B282" s="28"/>
      <c r="C282" s="676" t="s">
        <v>142</v>
      </c>
      <c r="D282" s="676" t="s">
        <v>132</v>
      </c>
      <c r="E282" s="451">
        <f>FIT</f>
        <v>0.21</v>
      </c>
      <c r="F282" s="56"/>
      <c r="G282" s="56"/>
      <c r="H282" s="56"/>
      <c r="I282" s="56"/>
      <c r="J282" s="56"/>
      <c r="K282" s="56"/>
      <c r="L282" s="56"/>
      <c r="M282" s="219"/>
    </row>
    <row r="283" spans="1:13" ht="20.399999999999999">
      <c r="A283" s="685"/>
      <c r="B283" s="28"/>
      <c r="C283" s="676"/>
      <c r="D283" s="676" t="s">
        <v>133</v>
      </c>
      <c r="E283" s="355">
        <f>INPUT!C87</f>
        <v>0</v>
      </c>
      <c r="F283" s="56" t="s">
        <v>134</v>
      </c>
      <c r="G283" s="56"/>
      <c r="H283" s="56"/>
      <c r="I283" s="56"/>
      <c r="J283" s="56"/>
      <c r="K283" s="56"/>
      <c r="L283" s="56"/>
      <c r="M283" s="219"/>
    </row>
    <row r="284" spans="1:13" ht="20.399999999999999">
      <c r="A284" s="685"/>
      <c r="B284" s="28"/>
      <c r="C284" s="676"/>
      <c r="D284" s="676" t="s">
        <v>135</v>
      </c>
      <c r="E284" s="354">
        <v>0</v>
      </c>
      <c r="F284" s="56" t="s">
        <v>136</v>
      </c>
      <c r="G284" s="56"/>
      <c r="H284" s="56"/>
      <c r="I284" s="56"/>
      <c r="J284" s="56"/>
      <c r="K284" s="56"/>
      <c r="L284" s="56"/>
      <c r="M284" s="219"/>
    </row>
    <row r="285" spans="1:13" ht="20.399999999999999">
      <c r="A285" s="685" t="s">
        <v>109</v>
      </c>
      <c r="B285" s="28"/>
      <c r="C285" s="676" t="s">
        <v>635</v>
      </c>
      <c r="D285" s="56"/>
      <c r="E285" s="56"/>
      <c r="F285" s="56"/>
      <c r="G285" s="56"/>
      <c r="H285" s="56"/>
      <c r="I285" s="56"/>
      <c r="J285" s="56"/>
      <c r="K285" s="56"/>
      <c r="L285" s="56"/>
      <c r="M285" s="219"/>
    </row>
    <row r="286" spans="1:13" ht="20.399999999999999">
      <c r="A286" s="685" t="s">
        <v>110</v>
      </c>
      <c r="B286" s="28"/>
      <c r="C286" s="676" t="s">
        <v>111</v>
      </c>
      <c r="D286" s="56"/>
      <c r="E286" s="56"/>
      <c r="F286" s="56"/>
      <c r="G286" s="56"/>
      <c r="H286" s="56"/>
      <c r="I286" s="56"/>
      <c r="J286" s="56"/>
      <c r="K286" s="56"/>
      <c r="L286" s="56"/>
      <c r="M286" s="219"/>
    </row>
    <row r="287" spans="1:13" ht="20.399999999999999">
      <c r="A287" s="685"/>
      <c r="B287" s="28"/>
      <c r="C287" s="676" t="s">
        <v>403</v>
      </c>
      <c r="D287" s="56"/>
      <c r="E287" s="56"/>
      <c r="F287" s="56"/>
      <c r="G287" s="56"/>
      <c r="H287" s="56"/>
      <c r="I287" s="56"/>
      <c r="J287" s="56"/>
      <c r="K287" s="56"/>
      <c r="L287" s="56"/>
      <c r="M287" s="219"/>
    </row>
    <row r="288" spans="1:13" ht="20.399999999999999">
      <c r="A288" s="685" t="s">
        <v>112</v>
      </c>
      <c r="B288" s="28"/>
      <c r="C288" s="676" t="s">
        <v>150</v>
      </c>
      <c r="D288" s="56"/>
      <c r="E288" s="56"/>
      <c r="F288" s="56"/>
      <c r="G288" s="56"/>
      <c r="H288" s="56"/>
      <c r="I288" s="56"/>
      <c r="J288" s="56"/>
      <c r="K288" s="56"/>
      <c r="L288" s="56"/>
      <c r="M288" s="219"/>
    </row>
    <row r="289" spans="1:13" ht="20.399999999999999">
      <c r="A289" s="685"/>
      <c r="B289" s="28"/>
      <c r="C289" s="676" t="s">
        <v>309</v>
      </c>
      <c r="D289" s="56"/>
      <c r="E289" s="56"/>
      <c r="F289" s="56"/>
      <c r="G289" s="56"/>
      <c r="H289" s="56"/>
      <c r="I289" s="56"/>
      <c r="J289" s="56"/>
      <c r="K289" s="56"/>
      <c r="L289" s="56"/>
      <c r="M289" s="219"/>
    </row>
    <row r="290" spans="1:13" ht="20.399999999999999">
      <c r="A290" s="685"/>
      <c r="B290" s="28"/>
      <c r="C290" s="676" t="s">
        <v>310</v>
      </c>
      <c r="D290" s="56"/>
      <c r="E290" s="56"/>
      <c r="F290" s="56"/>
      <c r="G290" s="56"/>
      <c r="H290" s="56"/>
      <c r="I290" s="56"/>
      <c r="J290" s="56"/>
      <c r="K290" s="56"/>
      <c r="L290" s="56"/>
      <c r="M290" s="219"/>
    </row>
    <row r="291" spans="1:13" ht="20.399999999999999">
      <c r="A291" s="685" t="s">
        <v>113</v>
      </c>
      <c r="B291" s="28"/>
      <c r="C291" s="676" t="s">
        <v>302</v>
      </c>
      <c r="D291" s="56"/>
      <c r="E291" s="56"/>
      <c r="F291" s="56"/>
      <c r="G291" s="56"/>
      <c r="H291" s="56"/>
      <c r="I291" s="56"/>
      <c r="J291" s="56"/>
      <c r="K291" s="56"/>
      <c r="L291" s="56"/>
      <c r="M291" s="219"/>
    </row>
    <row r="292" spans="1:13" ht="20.399999999999999">
      <c r="A292" s="685" t="s">
        <v>114</v>
      </c>
      <c r="B292" s="28"/>
      <c r="C292" s="676" t="s">
        <v>412</v>
      </c>
      <c r="D292" s="56"/>
      <c r="E292" s="56"/>
      <c r="F292" s="56"/>
      <c r="G292" s="56"/>
      <c r="H292" s="56"/>
      <c r="I292" s="56"/>
      <c r="J292" s="56"/>
      <c r="K292" s="56"/>
      <c r="L292" s="56"/>
      <c r="M292" s="219"/>
    </row>
    <row r="293" spans="1:13" ht="20.399999999999999">
      <c r="A293" s="685"/>
      <c r="B293" s="28"/>
      <c r="C293" s="676" t="s">
        <v>413</v>
      </c>
      <c r="D293" s="56"/>
      <c r="E293" s="56"/>
      <c r="F293" s="56"/>
      <c r="G293" s="56"/>
      <c r="H293" s="56"/>
      <c r="I293" s="56"/>
      <c r="J293" s="56"/>
      <c r="K293" s="56"/>
      <c r="L293" s="56"/>
      <c r="M293" s="219"/>
    </row>
    <row r="294" spans="1:13" ht="20.399999999999999">
      <c r="A294" s="685" t="s">
        <v>115</v>
      </c>
      <c r="B294" s="28"/>
      <c r="C294" s="676" t="s">
        <v>352</v>
      </c>
      <c r="D294" s="56"/>
      <c r="E294" s="56"/>
      <c r="F294" s="56"/>
      <c r="G294" s="56"/>
      <c r="H294" s="56"/>
      <c r="I294" s="56"/>
      <c r="J294" s="56"/>
      <c r="K294" s="56"/>
      <c r="L294" s="56"/>
      <c r="M294" s="219"/>
    </row>
    <row r="295" spans="1:13" ht="20.399999999999999">
      <c r="A295" s="685"/>
      <c r="B295" s="28"/>
      <c r="C295" s="676" t="s">
        <v>311</v>
      </c>
      <c r="D295" s="56"/>
      <c r="E295" s="56"/>
      <c r="F295" s="56"/>
      <c r="G295" s="56"/>
      <c r="H295" s="56"/>
      <c r="I295" s="56"/>
      <c r="J295" s="56"/>
      <c r="K295" s="56"/>
      <c r="L295" s="56"/>
      <c r="M295" s="219"/>
    </row>
    <row r="296" spans="1:13" ht="20.25" customHeight="1">
      <c r="A296" s="685" t="s">
        <v>116</v>
      </c>
      <c r="B296" s="28"/>
      <c r="C296" s="676" t="s">
        <v>119</v>
      </c>
      <c r="D296" s="56"/>
      <c r="E296" s="56"/>
      <c r="F296" s="56"/>
      <c r="G296" s="56"/>
      <c r="H296" s="56"/>
      <c r="I296" s="56"/>
      <c r="J296" s="56"/>
      <c r="K296" s="56"/>
      <c r="L296" s="56"/>
      <c r="M296" s="56"/>
    </row>
    <row r="297" spans="1:13" ht="20.25" customHeight="1">
      <c r="A297" s="685" t="s">
        <v>153</v>
      </c>
      <c r="C297" s="675" t="s">
        <v>302</v>
      </c>
      <c r="D297" s="62"/>
      <c r="E297" s="62"/>
      <c r="F297" s="62"/>
      <c r="G297" s="62"/>
      <c r="H297" s="62"/>
      <c r="I297" s="62"/>
      <c r="J297" s="62"/>
      <c r="K297" s="62"/>
      <c r="L297" s="62"/>
      <c r="M297" s="62"/>
    </row>
    <row r="298" spans="1:13" ht="20.25" customHeight="1">
      <c r="A298" s="700" t="s">
        <v>154</v>
      </c>
      <c r="C298" s="678" t="s">
        <v>698</v>
      </c>
      <c r="D298" s="221"/>
      <c r="E298" s="62"/>
      <c r="F298" s="62"/>
      <c r="G298" s="62"/>
      <c r="H298" s="62"/>
      <c r="I298" s="62"/>
      <c r="J298" s="62"/>
      <c r="K298" s="62"/>
      <c r="L298" s="62"/>
      <c r="M298" s="62"/>
    </row>
    <row r="299" spans="1:13" ht="20.25" customHeight="1">
      <c r="C299" s="678" t="s">
        <v>769</v>
      </c>
      <c r="D299" s="62"/>
      <c r="E299" s="62"/>
      <c r="F299" s="62"/>
      <c r="G299" s="62"/>
      <c r="H299" s="62"/>
      <c r="I299" s="62"/>
      <c r="J299" s="62"/>
      <c r="K299" s="62"/>
      <c r="L299" s="62"/>
      <c r="M299" s="222"/>
    </row>
    <row r="300" spans="1:13" ht="20.25" customHeight="1">
      <c r="C300" s="678" t="s">
        <v>377</v>
      </c>
      <c r="D300" s="62"/>
      <c r="E300" s="221"/>
      <c r="F300" s="62"/>
      <c r="G300" s="62"/>
      <c r="H300" s="62"/>
      <c r="I300" s="62"/>
      <c r="J300" s="62"/>
      <c r="K300" s="62"/>
      <c r="L300" s="62"/>
      <c r="M300" s="222"/>
    </row>
    <row r="301" spans="1:13" ht="20.25" customHeight="1">
      <c r="C301" s="678" t="s">
        <v>354</v>
      </c>
      <c r="D301" s="62"/>
      <c r="E301" s="221"/>
      <c r="F301" s="62"/>
      <c r="G301" s="62"/>
      <c r="H301" s="62"/>
      <c r="I301" s="62"/>
      <c r="J301" s="62"/>
      <c r="K301" s="62"/>
      <c r="L301" s="62"/>
      <c r="M301" s="222"/>
    </row>
    <row r="302" spans="1:13" ht="17.399999999999999">
      <c r="A302" s="688"/>
      <c r="C302" s="679"/>
      <c r="D302" s="26"/>
      <c r="E302" s="27"/>
      <c r="F302" s="26"/>
      <c r="G302" s="26"/>
      <c r="H302" s="26"/>
      <c r="I302" s="28"/>
      <c r="J302" s="73" t="s">
        <v>306</v>
      </c>
      <c r="K302" s="84"/>
      <c r="M302" s="84"/>
    </row>
    <row r="303" spans="1:13">
      <c r="C303" s="679"/>
      <c r="D303" s="26"/>
      <c r="E303" s="27"/>
      <c r="F303" s="26"/>
      <c r="G303" s="26"/>
      <c r="H303" s="26"/>
      <c r="I303" s="28"/>
      <c r="J303" s="73" t="s">
        <v>416</v>
      </c>
      <c r="M303" s="73"/>
    </row>
    <row r="304" spans="1:13">
      <c r="C304" s="679"/>
      <c r="D304" s="26"/>
      <c r="E304" s="27"/>
      <c r="F304" s="26"/>
      <c r="G304" s="26"/>
      <c r="H304" s="26"/>
      <c r="I304" s="28"/>
      <c r="J304" s="73"/>
      <c r="M304" s="73"/>
    </row>
    <row r="305" spans="1:13">
      <c r="C305" s="679"/>
      <c r="D305" s="26"/>
      <c r="E305" s="27"/>
      <c r="F305" s="26"/>
      <c r="G305" s="26"/>
      <c r="H305" s="26"/>
      <c r="I305" s="28"/>
      <c r="M305" s="73"/>
    </row>
    <row r="306" spans="1:13">
      <c r="C306" s="679"/>
      <c r="D306" s="26"/>
      <c r="E306" s="27"/>
      <c r="F306" s="26"/>
      <c r="G306" s="26"/>
      <c r="H306" s="26"/>
      <c r="I306" s="28"/>
      <c r="K306" s="1"/>
      <c r="M306" s="73"/>
    </row>
    <row r="307" spans="1:13">
      <c r="C307" s="679"/>
      <c r="D307" s="26"/>
      <c r="E307" s="27"/>
      <c r="F307" s="26"/>
      <c r="G307" s="26"/>
      <c r="H307" s="26"/>
      <c r="I307" s="28"/>
      <c r="J307" s="73"/>
      <c r="K307" s="1"/>
      <c r="M307" s="73"/>
    </row>
    <row r="308" spans="1:13">
      <c r="C308" s="679" t="s">
        <v>6</v>
      </c>
      <c r="D308" s="26"/>
      <c r="E308" s="27"/>
      <c r="F308" s="26"/>
      <c r="G308" s="26"/>
      <c r="H308" s="26"/>
      <c r="I308" s="28"/>
      <c r="J308" s="85" t="str">
        <f>$J$7</f>
        <v>For the 12 months ended: 12/31/2018</v>
      </c>
      <c r="K308" s="1"/>
      <c r="M308" s="73"/>
    </row>
    <row r="309" spans="1:13">
      <c r="A309" s="689" t="str">
        <f>$A$8</f>
        <v>Rate Formula Template</v>
      </c>
      <c r="B309" s="105"/>
      <c r="C309" s="680"/>
      <c r="D309" s="240"/>
      <c r="E309" s="105"/>
      <c r="F309" s="240"/>
      <c r="G309" s="240"/>
      <c r="H309" s="240"/>
      <c r="I309" s="240"/>
      <c r="J309" s="105"/>
      <c r="K309" s="28"/>
      <c r="L309" s="105"/>
      <c r="M309" s="1"/>
    </row>
    <row r="310" spans="1:13">
      <c r="A310" s="690" t="s">
        <v>277</v>
      </c>
      <c r="B310" s="105"/>
      <c r="C310" s="681"/>
      <c r="D310" s="242"/>
      <c r="E310" s="105"/>
      <c r="F310" s="242"/>
      <c r="G310" s="242"/>
      <c r="H310" s="242"/>
      <c r="I310" s="240"/>
      <c r="J310" s="240"/>
      <c r="K310" s="28"/>
      <c r="L310" s="243"/>
      <c r="M310" s="1"/>
    </row>
    <row r="311" spans="1:13">
      <c r="A311" s="690"/>
      <c r="B311" s="105"/>
      <c r="C311" s="682"/>
      <c r="D311" s="243"/>
      <c r="E311" s="105"/>
      <c r="F311" s="243"/>
      <c r="G311" s="243"/>
      <c r="H311" s="243"/>
      <c r="I311" s="243"/>
      <c r="J311" s="243"/>
      <c r="K311" s="28"/>
      <c r="L311" s="243"/>
      <c r="M311" s="28"/>
    </row>
    <row r="312" spans="1:13" ht="15.6">
      <c r="A312" s="851" t="str">
        <f>$A$11</f>
        <v>DUKE ENERGY OHIO (DEO)</v>
      </c>
      <c r="B312" s="105"/>
      <c r="C312" s="682"/>
      <c r="D312" s="243"/>
      <c r="E312" s="105"/>
      <c r="F312" s="243"/>
      <c r="G312" s="243"/>
      <c r="H312" s="243"/>
      <c r="I312" s="243"/>
      <c r="J312" s="243"/>
      <c r="K312" s="28"/>
      <c r="L312" s="243"/>
      <c r="M312" s="28"/>
    </row>
    <row r="313" spans="1:13">
      <c r="A313" s="685"/>
      <c r="B313" s="28"/>
      <c r="C313" s="683"/>
      <c r="D313" s="29"/>
      <c r="E313" s="5"/>
      <c r="F313" s="5"/>
      <c r="G313" s="5"/>
      <c r="H313" s="5"/>
      <c r="I313" s="28"/>
      <c r="J313" s="217"/>
      <c r="K313" s="28"/>
      <c r="L313" s="216"/>
      <c r="M313" s="28"/>
    </row>
    <row r="314" spans="1:13" ht="20.399999999999999">
      <c r="A314" s="685"/>
      <c r="B314" s="28"/>
      <c r="C314" s="679" t="s">
        <v>93</v>
      </c>
      <c r="D314" s="29"/>
      <c r="E314" s="5"/>
      <c r="F314" s="5"/>
      <c r="G314" s="5"/>
      <c r="H314" s="5"/>
      <c r="I314" s="28"/>
      <c r="J314" s="5"/>
      <c r="K314" s="28"/>
      <c r="L314" s="5"/>
      <c r="M314" s="218"/>
    </row>
    <row r="315" spans="1:13" ht="20.399999999999999">
      <c r="A315" s="685"/>
      <c r="B315" s="28"/>
      <c r="C315" s="679" t="s">
        <v>611</v>
      </c>
      <c r="D315" s="28"/>
      <c r="E315" s="5"/>
      <c r="F315" s="5"/>
      <c r="G315" s="5"/>
      <c r="H315" s="5"/>
      <c r="I315" s="28"/>
      <c r="J315" s="5"/>
      <c r="K315" s="28"/>
      <c r="L315" s="5"/>
      <c r="M315" s="218"/>
    </row>
    <row r="316" spans="1:13" ht="20.399999999999999">
      <c r="A316" s="694" t="s">
        <v>610</v>
      </c>
      <c r="B316" s="28"/>
      <c r="C316" s="679"/>
      <c r="D316" s="28"/>
      <c r="E316" s="5"/>
      <c r="F316" s="5"/>
      <c r="G316" s="5"/>
      <c r="H316" s="5"/>
      <c r="I316" s="28"/>
      <c r="J316" s="5"/>
      <c r="K316" s="28"/>
      <c r="L316" s="5"/>
      <c r="M316" s="218"/>
    </row>
    <row r="317" spans="1:13" ht="20.25" customHeight="1">
      <c r="A317" s="700" t="s">
        <v>174</v>
      </c>
      <c r="C317" s="678" t="s">
        <v>630</v>
      </c>
      <c r="D317" s="1"/>
      <c r="E317" s="1"/>
      <c r="F317" s="1"/>
      <c r="G317" s="1"/>
      <c r="H317" s="1"/>
      <c r="I317" s="1"/>
      <c r="J317" s="1"/>
      <c r="K317" s="1"/>
      <c r="L317" s="1"/>
      <c r="M317" s="223"/>
    </row>
    <row r="318" spans="1:13" ht="20.25" customHeight="1">
      <c r="A318" s="700"/>
      <c r="C318" s="678" t="s">
        <v>631</v>
      </c>
      <c r="D318" s="1"/>
      <c r="E318" s="1"/>
      <c r="F318" s="1"/>
      <c r="G318" s="1"/>
      <c r="H318" s="1"/>
      <c r="I318" s="1"/>
      <c r="J318" s="1"/>
      <c r="K318" s="1"/>
      <c r="L318" s="1"/>
      <c r="M318" s="223"/>
    </row>
    <row r="319" spans="1:13" ht="20.25" customHeight="1">
      <c r="A319" s="700"/>
      <c r="C319" s="678" t="s">
        <v>414</v>
      </c>
      <c r="D319" s="1"/>
      <c r="E319" s="1"/>
      <c r="F319" s="1"/>
      <c r="G319" s="1"/>
      <c r="H319" s="1"/>
      <c r="I319" s="1"/>
      <c r="J319" s="1"/>
      <c r="K319" s="1"/>
      <c r="L319" s="1"/>
      <c r="M319" s="223"/>
    </row>
    <row r="320" spans="1:13" ht="20.25" customHeight="1">
      <c r="A320" s="700" t="s">
        <v>3</v>
      </c>
      <c r="C320" s="524" t="s">
        <v>602</v>
      </c>
      <c r="D320" s="1"/>
      <c r="E320" s="1"/>
      <c r="F320" s="1"/>
      <c r="G320" s="1"/>
      <c r="H320" s="1"/>
      <c r="I320" s="1"/>
      <c r="J320" s="1"/>
      <c r="K320" s="1"/>
      <c r="L320" s="1"/>
      <c r="M320" s="223"/>
    </row>
    <row r="321" spans="1:13" ht="20.25" customHeight="1">
      <c r="A321" s="700" t="s">
        <v>376</v>
      </c>
      <c r="C321" s="524" t="s">
        <v>615</v>
      </c>
      <c r="D321" s="1"/>
      <c r="E321" s="1"/>
      <c r="F321" s="1"/>
      <c r="G321" s="1"/>
      <c r="H321" s="1"/>
      <c r="I321" s="1"/>
      <c r="J321" s="1"/>
      <c r="K321" s="1"/>
      <c r="L321" s="1"/>
      <c r="M321" s="223"/>
    </row>
    <row r="322" spans="1:13" s="596" customFormat="1" ht="20.25" customHeight="1">
      <c r="A322" s="700"/>
      <c r="C322" s="524" t="s">
        <v>616</v>
      </c>
      <c r="D322" s="566"/>
      <c r="E322" s="566"/>
      <c r="F322" s="566"/>
      <c r="G322" s="566"/>
      <c r="H322" s="566"/>
      <c r="I322" s="566"/>
      <c r="J322" s="566"/>
      <c r="K322" s="566"/>
      <c r="L322" s="566"/>
      <c r="M322" s="223"/>
    </row>
    <row r="323" spans="1:13" ht="20.25" customHeight="1">
      <c r="A323" s="700" t="s">
        <v>478</v>
      </c>
      <c r="C323" s="526" t="s">
        <v>554</v>
      </c>
      <c r="D323" s="1"/>
      <c r="E323" s="1"/>
      <c r="F323" s="1"/>
      <c r="G323" s="1"/>
      <c r="H323" s="1"/>
      <c r="I323" s="1"/>
      <c r="J323" s="1"/>
      <c r="K323" s="1"/>
      <c r="L323" s="1"/>
      <c r="M323" s="223"/>
    </row>
    <row r="324" spans="1:13" ht="20.25" customHeight="1">
      <c r="C324" s="526" t="s">
        <v>555</v>
      </c>
      <c r="D324" s="1"/>
      <c r="E324" s="1"/>
      <c r="F324" s="1"/>
      <c r="G324" s="1"/>
      <c r="H324" s="1"/>
      <c r="I324" s="1"/>
      <c r="J324" s="1"/>
      <c r="K324" s="1"/>
      <c r="L324" s="1"/>
      <c r="M324" s="223"/>
    </row>
    <row r="325" spans="1:13" s="550" customFormat="1" ht="20.25" customHeight="1">
      <c r="A325" s="701" t="s">
        <v>479</v>
      </c>
      <c r="C325" s="677" t="s">
        <v>557</v>
      </c>
      <c r="D325" s="549"/>
      <c r="E325" s="549"/>
      <c r="F325" s="549"/>
      <c r="G325" s="549"/>
      <c r="H325" s="549"/>
      <c r="I325" s="549"/>
      <c r="J325" s="549"/>
      <c r="K325" s="549"/>
      <c r="L325" s="549"/>
      <c r="M325" s="222"/>
    </row>
    <row r="326" spans="1:13" s="550" customFormat="1" ht="20.25" customHeight="1">
      <c r="A326" s="701"/>
      <c r="C326" s="677" t="s">
        <v>558</v>
      </c>
      <c r="M326" s="610"/>
    </row>
    <row r="327" spans="1:13" s="550" customFormat="1" ht="20.25" customHeight="1">
      <c r="A327" s="701" t="s">
        <v>581</v>
      </c>
      <c r="C327" s="677" t="s">
        <v>505</v>
      </c>
      <c r="M327" s="610"/>
    </row>
    <row r="328" spans="1:13" s="550" customFormat="1" ht="20.25" customHeight="1">
      <c r="A328" s="692"/>
      <c r="C328" s="678" t="s">
        <v>506</v>
      </c>
      <c r="M328" s="610"/>
    </row>
    <row r="329" spans="1:13" s="569" customFormat="1">
      <c r="A329" s="687"/>
      <c r="M329" s="75"/>
    </row>
    <row r="330" spans="1:13" ht="17.399999999999999">
      <c r="C330" s="550" t="s">
        <v>404</v>
      </c>
      <c r="D330" s="550"/>
      <c r="E330" s="550"/>
      <c r="F330" s="550"/>
      <c r="G330" s="550"/>
      <c r="H330" s="550"/>
      <c r="I330" s="550"/>
      <c r="J330" s="550"/>
      <c r="K330" s="550"/>
      <c r="L330" s="550"/>
      <c r="M330" s="75"/>
    </row>
    <row r="331" spans="1:13">
      <c r="C331" s="550" t="s">
        <v>681</v>
      </c>
      <c r="D331" s="550"/>
      <c r="E331" s="550"/>
      <c r="F331" s="550"/>
      <c r="G331" s="550"/>
      <c r="H331" s="550"/>
      <c r="I331" s="550"/>
      <c r="J331" s="550"/>
      <c r="K331" s="550"/>
      <c r="L331" s="550"/>
      <c r="M331" s="75"/>
    </row>
    <row r="332" spans="1:13">
      <c r="M332" s="75"/>
    </row>
    <row r="333" spans="1:13">
      <c r="M333" s="75"/>
    </row>
    <row r="334" spans="1:13">
      <c r="M334" s="75"/>
    </row>
    <row r="335" spans="1:13">
      <c r="M335" s="75"/>
    </row>
    <row r="336" spans="1:13">
      <c r="C336" s="61"/>
      <c r="M336" s="75"/>
    </row>
    <row r="337" spans="3:13">
      <c r="C337" s="61"/>
      <c r="M337" s="75"/>
    </row>
    <row r="338" spans="3:13">
      <c r="C338" s="61"/>
      <c r="M338" s="75"/>
    </row>
    <row r="339" spans="3:13">
      <c r="C339" s="61"/>
      <c r="M339" s="75"/>
    </row>
    <row r="340" spans="3:13">
      <c r="C340" s="61"/>
      <c r="M340" s="75"/>
    </row>
    <row r="341" spans="3:13">
      <c r="C341" s="61"/>
      <c r="M341" s="75"/>
    </row>
    <row r="342" spans="3:13">
      <c r="M342" s="75"/>
    </row>
    <row r="343" spans="3:13">
      <c r="M343" s="75"/>
    </row>
    <row r="344" spans="3:13">
      <c r="M344" s="75"/>
    </row>
    <row r="345" spans="3:13">
      <c r="M345" s="75"/>
    </row>
    <row r="346" spans="3:13">
      <c r="M346" s="75"/>
    </row>
    <row r="347" spans="3:13">
      <c r="M347" s="75"/>
    </row>
    <row r="348" spans="3:13">
      <c r="M348" s="75"/>
    </row>
    <row r="349" spans="3:13">
      <c r="M349" s="75"/>
    </row>
    <row r="350" spans="3:13">
      <c r="M350" s="75"/>
    </row>
    <row r="351" spans="3:13">
      <c r="M351" s="75"/>
    </row>
    <row r="352" spans="3:13">
      <c r="M352" s="75"/>
    </row>
    <row r="353" spans="13:13">
      <c r="M353" s="75"/>
    </row>
    <row r="354" spans="13:13">
      <c r="M354" s="75"/>
    </row>
    <row r="355" spans="13:13">
      <c r="M355" s="75"/>
    </row>
    <row r="356" spans="13:13">
      <c r="M356" s="75"/>
    </row>
    <row r="357" spans="13:13">
      <c r="M357" s="75"/>
    </row>
    <row r="358" spans="13:13">
      <c r="M358" s="75"/>
    </row>
    <row r="359" spans="13:13">
      <c r="M359" s="75"/>
    </row>
    <row r="360" spans="13:13">
      <c r="M360" s="75"/>
    </row>
    <row r="361" spans="13:13">
      <c r="M361" s="75"/>
    </row>
    <row r="362" spans="13:13">
      <c r="M362" s="75"/>
    </row>
    <row r="363" spans="13:13">
      <c r="M363" s="75"/>
    </row>
    <row r="364" spans="13:13">
      <c r="M364" s="75"/>
    </row>
    <row r="365" spans="13:13">
      <c r="M365" s="75"/>
    </row>
    <row r="366" spans="13:13">
      <c r="M366" s="75"/>
    </row>
    <row r="367" spans="13:13">
      <c r="M367" s="75"/>
    </row>
    <row r="368" spans="13:13">
      <c r="M368" s="75"/>
    </row>
    <row r="369" spans="3:13">
      <c r="M369" s="75"/>
    </row>
    <row r="370" spans="3:13">
      <c r="M370" s="75"/>
    </row>
    <row r="371" spans="3:13">
      <c r="M371" s="75"/>
    </row>
    <row r="372" spans="3:13">
      <c r="M372" s="75"/>
    </row>
    <row r="373" spans="3:13">
      <c r="M373" s="75"/>
    </row>
    <row r="374" spans="3:13">
      <c r="M374" s="75"/>
    </row>
    <row r="375" spans="3:13">
      <c r="C375" s="75"/>
      <c r="D375" s="75"/>
      <c r="E375" s="75"/>
      <c r="F375" s="75"/>
      <c r="G375" s="75"/>
      <c r="H375" s="75"/>
      <c r="I375" s="75"/>
      <c r="J375" s="75"/>
      <c r="K375" s="75"/>
      <c r="L375" s="75"/>
      <c r="M375" s="75"/>
    </row>
    <row r="376" spans="3:13">
      <c r="C376" s="75"/>
      <c r="D376" s="75"/>
      <c r="E376" s="75"/>
      <c r="F376" s="75"/>
      <c r="G376" s="75"/>
      <c r="H376" s="75"/>
      <c r="I376" s="75"/>
      <c r="J376" s="75"/>
      <c r="K376" s="75"/>
      <c r="L376" s="75"/>
      <c r="M376" s="75"/>
    </row>
    <row r="377" spans="3:13">
      <c r="C377" s="75"/>
      <c r="D377" s="75"/>
      <c r="E377" s="75"/>
      <c r="F377" s="75"/>
      <c r="G377" s="75"/>
      <c r="H377" s="75"/>
      <c r="I377" s="75"/>
      <c r="J377" s="75"/>
      <c r="K377" s="75"/>
      <c r="L377" s="75"/>
      <c r="M377" s="75"/>
    </row>
    <row r="378" spans="3:13">
      <c r="C378" s="75"/>
      <c r="D378" s="75"/>
      <c r="E378" s="75"/>
      <c r="F378" s="75"/>
      <c r="G378" s="75"/>
      <c r="H378" s="75"/>
      <c r="I378" s="75"/>
      <c r="J378" s="75"/>
      <c r="K378" s="75"/>
      <c r="L378" s="75"/>
      <c r="M378" s="75"/>
    </row>
    <row r="379" spans="3:13">
      <c r="C379" s="75"/>
      <c r="D379" s="75"/>
      <c r="E379" s="75"/>
      <c r="F379" s="75"/>
      <c r="G379" s="75"/>
      <c r="H379" s="75"/>
      <c r="I379" s="75"/>
      <c r="J379" s="75"/>
      <c r="K379" s="75"/>
      <c r="L379" s="75"/>
      <c r="M379" s="75"/>
    </row>
    <row r="380" spans="3:13">
      <c r="C380" s="75"/>
      <c r="D380" s="75"/>
      <c r="E380" s="75"/>
      <c r="F380" s="75"/>
      <c r="G380" s="75"/>
      <c r="H380" s="75"/>
      <c r="I380" s="75"/>
      <c r="J380" s="75"/>
      <c r="K380" s="75"/>
      <c r="L380" s="75"/>
      <c r="M380" s="75"/>
    </row>
    <row r="381" spans="3:13">
      <c r="C381" s="75"/>
      <c r="D381" s="75"/>
      <c r="E381" s="75"/>
      <c r="F381" s="75"/>
      <c r="G381" s="75"/>
      <c r="H381" s="75"/>
      <c r="I381" s="75"/>
      <c r="J381" s="75"/>
      <c r="K381" s="75"/>
      <c r="L381" s="75"/>
      <c r="M381" s="75"/>
    </row>
    <row r="382" spans="3:13">
      <c r="C382" s="75"/>
      <c r="D382" s="75"/>
      <c r="E382" s="75"/>
      <c r="F382" s="75"/>
      <c r="G382" s="75"/>
      <c r="H382" s="75"/>
      <c r="I382" s="75"/>
      <c r="J382" s="75"/>
      <c r="K382" s="75"/>
      <c r="L382" s="75"/>
      <c r="M382" s="75"/>
    </row>
    <row r="383" spans="3:13">
      <c r="C383" s="75"/>
      <c r="D383" s="75"/>
      <c r="E383" s="75"/>
      <c r="F383" s="75"/>
      <c r="G383" s="75"/>
      <c r="H383" s="75"/>
      <c r="I383" s="75"/>
      <c r="J383" s="75"/>
      <c r="K383" s="75"/>
      <c r="L383" s="75"/>
      <c r="M383" s="75"/>
    </row>
    <row r="384" spans="3:13">
      <c r="C384" s="75"/>
      <c r="D384" s="75"/>
      <c r="E384" s="75"/>
      <c r="F384" s="75"/>
      <c r="G384" s="75"/>
      <c r="H384" s="75"/>
      <c r="I384" s="75"/>
      <c r="J384" s="75"/>
      <c r="K384" s="75"/>
      <c r="L384" s="75"/>
      <c r="M384" s="75"/>
    </row>
    <row r="385" spans="3:13">
      <c r="C385" s="75"/>
      <c r="D385" s="75"/>
      <c r="E385" s="75"/>
      <c r="F385" s="75"/>
      <c r="G385" s="75"/>
      <c r="H385" s="75"/>
      <c r="I385" s="75"/>
      <c r="J385" s="75"/>
      <c r="K385" s="75"/>
      <c r="L385" s="75"/>
      <c r="M385" s="75"/>
    </row>
    <row r="386" spans="3:13">
      <c r="C386" s="75"/>
      <c r="D386" s="75"/>
      <c r="E386" s="75"/>
      <c r="F386" s="75"/>
      <c r="G386" s="75"/>
      <c r="H386" s="75"/>
      <c r="I386" s="75"/>
      <c r="J386" s="75"/>
      <c r="K386" s="75"/>
      <c r="L386" s="75"/>
      <c r="M386" s="75"/>
    </row>
    <row r="387" spans="3:13">
      <c r="C387" s="75"/>
      <c r="D387" s="75"/>
      <c r="E387" s="75"/>
      <c r="F387" s="75"/>
      <c r="G387" s="75"/>
      <c r="H387" s="75"/>
      <c r="I387" s="75"/>
      <c r="J387" s="75"/>
      <c r="K387" s="75"/>
      <c r="L387" s="75"/>
      <c r="M387" s="75"/>
    </row>
    <row r="388" spans="3:13">
      <c r="C388" s="75"/>
      <c r="D388" s="75"/>
      <c r="E388" s="75"/>
      <c r="F388" s="75"/>
      <c r="G388" s="75"/>
      <c r="H388" s="75"/>
      <c r="I388" s="75"/>
      <c r="J388" s="75"/>
      <c r="K388" s="75"/>
      <c r="L388" s="75"/>
      <c r="M388" s="75"/>
    </row>
    <row r="389" spans="3:13">
      <c r="C389" s="75"/>
      <c r="D389" s="75"/>
      <c r="E389" s="75"/>
      <c r="F389" s="75"/>
      <c r="G389" s="75"/>
      <c r="H389" s="75"/>
      <c r="I389" s="75"/>
      <c r="J389" s="75"/>
      <c r="K389" s="75"/>
      <c r="L389" s="75"/>
      <c r="M389" s="75"/>
    </row>
    <row r="390" spans="3:13">
      <c r="C390" s="75"/>
      <c r="D390" s="75"/>
      <c r="E390" s="75"/>
      <c r="F390" s="75"/>
      <c r="G390" s="75"/>
      <c r="H390" s="75"/>
      <c r="I390" s="75"/>
      <c r="J390" s="75"/>
      <c r="K390" s="75"/>
      <c r="L390" s="75"/>
      <c r="M390" s="75"/>
    </row>
    <row r="391" spans="3:13">
      <c r="C391" s="75"/>
      <c r="D391" s="75"/>
      <c r="E391" s="75"/>
      <c r="F391" s="75"/>
      <c r="G391" s="75"/>
      <c r="H391" s="75"/>
      <c r="I391" s="75"/>
      <c r="J391" s="75"/>
      <c r="K391" s="75"/>
      <c r="L391" s="75"/>
      <c r="M391" s="75"/>
    </row>
    <row r="392" spans="3:13">
      <c r="C392" s="75"/>
      <c r="D392" s="75"/>
      <c r="E392" s="75"/>
      <c r="F392" s="75"/>
      <c r="G392" s="75"/>
      <c r="H392" s="75"/>
      <c r="I392" s="75"/>
      <c r="J392" s="75"/>
      <c r="K392" s="75"/>
      <c r="L392" s="75"/>
      <c r="M392" s="75"/>
    </row>
    <row r="393" spans="3:13">
      <c r="C393" s="75"/>
      <c r="D393" s="75"/>
      <c r="E393" s="75"/>
      <c r="F393" s="75"/>
      <c r="G393" s="75"/>
      <c r="H393" s="75"/>
      <c r="I393" s="75"/>
      <c r="J393" s="75"/>
      <c r="K393" s="75"/>
      <c r="L393" s="75"/>
      <c r="M393" s="75"/>
    </row>
    <row r="394" spans="3:13">
      <c r="C394" s="75"/>
      <c r="D394" s="75"/>
      <c r="E394" s="75"/>
      <c r="F394" s="75"/>
      <c r="G394" s="75"/>
      <c r="H394" s="75"/>
      <c r="I394" s="75"/>
      <c r="J394" s="75"/>
      <c r="K394" s="75"/>
      <c r="L394" s="75"/>
      <c r="M394" s="75"/>
    </row>
    <row r="395" spans="3:13">
      <c r="C395" s="75"/>
      <c r="D395" s="75"/>
      <c r="E395" s="75"/>
      <c r="F395" s="75"/>
      <c r="G395" s="75"/>
      <c r="H395" s="75"/>
      <c r="I395" s="75"/>
      <c r="J395" s="75"/>
      <c r="K395" s="75"/>
      <c r="L395" s="75"/>
      <c r="M395" s="75"/>
    </row>
    <row r="396" spans="3:13">
      <c r="C396" s="75"/>
      <c r="D396" s="75"/>
      <c r="E396" s="75"/>
      <c r="F396" s="75"/>
      <c r="G396" s="75"/>
      <c r="H396" s="75"/>
      <c r="I396" s="75"/>
      <c r="J396" s="75"/>
      <c r="K396" s="75"/>
      <c r="L396" s="75"/>
      <c r="M396" s="75"/>
    </row>
    <row r="397" spans="3:13">
      <c r="C397" s="75"/>
      <c r="D397" s="75"/>
      <c r="E397" s="75"/>
      <c r="F397" s="75"/>
      <c r="G397" s="75"/>
      <c r="H397" s="75"/>
      <c r="I397" s="75"/>
      <c r="J397" s="75"/>
      <c r="K397" s="75"/>
      <c r="L397" s="75"/>
      <c r="M397" s="75"/>
    </row>
    <row r="398" spans="3:13">
      <c r="C398" s="75"/>
      <c r="D398" s="75"/>
      <c r="E398" s="75"/>
      <c r="F398" s="75"/>
      <c r="G398" s="75"/>
      <c r="H398" s="75"/>
      <c r="I398" s="75"/>
      <c r="J398" s="75"/>
      <c r="K398" s="75"/>
      <c r="L398" s="75"/>
      <c r="M398" s="75"/>
    </row>
    <row r="399" spans="3:13">
      <c r="C399" s="75"/>
      <c r="D399" s="75"/>
      <c r="E399" s="75"/>
      <c r="F399" s="75"/>
      <c r="G399" s="75"/>
      <c r="H399" s="75"/>
      <c r="I399" s="75"/>
      <c r="J399" s="75"/>
      <c r="K399" s="75"/>
      <c r="L399" s="75"/>
      <c r="M399" s="75"/>
    </row>
    <row r="400" spans="3:13">
      <c r="C400" s="75"/>
      <c r="D400" s="75"/>
      <c r="E400" s="75"/>
      <c r="F400" s="75"/>
      <c r="G400" s="75"/>
      <c r="H400" s="75"/>
      <c r="I400" s="75"/>
      <c r="J400" s="75"/>
      <c r="K400" s="75"/>
      <c r="L400" s="75"/>
      <c r="M400" s="75"/>
    </row>
    <row r="401" spans="3:13">
      <c r="C401" s="75"/>
      <c r="D401" s="75"/>
      <c r="E401" s="75"/>
      <c r="F401" s="75"/>
      <c r="G401" s="75"/>
      <c r="H401" s="75"/>
      <c r="I401" s="75"/>
      <c r="J401" s="75"/>
      <c r="K401" s="75"/>
      <c r="L401" s="75"/>
      <c r="M401" s="75"/>
    </row>
    <row r="402" spans="3:13">
      <c r="C402" s="75"/>
      <c r="D402" s="75"/>
      <c r="E402" s="75"/>
      <c r="F402" s="75"/>
      <c r="G402" s="75"/>
      <c r="H402" s="75"/>
      <c r="I402" s="75"/>
      <c r="J402" s="75"/>
      <c r="K402" s="75"/>
      <c r="L402" s="75"/>
      <c r="M402" s="75"/>
    </row>
    <row r="403" spans="3:13">
      <c r="C403" s="75"/>
      <c r="D403" s="75"/>
      <c r="E403" s="75"/>
      <c r="F403" s="75"/>
      <c r="G403" s="75"/>
      <c r="H403" s="75"/>
      <c r="I403" s="75"/>
      <c r="J403" s="75"/>
      <c r="K403" s="75"/>
      <c r="L403" s="75"/>
      <c r="M403" s="75"/>
    </row>
    <row r="404" spans="3:13">
      <c r="C404" s="75"/>
      <c r="D404" s="75"/>
      <c r="E404" s="75"/>
      <c r="F404" s="75"/>
      <c r="G404" s="75"/>
      <c r="H404" s="75"/>
      <c r="I404" s="75"/>
      <c r="J404" s="75"/>
      <c r="K404" s="75"/>
      <c r="L404" s="75"/>
      <c r="M404" s="75"/>
    </row>
    <row r="405" spans="3:13">
      <c r="C405" s="75"/>
      <c r="D405" s="75"/>
      <c r="E405" s="75"/>
      <c r="F405" s="75"/>
      <c r="G405" s="75"/>
      <c r="H405" s="75"/>
      <c r="I405" s="75"/>
      <c r="J405" s="75"/>
      <c r="K405" s="75"/>
      <c r="L405" s="75"/>
      <c r="M405" s="75"/>
    </row>
    <row r="406" spans="3:13">
      <c r="C406" s="75"/>
      <c r="D406" s="75"/>
      <c r="E406" s="75"/>
      <c r="F406" s="75"/>
      <c r="G406" s="75"/>
      <c r="H406" s="75"/>
      <c r="I406" s="75"/>
      <c r="J406" s="75"/>
      <c r="K406" s="75"/>
      <c r="L406" s="75"/>
      <c r="M406" s="75"/>
    </row>
    <row r="407" spans="3:13">
      <c r="C407" s="75"/>
      <c r="D407" s="75"/>
      <c r="E407" s="75"/>
      <c r="F407" s="75"/>
      <c r="G407" s="75"/>
      <c r="H407" s="75"/>
      <c r="I407" s="75"/>
      <c r="J407" s="75"/>
      <c r="K407" s="75"/>
      <c r="L407" s="75"/>
      <c r="M407" s="75"/>
    </row>
    <row r="408" spans="3:13">
      <c r="C408" s="75"/>
      <c r="D408" s="75"/>
      <c r="E408" s="75"/>
      <c r="F408" s="75"/>
      <c r="G408" s="75"/>
      <c r="H408" s="75"/>
      <c r="I408" s="75"/>
      <c r="J408" s="75"/>
      <c r="K408" s="75"/>
      <c r="L408" s="75"/>
      <c r="M408" s="75"/>
    </row>
    <row r="409" spans="3:13">
      <c r="C409" s="75"/>
      <c r="D409" s="75"/>
      <c r="E409" s="75"/>
      <c r="F409" s="75"/>
      <c r="G409" s="75"/>
      <c r="H409" s="75"/>
      <c r="I409" s="75"/>
      <c r="J409" s="75"/>
      <c r="K409" s="75"/>
      <c r="L409" s="75"/>
      <c r="M409" s="75"/>
    </row>
    <row r="410" spans="3:13">
      <c r="C410" s="75"/>
      <c r="D410" s="75"/>
      <c r="E410" s="75"/>
      <c r="F410" s="75"/>
      <c r="G410" s="75"/>
      <c r="H410" s="75"/>
      <c r="I410" s="75"/>
      <c r="J410" s="75"/>
      <c r="K410" s="75"/>
      <c r="L410" s="75"/>
      <c r="M410" s="75"/>
    </row>
    <row r="411" spans="3:13">
      <c r="C411" s="75"/>
      <c r="D411" s="75"/>
      <c r="E411" s="75"/>
      <c r="F411" s="75"/>
      <c r="G411" s="75"/>
      <c r="H411" s="75"/>
      <c r="I411" s="75"/>
      <c r="J411" s="75"/>
      <c r="K411" s="75"/>
      <c r="L411" s="75"/>
      <c r="M411" s="75"/>
    </row>
    <row r="412" spans="3:13">
      <c r="C412" s="75"/>
      <c r="D412" s="75"/>
      <c r="E412" s="75"/>
      <c r="F412" s="75"/>
      <c r="G412" s="75"/>
      <c r="H412" s="75"/>
      <c r="I412" s="75"/>
      <c r="J412" s="75"/>
      <c r="K412" s="75"/>
      <c r="L412" s="75"/>
      <c r="M412" s="75"/>
    </row>
    <row r="413" spans="3:13">
      <c r="C413" s="75"/>
      <c r="D413" s="75"/>
      <c r="E413" s="75"/>
      <c r="F413" s="75"/>
      <c r="G413" s="75"/>
      <c r="H413" s="75"/>
      <c r="I413" s="75"/>
      <c r="J413" s="75"/>
      <c r="K413" s="75"/>
      <c r="L413" s="75"/>
      <c r="M413" s="75"/>
    </row>
    <row r="414" spans="3:13">
      <c r="C414" s="75"/>
      <c r="D414" s="75"/>
      <c r="E414" s="75"/>
      <c r="F414" s="75"/>
      <c r="G414" s="75"/>
      <c r="H414" s="75"/>
      <c r="I414" s="75"/>
      <c r="J414" s="75"/>
      <c r="K414" s="75"/>
      <c r="L414" s="75"/>
      <c r="M414" s="75"/>
    </row>
    <row r="415" spans="3:13">
      <c r="C415" s="75"/>
      <c r="D415" s="75"/>
      <c r="E415" s="75"/>
      <c r="F415" s="75"/>
      <c r="G415" s="75"/>
      <c r="H415" s="75"/>
      <c r="I415" s="75"/>
      <c r="J415" s="75"/>
      <c r="K415" s="75"/>
      <c r="L415" s="75"/>
      <c r="M415" s="75"/>
    </row>
    <row r="416" spans="3:13">
      <c r="C416" s="75"/>
      <c r="D416" s="75"/>
      <c r="E416" s="75"/>
      <c r="F416" s="75"/>
      <c r="G416" s="75"/>
      <c r="H416" s="75"/>
      <c r="I416" s="75"/>
      <c r="J416" s="75"/>
      <c r="K416" s="75"/>
      <c r="L416" s="75"/>
      <c r="M416" s="75"/>
    </row>
    <row r="417" spans="3:13">
      <c r="C417" s="75"/>
      <c r="D417" s="75"/>
      <c r="E417" s="75"/>
      <c r="F417" s="75"/>
      <c r="G417" s="75"/>
      <c r="H417" s="75"/>
      <c r="I417" s="75"/>
      <c r="J417" s="75"/>
      <c r="K417" s="75"/>
      <c r="L417" s="75"/>
      <c r="M417" s="75"/>
    </row>
    <row r="418" spans="3:13">
      <c r="C418" s="75"/>
      <c r="D418" s="75"/>
      <c r="E418" s="75"/>
      <c r="F418" s="75"/>
      <c r="G418" s="75"/>
      <c r="H418" s="75"/>
      <c r="I418" s="75"/>
      <c r="J418" s="75"/>
      <c r="K418" s="75"/>
      <c r="L418" s="75"/>
      <c r="M418" s="75"/>
    </row>
    <row r="419" spans="3:13">
      <c r="C419" s="75"/>
      <c r="D419" s="75"/>
      <c r="E419" s="75"/>
      <c r="F419" s="75"/>
      <c r="G419" s="75"/>
      <c r="H419" s="75"/>
      <c r="I419" s="75"/>
      <c r="J419" s="75"/>
      <c r="K419" s="75"/>
      <c r="L419" s="75"/>
      <c r="M419" s="75"/>
    </row>
    <row r="420" spans="3:13">
      <c r="C420" s="75"/>
      <c r="D420" s="75"/>
      <c r="E420" s="75"/>
      <c r="F420" s="75"/>
      <c r="G420" s="75"/>
      <c r="H420" s="75"/>
      <c r="I420" s="75"/>
      <c r="J420" s="75"/>
      <c r="K420" s="75"/>
      <c r="L420" s="75"/>
      <c r="M420" s="75"/>
    </row>
    <row r="421" spans="3:13">
      <c r="C421" s="75"/>
      <c r="D421" s="75"/>
      <c r="E421" s="75"/>
      <c r="F421" s="75"/>
      <c r="G421" s="75"/>
      <c r="H421" s="75"/>
      <c r="I421" s="75"/>
      <c r="J421" s="75"/>
      <c r="K421" s="75"/>
      <c r="L421" s="75"/>
      <c r="M421" s="75"/>
    </row>
    <row r="422" spans="3:13">
      <c r="C422" s="75"/>
      <c r="D422" s="75"/>
      <c r="E422" s="75"/>
      <c r="F422" s="75"/>
      <c r="G422" s="75"/>
      <c r="H422" s="75"/>
      <c r="I422" s="75"/>
      <c r="J422" s="75"/>
      <c r="K422" s="75"/>
      <c r="L422" s="75"/>
      <c r="M422" s="75"/>
    </row>
    <row r="423" spans="3:13">
      <c r="C423" s="75"/>
      <c r="D423" s="75"/>
      <c r="E423" s="75"/>
      <c r="F423" s="75"/>
      <c r="G423" s="75"/>
      <c r="H423" s="75"/>
      <c r="I423" s="75"/>
      <c r="J423" s="75"/>
      <c r="K423" s="75"/>
      <c r="L423" s="75"/>
      <c r="M423" s="75"/>
    </row>
    <row r="424" spans="3:13">
      <c r="C424" s="75"/>
      <c r="D424" s="75"/>
      <c r="E424" s="75"/>
      <c r="F424" s="75"/>
      <c r="G424" s="75"/>
      <c r="H424" s="75"/>
      <c r="I424" s="75"/>
      <c r="J424" s="75"/>
      <c r="K424" s="75"/>
      <c r="L424" s="75"/>
      <c r="M424" s="75"/>
    </row>
    <row r="425" spans="3:13">
      <c r="C425" s="75"/>
      <c r="D425" s="75"/>
      <c r="E425" s="75"/>
      <c r="F425" s="75"/>
      <c r="G425" s="75"/>
      <c r="H425" s="75"/>
      <c r="I425" s="75"/>
      <c r="J425" s="75"/>
      <c r="K425" s="75"/>
      <c r="L425" s="75"/>
      <c r="M425" s="75"/>
    </row>
    <row r="426" spans="3:13">
      <c r="C426" s="75"/>
      <c r="D426" s="75"/>
      <c r="E426" s="75"/>
      <c r="F426" s="75"/>
      <c r="G426" s="75"/>
      <c r="H426" s="75"/>
      <c r="I426" s="75"/>
      <c r="J426" s="75"/>
      <c r="K426" s="75"/>
      <c r="L426" s="75"/>
      <c r="M426" s="75"/>
    </row>
    <row r="427" spans="3:13">
      <c r="C427" s="75"/>
      <c r="D427" s="75"/>
      <c r="E427" s="75"/>
      <c r="F427" s="75"/>
      <c r="G427" s="75"/>
      <c r="H427" s="75"/>
      <c r="I427" s="75"/>
      <c r="J427" s="75"/>
      <c r="K427" s="75"/>
      <c r="L427" s="75"/>
      <c r="M427" s="75"/>
    </row>
    <row r="428" spans="3:13">
      <c r="C428" s="75"/>
      <c r="D428" s="75"/>
      <c r="E428" s="75"/>
      <c r="F428" s="75"/>
      <c r="G428" s="75"/>
      <c r="H428" s="75"/>
      <c r="I428" s="75"/>
      <c r="J428" s="75"/>
      <c r="K428" s="75"/>
      <c r="L428" s="75"/>
      <c r="M428" s="75"/>
    </row>
    <row r="429" spans="3:13">
      <c r="C429" s="75"/>
      <c r="D429" s="75"/>
      <c r="E429" s="75"/>
      <c r="F429" s="75"/>
      <c r="G429" s="75"/>
      <c r="H429" s="75"/>
      <c r="I429" s="75"/>
      <c r="J429" s="75"/>
      <c r="K429" s="75"/>
      <c r="L429" s="75"/>
      <c r="M429" s="75"/>
    </row>
    <row r="430" spans="3:13">
      <c r="C430" s="75"/>
      <c r="D430" s="75"/>
      <c r="E430" s="75"/>
      <c r="F430" s="75"/>
      <c r="G430" s="75"/>
      <c r="H430" s="75"/>
      <c r="I430" s="75"/>
      <c r="J430" s="75"/>
      <c r="K430" s="75"/>
      <c r="L430" s="75"/>
      <c r="M430" s="75"/>
    </row>
    <row r="431" spans="3:13">
      <c r="C431" s="75"/>
      <c r="D431" s="75"/>
      <c r="E431" s="75"/>
      <c r="F431" s="75"/>
      <c r="G431" s="75"/>
      <c r="H431" s="75"/>
      <c r="I431" s="75"/>
      <c r="J431" s="75"/>
      <c r="K431" s="75"/>
      <c r="L431" s="75"/>
      <c r="M431" s="75"/>
    </row>
    <row r="432" spans="3:13">
      <c r="C432" s="75"/>
      <c r="D432" s="75"/>
      <c r="E432" s="75"/>
      <c r="F432" s="75"/>
      <c r="G432" s="75"/>
      <c r="H432" s="75"/>
      <c r="I432" s="75"/>
      <c r="J432" s="75"/>
      <c r="K432" s="75"/>
      <c r="L432" s="75"/>
      <c r="M432" s="75"/>
    </row>
    <row r="433" spans="3:13">
      <c r="C433" s="75"/>
      <c r="D433" s="75"/>
      <c r="E433" s="75"/>
      <c r="F433" s="75"/>
      <c r="G433" s="75"/>
      <c r="H433" s="75"/>
      <c r="I433" s="75"/>
      <c r="J433" s="75"/>
      <c r="K433" s="75"/>
      <c r="L433" s="75"/>
      <c r="M433" s="75"/>
    </row>
    <row r="434" spans="3:13">
      <c r="C434" s="75"/>
      <c r="D434" s="75"/>
      <c r="E434" s="75"/>
      <c r="F434" s="75"/>
      <c r="G434" s="75"/>
      <c r="H434" s="75"/>
      <c r="I434" s="75"/>
      <c r="J434" s="75"/>
      <c r="K434" s="75"/>
      <c r="L434" s="75"/>
      <c r="M434" s="75"/>
    </row>
    <row r="435" spans="3:13">
      <c r="C435" s="75"/>
      <c r="D435" s="75"/>
      <c r="E435" s="75"/>
      <c r="F435" s="75"/>
      <c r="G435" s="75"/>
      <c r="H435" s="75"/>
      <c r="I435" s="75"/>
      <c r="J435" s="75"/>
      <c r="K435" s="75"/>
      <c r="L435" s="75"/>
      <c r="M435" s="75"/>
    </row>
    <row r="436" spans="3:13">
      <c r="C436" s="75"/>
      <c r="D436" s="75"/>
      <c r="E436" s="75"/>
      <c r="F436" s="75"/>
      <c r="G436" s="75"/>
      <c r="H436" s="75"/>
      <c r="I436" s="75"/>
      <c r="J436" s="75"/>
      <c r="K436" s="75"/>
      <c r="L436" s="75"/>
      <c r="M436" s="75"/>
    </row>
    <row r="437" spans="3:13">
      <c r="C437" s="75"/>
      <c r="D437" s="75"/>
      <c r="E437" s="75"/>
      <c r="F437" s="75"/>
      <c r="G437" s="75"/>
      <c r="H437" s="75"/>
      <c r="I437" s="75"/>
      <c r="J437" s="75"/>
      <c r="K437" s="75"/>
      <c r="L437" s="75"/>
      <c r="M437" s="75"/>
    </row>
    <row r="438" spans="3:13">
      <c r="C438" s="75"/>
      <c r="D438" s="75"/>
      <c r="E438" s="75"/>
      <c r="F438" s="75"/>
      <c r="G438" s="75"/>
      <c r="H438" s="75"/>
      <c r="I438" s="75"/>
      <c r="J438" s="75"/>
      <c r="K438" s="75"/>
      <c r="L438" s="75"/>
      <c r="M438" s="75"/>
    </row>
    <row r="439" spans="3:13">
      <c r="C439" s="75"/>
      <c r="D439" s="75"/>
      <c r="E439" s="75"/>
      <c r="F439" s="75"/>
      <c r="G439" s="75"/>
      <c r="H439" s="75"/>
      <c r="I439" s="75"/>
      <c r="J439" s="75"/>
      <c r="K439" s="75"/>
      <c r="L439" s="75"/>
      <c r="M439" s="75"/>
    </row>
    <row r="440" spans="3:13">
      <c r="C440" s="75"/>
      <c r="D440" s="75"/>
      <c r="E440" s="75"/>
      <c r="F440" s="75"/>
      <c r="G440" s="75"/>
      <c r="H440" s="75"/>
      <c r="I440" s="75"/>
      <c r="J440" s="75"/>
      <c r="K440" s="75"/>
      <c r="L440" s="75"/>
      <c r="M440" s="75"/>
    </row>
    <row r="441" spans="3:13">
      <c r="C441" s="75"/>
      <c r="D441" s="75"/>
      <c r="E441" s="75"/>
      <c r="F441" s="75"/>
      <c r="G441" s="75"/>
      <c r="H441" s="75"/>
      <c r="I441" s="75"/>
      <c r="J441" s="75"/>
      <c r="K441" s="75"/>
      <c r="L441" s="75"/>
      <c r="M441" s="75"/>
    </row>
    <row r="442" spans="3:13">
      <c r="C442" s="75"/>
      <c r="D442" s="75"/>
      <c r="E442" s="75"/>
      <c r="F442" s="75"/>
      <c r="G442" s="75"/>
      <c r="H442" s="75"/>
      <c r="I442" s="75"/>
      <c r="J442" s="75"/>
      <c r="K442" s="75"/>
      <c r="L442" s="75"/>
      <c r="M442" s="75"/>
    </row>
    <row r="443" spans="3:13">
      <c r="C443" s="75"/>
      <c r="D443" s="75"/>
      <c r="E443" s="75"/>
      <c r="F443" s="75"/>
      <c r="G443" s="75"/>
      <c r="H443" s="75"/>
      <c r="I443" s="75"/>
      <c r="J443" s="75"/>
      <c r="K443" s="75"/>
      <c r="L443" s="75"/>
      <c r="M443" s="75"/>
    </row>
    <row r="444" spans="3:13">
      <c r="C444" s="75"/>
      <c r="D444" s="75"/>
      <c r="E444" s="75"/>
      <c r="F444" s="75"/>
      <c r="G444" s="75"/>
      <c r="H444" s="75"/>
      <c r="I444" s="75"/>
      <c r="J444" s="75"/>
      <c r="K444" s="75"/>
      <c r="L444" s="75"/>
      <c r="M444" s="75"/>
    </row>
    <row r="445" spans="3:13">
      <c r="C445" s="75"/>
      <c r="D445" s="75"/>
      <c r="E445" s="75"/>
      <c r="F445" s="75"/>
      <c r="G445" s="75"/>
      <c r="H445" s="75"/>
      <c r="I445" s="75"/>
      <c r="J445" s="75"/>
      <c r="K445" s="75"/>
      <c r="L445" s="75"/>
      <c r="M445" s="75"/>
    </row>
    <row r="446" spans="3:13">
      <c r="C446" s="75"/>
      <c r="D446" s="75"/>
      <c r="E446" s="75"/>
      <c r="F446" s="75"/>
      <c r="G446" s="75"/>
      <c r="H446" s="75"/>
      <c r="I446" s="75"/>
      <c r="J446" s="75"/>
      <c r="K446" s="75"/>
      <c r="L446" s="75"/>
      <c r="M446" s="75"/>
    </row>
    <row r="447" spans="3:13">
      <c r="C447" s="75"/>
      <c r="D447" s="75"/>
      <c r="E447" s="75"/>
      <c r="F447" s="75"/>
      <c r="G447" s="75"/>
      <c r="H447" s="75"/>
      <c r="I447" s="75"/>
      <c r="J447" s="75"/>
      <c r="K447" s="75"/>
      <c r="L447" s="75"/>
      <c r="M447" s="75"/>
    </row>
    <row r="448" spans="3:13">
      <c r="C448" s="75"/>
      <c r="D448" s="75"/>
      <c r="E448" s="75"/>
      <c r="F448" s="75"/>
      <c r="G448" s="75"/>
      <c r="H448" s="75"/>
      <c r="I448" s="75"/>
      <c r="J448" s="75"/>
      <c r="K448" s="75"/>
      <c r="L448" s="75"/>
      <c r="M448" s="75"/>
    </row>
    <row r="449" spans="3:13">
      <c r="C449" s="75"/>
      <c r="D449" s="75"/>
      <c r="E449" s="75"/>
      <c r="F449" s="75"/>
      <c r="G449" s="75"/>
      <c r="H449" s="75"/>
      <c r="I449" s="75"/>
      <c r="J449" s="75"/>
      <c r="K449" s="75"/>
      <c r="L449" s="75"/>
      <c r="M449" s="75"/>
    </row>
    <row r="450" spans="3:13">
      <c r="C450" s="75"/>
      <c r="D450" s="75"/>
      <c r="E450" s="75"/>
      <c r="F450" s="75"/>
      <c r="G450" s="75"/>
      <c r="H450" s="75"/>
      <c r="I450" s="75"/>
      <c r="J450" s="75"/>
      <c r="K450" s="75"/>
      <c r="L450" s="75"/>
      <c r="M450" s="75"/>
    </row>
    <row r="451" spans="3:13">
      <c r="C451" s="75"/>
      <c r="D451" s="75"/>
      <c r="E451" s="75"/>
      <c r="F451" s="75"/>
      <c r="G451" s="75"/>
      <c r="H451" s="75"/>
      <c r="I451" s="75"/>
      <c r="J451" s="75"/>
      <c r="K451" s="75"/>
      <c r="L451" s="75"/>
      <c r="M451" s="75"/>
    </row>
    <row r="452" spans="3:13">
      <c r="C452" s="75"/>
      <c r="D452" s="75"/>
      <c r="E452" s="75"/>
      <c r="F452" s="75"/>
      <c r="G452" s="75"/>
      <c r="H452" s="75"/>
      <c r="I452" s="75"/>
      <c r="J452" s="75"/>
      <c r="K452" s="75"/>
      <c r="L452" s="75"/>
      <c r="M452" s="75"/>
    </row>
    <row r="453" spans="3:13">
      <c r="C453" s="75"/>
      <c r="D453" s="75"/>
      <c r="E453" s="75"/>
      <c r="F453" s="75"/>
      <c r="G453" s="75"/>
      <c r="H453" s="75"/>
      <c r="I453" s="75"/>
      <c r="J453" s="75"/>
      <c r="K453" s="75"/>
      <c r="L453" s="75"/>
      <c r="M453" s="75"/>
    </row>
    <row r="454" spans="3:13">
      <c r="C454" s="75"/>
      <c r="D454" s="75"/>
      <c r="E454" s="75"/>
      <c r="F454" s="75"/>
      <c r="G454" s="75"/>
      <c r="H454" s="75"/>
      <c r="I454" s="75"/>
      <c r="J454" s="75"/>
      <c r="K454" s="75"/>
      <c r="L454" s="75"/>
      <c r="M454" s="75"/>
    </row>
    <row r="455" spans="3:13">
      <c r="C455" s="75"/>
      <c r="D455" s="75"/>
      <c r="E455" s="75"/>
      <c r="F455" s="75"/>
      <c r="G455" s="75"/>
      <c r="H455" s="75"/>
      <c r="I455" s="75"/>
      <c r="J455" s="75"/>
      <c r="K455" s="75"/>
      <c r="L455" s="75"/>
      <c r="M455" s="75"/>
    </row>
    <row r="456" spans="3:13">
      <c r="C456" s="75"/>
      <c r="D456" s="75"/>
      <c r="E456" s="75"/>
      <c r="F456" s="75"/>
      <c r="G456" s="75"/>
      <c r="H456" s="75"/>
      <c r="I456" s="75"/>
      <c r="J456" s="75"/>
      <c r="K456" s="75"/>
      <c r="L456" s="75"/>
      <c r="M456" s="75"/>
    </row>
    <row r="457" spans="3:13">
      <c r="C457" s="75"/>
      <c r="D457" s="75"/>
      <c r="E457" s="75"/>
      <c r="F457" s="75"/>
      <c r="G457" s="75"/>
      <c r="H457" s="75"/>
      <c r="I457" s="75"/>
      <c r="J457" s="75"/>
      <c r="K457" s="75"/>
      <c r="L457" s="75"/>
      <c r="M457" s="75"/>
    </row>
    <row r="458" spans="3:13">
      <c r="C458" s="75"/>
      <c r="D458" s="75"/>
      <c r="E458" s="75"/>
      <c r="F458" s="75"/>
      <c r="G458" s="75"/>
      <c r="H458" s="75"/>
      <c r="I458" s="75"/>
      <c r="J458" s="75"/>
      <c r="K458" s="75"/>
      <c r="L458" s="75"/>
      <c r="M458" s="75"/>
    </row>
    <row r="459" spans="3:13">
      <c r="C459" s="75"/>
      <c r="D459" s="75"/>
      <c r="E459" s="75"/>
      <c r="F459" s="75"/>
      <c r="G459" s="75"/>
      <c r="H459" s="75"/>
      <c r="I459" s="75"/>
      <c r="J459" s="75"/>
      <c r="K459" s="75"/>
      <c r="L459" s="75"/>
      <c r="M459" s="75"/>
    </row>
    <row r="460" spans="3:13">
      <c r="C460" s="75"/>
      <c r="D460" s="75"/>
      <c r="E460" s="75"/>
      <c r="F460" s="75"/>
      <c r="G460" s="75"/>
      <c r="H460" s="75"/>
      <c r="I460" s="75"/>
      <c r="J460" s="75"/>
      <c r="K460" s="75"/>
      <c r="L460" s="75"/>
      <c r="M460" s="75"/>
    </row>
    <row r="461" spans="3:13">
      <c r="C461" s="75"/>
      <c r="D461" s="75"/>
      <c r="E461" s="75"/>
      <c r="F461" s="75"/>
      <c r="G461" s="75"/>
      <c r="H461" s="75"/>
      <c r="I461" s="75"/>
      <c r="J461" s="75"/>
      <c r="K461" s="75"/>
      <c r="L461" s="75"/>
      <c r="M461" s="75"/>
    </row>
    <row r="462" spans="3:13">
      <c r="C462" s="75"/>
      <c r="D462" s="75"/>
      <c r="E462" s="75"/>
      <c r="F462" s="75"/>
      <c r="G462" s="75"/>
      <c r="H462" s="75"/>
      <c r="I462" s="75"/>
      <c r="J462" s="75"/>
      <c r="K462" s="75"/>
      <c r="L462" s="75"/>
      <c r="M462" s="75"/>
    </row>
    <row r="463" spans="3:13">
      <c r="C463" s="75"/>
      <c r="D463" s="75"/>
      <c r="E463" s="75"/>
      <c r="F463" s="75"/>
      <c r="G463" s="75"/>
      <c r="H463" s="75"/>
      <c r="I463" s="75"/>
      <c r="J463" s="75"/>
      <c r="K463" s="75"/>
      <c r="L463" s="75"/>
      <c r="M463" s="75"/>
    </row>
    <row r="464" spans="3:13">
      <c r="C464" s="75"/>
      <c r="D464" s="75"/>
      <c r="E464" s="75"/>
      <c r="F464" s="75"/>
      <c r="G464" s="75"/>
      <c r="H464" s="75"/>
      <c r="I464" s="75"/>
      <c r="J464" s="75"/>
      <c r="K464" s="75"/>
      <c r="L464" s="75"/>
      <c r="M464" s="75"/>
    </row>
    <row r="465" spans="3:13">
      <c r="C465" s="75"/>
      <c r="D465" s="75"/>
      <c r="E465" s="75"/>
      <c r="F465" s="75"/>
      <c r="G465" s="75"/>
      <c r="H465" s="75"/>
      <c r="I465" s="75"/>
      <c r="J465" s="75"/>
      <c r="K465" s="75"/>
      <c r="L465" s="75"/>
      <c r="M465" s="75"/>
    </row>
    <row r="466" spans="3:13">
      <c r="C466" s="75"/>
      <c r="D466" s="75"/>
      <c r="E466" s="75"/>
      <c r="F466" s="75"/>
      <c r="G466" s="75"/>
      <c r="H466" s="75"/>
      <c r="I466" s="75"/>
      <c r="J466" s="75"/>
      <c r="K466" s="75"/>
      <c r="L466" s="75"/>
      <c r="M466" s="75"/>
    </row>
    <row r="467" spans="3:13">
      <c r="C467" s="75"/>
      <c r="D467" s="75"/>
      <c r="E467" s="75"/>
      <c r="F467" s="75"/>
      <c r="G467" s="75"/>
      <c r="H467" s="75"/>
      <c r="I467" s="75"/>
      <c r="J467" s="75"/>
      <c r="K467" s="75"/>
      <c r="L467" s="75"/>
      <c r="M467" s="75"/>
    </row>
    <row r="468" spans="3:13">
      <c r="C468" s="75"/>
      <c r="D468" s="75"/>
      <c r="E468" s="75"/>
      <c r="F468" s="75"/>
      <c r="G468" s="75"/>
      <c r="H468" s="75"/>
      <c r="I468" s="75"/>
      <c r="J468" s="75"/>
      <c r="K468" s="75"/>
      <c r="L468" s="75"/>
      <c r="M468" s="75"/>
    </row>
    <row r="469" spans="3:13">
      <c r="C469" s="75"/>
      <c r="D469" s="75"/>
      <c r="E469" s="75"/>
      <c r="F469" s="75"/>
      <c r="G469" s="75"/>
      <c r="H469" s="75"/>
      <c r="I469" s="75"/>
      <c r="J469" s="75"/>
      <c r="K469" s="75"/>
      <c r="L469" s="75"/>
      <c r="M469" s="75"/>
    </row>
    <row r="470" spans="3:13">
      <c r="C470" s="75"/>
      <c r="D470" s="75"/>
      <c r="E470" s="75"/>
      <c r="F470" s="75"/>
      <c r="G470" s="75"/>
      <c r="H470" s="75"/>
      <c r="I470" s="75"/>
      <c r="J470" s="75"/>
      <c r="K470" s="75"/>
      <c r="L470" s="75"/>
      <c r="M470" s="75"/>
    </row>
    <row r="471" spans="3:13">
      <c r="C471" s="75"/>
      <c r="D471" s="75"/>
      <c r="E471" s="75"/>
      <c r="F471" s="75"/>
      <c r="G471" s="75"/>
      <c r="H471" s="75"/>
      <c r="I471" s="75"/>
      <c r="J471" s="75"/>
      <c r="K471" s="75"/>
      <c r="L471" s="75"/>
      <c r="M471" s="75"/>
    </row>
    <row r="472" spans="3:13">
      <c r="C472" s="75"/>
      <c r="D472" s="75"/>
      <c r="E472" s="75"/>
      <c r="F472" s="75"/>
      <c r="G472" s="75"/>
      <c r="H472" s="75"/>
      <c r="I472" s="75"/>
      <c r="J472" s="75"/>
      <c r="K472" s="75"/>
      <c r="L472" s="75"/>
      <c r="M472" s="75"/>
    </row>
    <row r="473" spans="3:13">
      <c r="C473" s="75"/>
      <c r="D473" s="75"/>
      <c r="E473" s="75"/>
      <c r="F473" s="75"/>
      <c r="G473" s="75"/>
      <c r="H473" s="75"/>
      <c r="I473" s="75"/>
      <c r="J473" s="75"/>
      <c r="K473" s="75"/>
      <c r="L473" s="75"/>
      <c r="M473" s="75"/>
    </row>
    <row r="474" spans="3:13">
      <c r="C474" s="75"/>
      <c r="D474" s="75"/>
      <c r="E474" s="75"/>
      <c r="F474" s="75"/>
      <c r="G474" s="75"/>
      <c r="H474" s="75"/>
      <c r="I474" s="75"/>
      <c r="J474" s="75"/>
      <c r="K474" s="75"/>
      <c r="L474" s="75"/>
      <c r="M474" s="75"/>
    </row>
    <row r="475" spans="3:13">
      <c r="C475" s="75"/>
      <c r="D475" s="75"/>
      <c r="E475" s="75"/>
      <c r="F475" s="75"/>
      <c r="G475" s="75"/>
      <c r="H475" s="75"/>
      <c r="I475" s="75"/>
      <c r="J475" s="75"/>
      <c r="K475" s="75"/>
      <c r="L475" s="75"/>
      <c r="M475" s="75"/>
    </row>
    <row r="476" spans="3:13">
      <c r="C476" s="75"/>
      <c r="D476" s="75"/>
      <c r="E476" s="75"/>
      <c r="F476" s="75"/>
      <c r="G476" s="75"/>
      <c r="H476" s="75"/>
      <c r="I476" s="75"/>
      <c r="J476" s="75"/>
      <c r="K476" s="75"/>
      <c r="L476" s="75"/>
      <c r="M476" s="75"/>
    </row>
    <row r="477" spans="3:13">
      <c r="C477" s="75"/>
      <c r="D477" s="75"/>
      <c r="E477" s="75"/>
      <c r="F477" s="75"/>
      <c r="G477" s="75"/>
      <c r="H477" s="75"/>
      <c r="I477" s="75"/>
      <c r="J477" s="75"/>
      <c r="K477" s="75"/>
      <c r="L477" s="75"/>
      <c r="M477" s="75"/>
    </row>
    <row r="478" spans="3:13">
      <c r="C478" s="75"/>
      <c r="D478" s="75"/>
      <c r="E478" s="75"/>
      <c r="F478" s="75"/>
      <c r="G478" s="75"/>
      <c r="H478" s="75"/>
      <c r="I478" s="75"/>
      <c r="J478" s="75"/>
      <c r="K478" s="75"/>
      <c r="L478" s="75"/>
      <c r="M478" s="75"/>
    </row>
    <row r="479" spans="3:13">
      <c r="C479" s="75"/>
      <c r="D479" s="75"/>
      <c r="E479" s="75"/>
      <c r="F479" s="75"/>
      <c r="G479" s="75"/>
      <c r="H479" s="75"/>
      <c r="I479" s="75"/>
      <c r="J479" s="75"/>
      <c r="K479" s="75"/>
      <c r="L479" s="75"/>
      <c r="M479" s="75"/>
    </row>
    <row r="480" spans="3:13">
      <c r="C480" s="75"/>
      <c r="D480" s="75"/>
      <c r="E480" s="75"/>
      <c r="F480" s="75"/>
      <c r="G480" s="75"/>
      <c r="H480" s="75"/>
      <c r="I480" s="75"/>
      <c r="J480" s="75"/>
      <c r="K480" s="75"/>
      <c r="L480" s="75"/>
      <c r="M480" s="75"/>
    </row>
    <row r="481" spans="3:13">
      <c r="C481" s="75"/>
      <c r="D481" s="75"/>
      <c r="E481" s="75"/>
      <c r="F481" s="75"/>
      <c r="G481" s="75"/>
      <c r="H481" s="75"/>
      <c r="I481" s="75"/>
      <c r="J481" s="75"/>
      <c r="K481" s="75"/>
      <c r="L481" s="75"/>
      <c r="M481" s="75"/>
    </row>
    <row r="482" spans="3:13">
      <c r="C482" s="75"/>
      <c r="D482" s="75"/>
      <c r="E482" s="75"/>
      <c r="F482" s="75"/>
      <c r="G482" s="75"/>
      <c r="H482" s="75"/>
      <c r="I482" s="75"/>
      <c r="J482" s="75"/>
      <c r="K482" s="75"/>
      <c r="L482" s="75"/>
      <c r="M482" s="75"/>
    </row>
    <row r="483" spans="3:13">
      <c r="C483" s="75"/>
      <c r="D483" s="75"/>
      <c r="E483" s="75"/>
      <c r="F483" s="75"/>
      <c r="G483" s="75"/>
      <c r="H483" s="75"/>
      <c r="I483" s="75"/>
      <c r="J483" s="75"/>
      <c r="K483" s="75"/>
      <c r="L483" s="75"/>
      <c r="M483" s="75"/>
    </row>
    <row r="484" spans="3:13">
      <c r="C484" s="75"/>
      <c r="D484" s="75"/>
      <c r="E484" s="75"/>
      <c r="F484" s="75"/>
      <c r="G484" s="75"/>
      <c r="H484" s="75"/>
      <c r="I484" s="75"/>
      <c r="J484" s="75"/>
      <c r="K484" s="75"/>
      <c r="L484" s="75"/>
      <c r="M484" s="75"/>
    </row>
    <row r="485" spans="3:13">
      <c r="C485" s="75"/>
      <c r="D485" s="75"/>
      <c r="E485" s="75"/>
      <c r="F485" s="75"/>
      <c r="G485" s="75"/>
      <c r="H485" s="75"/>
      <c r="I485" s="75"/>
      <c r="J485" s="75"/>
      <c r="K485" s="75"/>
      <c r="L485" s="75"/>
      <c r="M485" s="75"/>
    </row>
    <row r="486" spans="3:13">
      <c r="C486" s="75"/>
      <c r="D486" s="75"/>
      <c r="E486" s="75"/>
      <c r="F486" s="75"/>
      <c r="G486" s="75"/>
      <c r="H486" s="75"/>
      <c r="I486" s="75"/>
      <c r="J486" s="75"/>
      <c r="K486" s="75"/>
      <c r="L486" s="75"/>
      <c r="M486" s="75"/>
    </row>
    <row r="487" spans="3:13">
      <c r="C487" s="75"/>
      <c r="D487" s="75"/>
      <c r="E487" s="75"/>
      <c r="F487" s="75"/>
      <c r="G487" s="75"/>
      <c r="H487" s="75"/>
      <c r="I487" s="75"/>
      <c r="J487" s="75"/>
      <c r="K487" s="75"/>
      <c r="L487" s="75"/>
      <c r="M487" s="75"/>
    </row>
    <row r="488" spans="3:13">
      <c r="C488" s="75"/>
      <c r="D488" s="75"/>
      <c r="E488" s="75"/>
      <c r="F488" s="75"/>
      <c r="G488" s="75"/>
      <c r="H488" s="75"/>
      <c r="I488" s="75"/>
      <c r="J488" s="75"/>
      <c r="K488" s="75"/>
      <c r="L488" s="75"/>
      <c r="M488" s="75"/>
    </row>
    <row r="489" spans="3:13">
      <c r="C489" s="75"/>
      <c r="D489" s="75"/>
      <c r="E489" s="75"/>
      <c r="F489" s="75"/>
      <c r="G489" s="75"/>
      <c r="H489" s="75"/>
      <c r="I489" s="75"/>
      <c r="J489" s="75"/>
      <c r="K489" s="75"/>
      <c r="L489" s="75"/>
      <c r="M489" s="75"/>
    </row>
    <row r="490" spans="3:13">
      <c r="C490" s="75"/>
      <c r="D490" s="75"/>
      <c r="E490" s="75"/>
      <c r="F490" s="75"/>
      <c r="G490" s="75"/>
      <c r="H490" s="75"/>
      <c r="I490" s="75"/>
      <c r="J490" s="75"/>
      <c r="K490" s="75"/>
      <c r="L490" s="75"/>
      <c r="M490" s="75"/>
    </row>
    <row r="491" spans="3:13">
      <c r="C491" s="75"/>
      <c r="D491" s="75"/>
      <c r="E491" s="75"/>
      <c r="F491" s="75"/>
      <c r="G491" s="75"/>
      <c r="H491" s="75"/>
      <c r="I491" s="75"/>
      <c r="J491" s="75"/>
      <c r="K491" s="75"/>
      <c r="L491" s="75"/>
      <c r="M491" s="75"/>
    </row>
    <row r="492" spans="3:13">
      <c r="C492" s="75"/>
      <c r="D492" s="75"/>
      <c r="E492" s="75"/>
      <c r="F492" s="75"/>
      <c r="G492" s="75"/>
      <c r="H492" s="75"/>
      <c r="I492" s="75"/>
      <c r="J492" s="75"/>
      <c r="K492" s="75"/>
      <c r="L492" s="75"/>
      <c r="M492" s="75"/>
    </row>
    <row r="493" spans="3:13">
      <c r="C493" s="75"/>
      <c r="D493" s="75"/>
      <c r="E493" s="75"/>
      <c r="F493" s="75"/>
      <c r="G493" s="75"/>
      <c r="H493" s="75"/>
      <c r="I493" s="75"/>
      <c r="J493" s="75"/>
      <c r="K493" s="75"/>
      <c r="L493" s="75"/>
      <c r="M493" s="75"/>
    </row>
    <row r="494" spans="3:13">
      <c r="C494" s="75"/>
      <c r="D494" s="75"/>
      <c r="E494" s="75"/>
      <c r="F494" s="75"/>
      <c r="G494" s="75"/>
      <c r="H494" s="75"/>
      <c r="I494" s="75"/>
      <c r="J494" s="75"/>
      <c r="K494" s="75"/>
      <c r="L494" s="75"/>
      <c r="M494" s="75"/>
    </row>
    <row r="495" spans="3:13">
      <c r="C495" s="75"/>
      <c r="D495" s="75"/>
      <c r="E495" s="75"/>
      <c r="F495" s="75"/>
      <c r="G495" s="75"/>
      <c r="H495" s="75"/>
      <c r="I495" s="75"/>
      <c r="J495" s="75"/>
      <c r="K495" s="75"/>
      <c r="L495" s="75"/>
      <c r="M495" s="75"/>
    </row>
    <row r="496" spans="3:13">
      <c r="C496" s="75"/>
      <c r="D496" s="75"/>
      <c r="E496" s="75"/>
      <c r="F496" s="75"/>
      <c r="G496" s="75"/>
      <c r="H496" s="75"/>
      <c r="I496" s="75"/>
      <c r="J496" s="75"/>
      <c r="K496" s="75"/>
      <c r="L496" s="75"/>
      <c r="M496" s="75"/>
    </row>
    <row r="497" spans="3:13">
      <c r="C497" s="75"/>
      <c r="D497" s="75"/>
      <c r="E497" s="75"/>
      <c r="F497" s="75"/>
      <c r="G497" s="75"/>
      <c r="H497" s="75"/>
      <c r="I497" s="75"/>
      <c r="J497" s="75"/>
      <c r="K497" s="75"/>
      <c r="L497" s="75"/>
      <c r="M497" s="75"/>
    </row>
    <row r="498" spans="3:13">
      <c r="C498" s="75"/>
      <c r="D498" s="75"/>
      <c r="E498" s="75"/>
      <c r="F498" s="75"/>
      <c r="G498" s="75"/>
      <c r="H498" s="75"/>
      <c r="I498" s="75"/>
      <c r="J498" s="75"/>
      <c r="K498" s="75"/>
      <c r="L498" s="75"/>
      <c r="M498" s="75"/>
    </row>
    <row r="499" spans="3:13">
      <c r="C499" s="75"/>
      <c r="D499" s="75"/>
      <c r="E499" s="75"/>
      <c r="F499" s="75"/>
      <c r="G499" s="75"/>
      <c r="H499" s="75"/>
      <c r="I499" s="75"/>
      <c r="J499" s="75"/>
      <c r="K499" s="75"/>
      <c r="L499" s="75"/>
      <c r="M499" s="75"/>
    </row>
    <row r="500" spans="3:13">
      <c r="C500" s="75"/>
      <c r="D500" s="75"/>
      <c r="E500" s="75"/>
      <c r="F500" s="75"/>
      <c r="G500" s="75"/>
      <c r="H500" s="75"/>
      <c r="I500" s="75"/>
      <c r="J500" s="75"/>
      <c r="K500" s="75"/>
      <c r="L500" s="75"/>
      <c r="M500" s="75"/>
    </row>
    <row r="501" spans="3:13">
      <c r="C501" s="75"/>
      <c r="D501" s="75"/>
      <c r="E501" s="75"/>
      <c r="F501" s="75"/>
      <c r="G501" s="75"/>
      <c r="H501" s="75"/>
      <c r="I501" s="75"/>
      <c r="J501" s="75"/>
      <c r="K501" s="75"/>
      <c r="L501" s="75"/>
      <c r="M501" s="75"/>
    </row>
    <row r="502" spans="3:13">
      <c r="C502" s="75"/>
      <c r="D502" s="75"/>
      <c r="E502" s="75"/>
      <c r="F502" s="75"/>
      <c r="G502" s="75"/>
      <c r="H502" s="75"/>
      <c r="I502" s="75"/>
      <c r="J502" s="75"/>
      <c r="K502" s="75"/>
      <c r="L502" s="75"/>
      <c r="M502" s="75"/>
    </row>
    <row r="503" spans="3:13">
      <c r="C503" s="75"/>
      <c r="D503" s="75"/>
      <c r="E503" s="75"/>
      <c r="F503" s="75"/>
      <c r="G503" s="75"/>
      <c r="H503" s="75"/>
      <c r="I503" s="75"/>
      <c r="J503" s="75"/>
      <c r="K503" s="75"/>
      <c r="L503" s="75"/>
      <c r="M503" s="75"/>
    </row>
    <row r="504" spans="3:13">
      <c r="C504" s="75"/>
      <c r="D504" s="75"/>
      <c r="E504" s="75"/>
      <c r="F504" s="75"/>
      <c r="G504" s="75"/>
      <c r="H504" s="75"/>
      <c r="I504" s="75"/>
      <c r="J504" s="75"/>
      <c r="K504" s="75"/>
      <c r="L504" s="75"/>
      <c r="M504" s="75"/>
    </row>
    <row r="505" spans="3:13">
      <c r="C505" s="75"/>
      <c r="D505" s="75"/>
      <c r="E505" s="75"/>
      <c r="F505" s="75"/>
      <c r="G505" s="75"/>
      <c r="H505" s="75"/>
      <c r="I505" s="75"/>
      <c r="J505" s="75"/>
      <c r="K505" s="75"/>
      <c r="L505" s="75"/>
      <c r="M505" s="75"/>
    </row>
    <row r="506" spans="3:13">
      <c r="C506" s="75"/>
      <c r="D506" s="75"/>
      <c r="E506" s="75"/>
      <c r="F506" s="75"/>
      <c r="G506" s="75"/>
      <c r="H506" s="75"/>
      <c r="I506" s="75"/>
      <c r="J506" s="75"/>
      <c r="K506" s="75"/>
      <c r="L506" s="75"/>
      <c r="M506" s="75"/>
    </row>
    <row r="507" spans="3:13">
      <c r="C507" s="75"/>
      <c r="D507" s="75"/>
      <c r="E507" s="75"/>
      <c r="F507" s="75"/>
      <c r="G507" s="75"/>
      <c r="H507" s="75"/>
      <c r="I507" s="75"/>
      <c r="J507" s="75"/>
      <c r="K507" s="75"/>
      <c r="L507" s="75"/>
      <c r="M507" s="75"/>
    </row>
    <row r="508" spans="3:13">
      <c r="C508" s="75"/>
      <c r="D508" s="75"/>
      <c r="E508" s="75"/>
      <c r="F508" s="75"/>
      <c r="G508" s="75"/>
      <c r="H508" s="75"/>
      <c r="I508" s="75"/>
      <c r="J508" s="75"/>
      <c r="K508" s="75"/>
      <c r="L508" s="75"/>
      <c r="M508" s="75"/>
    </row>
    <row r="509" spans="3:13">
      <c r="C509" s="75"/>
      <c r="D509" s="75"/>
      <c r="E509" s="75"/>
      <c r="F509" s="75"/>
      <c r="G509" s="75"/>
      <c r="H509" s="75"/>
      <c r="I509" s="75"/>
      <c r="J509" s="75"/>
      <c r="K509" s="75"/>
      <c r="L509" s="75"/>
      <c r="M509" s="75"/>
    </row>
    <row r="510" spans="3:13">
      <c r="C510" s="75"/>
      <c r="D510" s="75"/>
      <c r="E510" s="75"/>
      <c r="F510" s="75"/>
      <c r="G510" s="75"/>
      <c r="H510" s="75"/>
      <c r="I510" s="75"/>
      <c r="J510" s="75"/>
      <c r="K510" s="75"/>
      <c r="L510" s="75"/>
      <c r="M510" s="75"/>
    </row>
    <row r="511" spans="3:13">
      <c r="C511" s="75"/>
      <c r="D511" s="75"/>
      <c r="E511" s="75"/>
      <c r="F511" s="75"/>
      <c r="G511" s="75"/>
      <c r="H511" s="75"/>
      <c r="I511" s="75"/>
      <c r="J511" s="75"/>
      <c r="K511" s="75"/>
      <c r="L511" s="75"/>
      <c r="M511" s="75"/>
    </row>
    <row r="512" spans="3:13">
      <c r="C512" s="75"/>
      <c r="D512" s="75"/>
      <c r="E512" s="75"/>
      <c r="F512" s="75"/>
      <c r="G512" s="75"/>
      <c r="H512" s="75"/>
      <c r="I512" s="75"/>
      <c r="J512" s="75"/>
      <c r="K512" s="75"/>
      <c r="L512" s="75"/>
      <c r="M512" s="75"/>
    </row>
    <row r="513" spans="3:13">
      <c r="C513" s="75"/>
      <c r="D513" s="75"/>
      <c r="E513" s="75"/>
      <c r="F513" s="75"/>
      <c r="G513" s="75"/>
      <c r="H513" s="75"/>
      <c r="I513" s="75"/>
      <c r="J513" s="75"/>
      <c r="K513" s="75"/>
      <c r="L513" s="75"/>
      <c r="M513" s="75"/>
    </row>
    <row r="514" spans="3:13">
      <c r="C514" s="75"/>
      <c r="D514" s="75"/>
      <c r="E514" s="75"/>
      <c r="F514" s="75"/>
      <c r="G514" s="75"/>
      <c r="H514" s="75"/>
      <c r="I514" s="75"/>
      <c r="J514" s="75"/>
      <c r="K514" s="75"/>
      <c r="L514" s="75"/>
      <c r="M514" s="75"/>
    </row>
    <row r="515" spans="3:13">
      <c r="C515" s="75"/>
      <c r="D515" s="75"/>
      <c r="E515" s="75"/>
      <c r="F515" s="75"/>
      <c r="G515" s="75"/>
      <c r="H515" s="75"/>
      <c r="I515" s="75"/>
      <c r="J515" s="75"/>
      <c r="K515" s="75"/>
      <c r="L515" s="75"/>
      <c r="M515" s="75"/>
    </row>
    <row r="516" spans="3:13">
      <c r="C516" s="75"/>
      <c r="D516" s="75"/>
      <c r="E516" s="75"/>
      <c r="F516" s="75"/>
      <c r="G516" s="75"/>
      <c r="H516" s="75"/>
      <c r="I516" s="75"/>
      <c r="J516" s="75"/>
      <c r="K516" s="75"/>
      <c r="L516" s="75"/>
      <c r="M516" s="75"/>
    </row>
    <row r="517" spans="3:13">
      <c r="C517" s="75"/>
      <c r="D517" s="75"/>
      <c r="E517" s="75"/>
      <c r="F517" s="75"/>
      <c r="G517" s="75"/>
      <c r="H517" s="75"/>
      <c r="I517" s="75"/>
      <c r="J517" s="75"/>
      <c r="K517" s="75"/>
      <c r="L517" s="75"/>
      <c r="M517" s="75"/>
    </row>
    <row r="518" spans="3:13">
      <c r="C518" s="75"/>
      <c r="D518" s="75"/>
      <c r="E518" s="75"/>
      <c r="F518" s="75"/>
      <c r="G518" s="75"/>
      <c r="H518" s="75"/>
      <c r="I518" s="75"/>
      <c r="J518" s="75"/>
      <c r="K518" s="75"/>
      <c r="L518" s="75"/>
      <c r="M518" s="75"/>
    </row>
    <row r="519" spans="3:13">
      <c r="C519" s="75"/>
      <c r="D519" s="75"/>
      <c r="E519" s="75"/>
      <c r="F519" s="75"/>
      <c r="G519" s="75"/>
      <c r="H519" s="75"/>
      <c r="I519" s="75"/>
      <c r="J519" s="75"/>
      <c r="K519" s="75"/>
      <c r="L519" s="75"/>
      <c r="M519" s="75"/>
    </row>
    <row r="520" spans="3:13">
      <c r="C520" s="75"/>
      <c r="D520" s="75"/>
      <c r="E520" s="75"/>
      <c r="F520" s="75"/>
      <c r="G520" s="75"/>
      <c r="H520" s="75"/>
      <c r="I520" s="75"/>
      <c r="J520" s="75"/>
      <c r="K520" s="75"/>
      <c r="L520" s="75"/>
      <c r="M520" s="75"/>
    </row>
    <row r="521" spans="3:13">
      <c r="C521" s="75"/>
      <c r="D521" s="75"/>
      <c r="E521" s="75"/>
      <c r="F521" s="75"/>
      <c r="G521" s="75"/>
      <c r="H521" s="75"/>
      <c r="I521" s="75"/>
      <c r="J521" s="75"/>
      <c r="K521" s="75"/>
      <c r="L521" s="75"/>
      <c r="M521" s="75"/>
    </row>
    <row r="522" spans="3:13">
      <c r="C522" s="75"/>
      <c r="D522" s="75"/>
      <c r="E522" s="75"/>
      <c r="F522" s="75"/>
      <c r="G522" s="75"/>
      <c r="H522" s="75"/>
      <c r="I522" s="75"/>
      <c r="J522" s="75"/>
      <c r="K522" s="75"/>
      <c r="L522" s="75"/>
      <c r="M522" s="75"/>
    </row>
    <row r="523" spans="3:13">
      <c r="C523" s="75"/>
      <c r="D523" s="75"/>
      <c r="E523" s="75"/>
      <c r="F523" s="75"/>
      <c r="G523" s="75"/>
      <c r="H523" s="75"/>
      <c r="I523" s="75"/>
      <c r="J523" s="75"/>
      <c r="K523" s="75"/>
      <c r="L523" s="75"/>
      <c r="M523" s="75"/>
    </row>
    <row r="524" spans="3:13">
      <c r="C524" s="75"/>
      <c r="D524" s="75"/>
      <c r="E524" s="75"/>
      <c r="F524" s="75"/>
      <c r="G524" s="75"/>
      <c r="H524" s="75"/>
      <c r="I524" s="75"/>
      <c r="J524" s="75"/>
      <c r="K524" s="75"/>
      <c r="L524" s="75"/>
      <c r="M524" s="75"/>
    </row>
    <row r="525" spans="3:13">
      <c r="C525" s="75"/>
      <c r="D525" s="75"/>
      <c r="E525" s="75"/>
      <c r="F525" s="75"/>
      <c r="G525" s="75"/>
      <c r="H525" s="75"/>
      <c r="I525" s="75"/>
      <c r="J525" s="75"/>
      <c r="K525" s="75"/>
      <c r="L525" s="75"/>
      <c r="M525" s="75"/>
    </row>
    <row r="526" spans="3:13">
      <c r="C526" s="75"/>
      <c r="D526" s="75"/>
      <c r="E526" s="75"/>
      <c r="F526" s="75"/>
      <c r="G526" s="75"/>
      <c r="H526" s="75"/>
      <c r="I526" s="75"/>
      <c r="J526" s="75"/>
      <c r="K526" s="75"/>
      <c r="L526" s="75"/>
      <c r="M526" s="75"/>
    </row>
    <row r="527" spans="3:13">
      <c r="C527" s="75"/>
      <c r="D527" s="75"/>
      <c r="E527" s="75"/>
      <c r="F527" s="75"/>
      <c r="G527" s="75"/>
      <c r="H527" s="75"/>
      <c r="I527" s="75"/>
      <c r="J527" s="75"/>
      <c r="K527" s="75"/>
      <c r="L527" s="75"/>
      <c r="M527" s="75"/>
    </row>
    <row r="528" spans="3:13">
      <c r="C528" s="75"/>
      <c r="D528" s="75"/>
      <c r="E528" s="75"/>
      <c r="F528" s="75"/>
      <c r="G528" s="75"/>
      <c r="H528" s="75"/>
      <c r="I528" s="75"/>
      <c r="J528" s="75"/>
      <c r="K528" s="75"/>
      <c r="L528" s="75"/>
      <c r="M528" s="75"/>
    </row>
    <row r="529" spans="3:13">
      <c r="C529" s="75"/>
      <c r="D529" s="75"/>
      <c r="E529" s="75"/>
      <c r="F529" s="75"/>
      <c r="G529" s="75"/>
      <c r="H529" s="75"/>
      <c r="I529" s="75"/>
      <c r="J529" s="75"/>
      <c r="K529" s="75"/>
      <c r="L529" s="75"/>
      <c r="M529" s="75"/>
    </row>
    <row r="530" spans="3:13">
      <c r="C530" s="75"/>
      <c r="D530" s="75"/>
      <c r="E530" s="75"/>
      <c r="F530" s="75"/>
      <c r="G530" s="75"/>
      <c r="H530" s="75"/>
      <c r="I530" s="75"/>
      <c r="J530" s="75"/>
      <c r="K530" s="75"/>
      <c r="L530" s="75"/>
      <c r="M530" s="75"/>
    </row>
    <row r="531" spans="3:13">
      <c r="C531" s="75"/>
      <c r="D531" s="75"/>
      <c r="E531" s="75"/>
      <c r="F531" s="75"/>
      <c r="G531" s="75"/>
      <c r="H531" s="75"/>
      <c r="I531" s="75"/>
      <c r="J531" s="75"/>
      <c r="K531" s="75"/>
      <c r="L531" s="75"/>
      <c r="M531" s="75"/>
    </row>
    <row r="532" spans="3:13">
      <c r="C532" s="75"/>
      <c r="D532" s="75"/>
      <c r="E532" s="75"/>
      <c r="F532" s="75"/>
      <c r="G532" s="75"/>
      <c r="H532" s="75"/>
      <c r="I532" s="75"/>
      <c r="J532" s="75"/>
      <c r="K532" s="75"/>
      <c r="L532" s="75"/>
      <c r="M532" s="75"/>
    </row>
    <row r="533" spans="3:13">
      <c r="C533" s="75"/>
      <c r="D533" s="75"/>
      <c r="E533" s="75"/>
      <c r="F533" s="75"/>
      <c r="G533" s="75"/>
      <c r="H533" s="75"/>
      <c r="I533" s="75"/>
      <c r="J533" s="75"/>
      <c r="K533" s="75"/>
      <c r="L533" s="75"/>
      <c r="M533" s="75"/>
    </row>
    <row r="534" spans="3:13">
      <c r="C534" s="75"/>
      <c r="D534" s="75"/>
      <c r="E534" s="75"/>
      <c r="F534" s="75"/>
      <c r="G534" s="75"/>
      <c r="H534" s="75"/>
      <c r="I534" s="75"/>
      <c r="J534" s="75"/>
      <c r="K534" s="75"/>
      <c r="L534" s="75"/>
      <c r="M534" s="75"/>
    </row>
    <row r="535" spans="3:13">
      <c r="C535" s="75"/>
      <c r="D535" s="75"/>
      <c r="E535" s="75"/>
      <c r="F535" s="75"/>
      <c r="G535" s="75"/>
      <c r="H535" s="75"/>
      <c r="I535" s="75"/>
      <c r="J535" s="75"/>
      <c r="K535" s="75"/>
      <c r="L535" s="75"/>
      <c r="M535" s="75"/>
    </row>
    <row r="536" spans="3:13">
      <c r="C536" s="75"/>
      <c r="D536" s="75"/>
      <c r="E536" s="75"/>
      <c r="F536" s="75"/>
      <c r="G536" s="75"/>
      <c r="H536" s="75"/>
      <c r="I536" s="75"/>
      <c r="J536" s="75"/>
      <c r="K536" s="75"/>
      <c r="L536" s="75"/>
      <c r="M536" s="75"/>
    </row>
    <row r="537" spans="3:13">
      <c r="C537" s="75"/>
      <c r="D537" s="75"/>
      <c r="E537" s="75"/>
      <c r="F537" s="75"/>
      <c r="G537" s="75"/>
      <c r="H537" s="75"/>
      <c r="I537" s="75"/>
      <c r="J537" s="75"/>
      <c r="K537" s="75"/>
      <c r="L537" s="75"/>
      <c r="M537" s="75"/>
    </row>
    <row r="538" spans="3:13">
      <c r="C538" s="75"/>
      <c r="D538" s="75"/>
      <c r="E538" s="75"/>
      <c r="F538" s="75"/>
      <c r="G538" s="75"/>
      <c r="H538" s="75"/>
      <c r="I538" s="75"/>
      <c r="J538" s="75"/>
      <c r="K538" s="75"/>
      <c r="L538" s="75"/>
      <c r="M538" s="75"/>
    </row>
    <row r="539" spans="3:13">
      <c r="C539" s="75"/>
      <c r="D539" s="75"/>
      <c r="E539" s="75"/>
      <c r="F539" s="75"/>
      <c r="G539" s="75"/>
      <c r="H539" s="75"/>
      <c r="I539" s="75"/>
      <c r="J539" s="75"/>
      <c r="K539" s="75"/>
      <c r="L539" s="75"/>
      <c r="M539" s="75"/>
    </row>
    <row r="540" spans="3:13">
      <c r="C540" s="75"/>
      <c r="D540" s="75"/>
      <c r="E540" s="75"/>
      <c r="F540" s="75"/>
      <c r="G540" s="75"/>
      <c r="H540" s="75"/>
      <c r="I540" s="75"/>
      <c r="J540" s="75"/>
      <c r="K540" s="75"/>
      <c r="L540" s="75"/>
      <c r="M540" s="75"/>
    </row>
    <row r="541" spans="3:13">
      <c r="C541" s="75"/>
      <c r="D541" s="75"/>
      <c r="E541" s="75"/>
      <c r="F541" s="75"/>
      <c r="G541" s="75"/>
      <c r="H541" s="75"/>
      <c r="I541" s="75"/>
      <c r="J541" s="75"/>
      <c r="K541" s="75"/>
      <c r="L541" s="75"/>
      <c r="M541" s="75"/>
    </row>
    <row r="542" spans="3:13">
      <c r="C542" s="75"/>
      <c r="D542" s="75"/>
      <c r="E542" s="75"/>
      <c r="F542" s="75"/>
      <c r="G542" s="75"/>
      <c r="H542" s="75"/>
      <c r="I542" s="75"/>
      <c r="J542" s="75"/>
      <c r="K542" s="75"/>
      <c r="L542" s="75"/>
      <c r="M542" s="75"/>
    </row>
    <row r="543" spans="3:13">
      <c r="C543" s="75"/>
      <c r="D543" s="75"/>
      <c r="E543" s="75"/>
      <c r="F543" s="75"/>
      <c r="G543" s="75"/>
      <c r="H543" s="75"/>
      <c r="I543" s="75"/>
      <c r="J543" s="75"/>
      <c r="K543" s="75"/>
      <c r="L543" s="75"/>
      <c r="M543" s="75"/>
    </row>
    <row r="544" spans="3:13">
      <c r="C544" s="75"/>
      <c r="D544" s="75"/>
      <c r="E544" s="75"/>
      <c r="F544" s="75"/>
      <c r="G544" s="75"/>
      <c r="H544" s="75"/>
      <c r="I544" s="75"/>
      <c r="J544" s="75"/>
      <c r="K544" s="75"/>
      <c r="L544" s="75"/>
      <c r="M544" s="75"/>
    </row>
    <row r="545" spans="3:13">
      <c r="C545" s="75"/>
      <c r="D545" s="75"/>
      <c r="E545" s="75"/>
      <c r="F545" s="75"/>
      <c r="G545" s="75"/>
      <c r="H545" s="75"/>
      <c r="I545" s="75"/>
      <c r="J545" s="75"/>
      <c r="K545" s="75"/>
      <c r="L545" s="75"/>
      <c r="M545" s="75"/>
    </row>
    <row r="546" spans="3:13">
      <c r="C546" s="75"/>
      <c r="D546" s="75"/>
      <c r="E546" s="75"/>
      <c r="F546" s="75"/>
      <c r="G546" s="75"/>
      <c r="H546" s="75"/>
      <c r="I546" s="75"/>
      <c r="J546" s="75"/>
      <c r="K546" s="75"/>
      <c r="L546" s="75"/>
      <c r="M546" s="75"/>
    </row>
    <row r="547" spans="3:13">
      <c r="C547" s="75"/>
      <c r="D547" s="75"/>
      <c r="E547" s="75"/>
      <c r="F547" s="75"/>
      <c r="G547" s="75"/>
      <c r="H547" s="75"/>
      <c r="I547" s="75"/>
      <c r="J547" s="75"/>
      <c r="K547" s="75"/>
      <c r="L547" s="75"/>
      <c r="M547" s="75"/>
    </row>
    <row r="548" spans="3:13">
      <c r="C548" s="75"/>
      <c r="D548" s="75"/>
      <c r="E548" s="75"/>
      <c r="F548" s="75"/>
      <c r="G548" s="75"/>
      <c r="H548" s="75"/>
      <c r="I548" s="75"/>
      <c r="J548" s="75"/>
      <c r="K548" s="75"/>
      <c r="L548" s="75"/>
      <c r="M548" s="75"/>
    </row>
    <row r="549" spans="3:13">
      <c r="C549" s="75"/>
      <c r="D549" s="75"/>
      <c r="E549" s="75"/>
      <c r="F549" s="75"/>
      <c r="G549" s="75"/>
      <c r="H549" s="75"/>
      <c r="I549" s="75"/>
      <c r="J549" s="75"/>
      <c r="K549" s="75"/>
      <c r="L549" s="75"/>
      <c r="M549" s="75"/>
    </row>
    <row r="550" spans="3:13">
      <c r="C550" s="75"/>
      <c r="D550" s="75"/>
      <c r="E550" s="75"/>
      <c r="F550" s="75"/>
      <c r="G550" s="75"/>
      <c r="H550" s="75"/>
      <c r="I550" s="75"/>
      <c r="J550" s="75"/>
      <c r="K550" s="75"/>
      <c r="L550" s="75"/>
      <c r="M550" s="75"/>
    </row>
    <row r="551" spans="3:13">
      <c r="C551" s="75"/>
      <c r="D551" s="75"/>
      <c r="E551" s="75"/>
      <c r="F551" s="75"/>
      <c r="G551" s="75"/>
      <c r="H551" s="75"/>
      <c r="I551" s="75"/>
      <c r="J551" s="75"/>
      <c r="K551" s="75"/>
      <c r="L551" s="75"/>
      <c r="M551" s="75"/>
    </row>
    <row r="552" spans="3:13">
      <c r="C552" s="75"/>
      <c r="D552" s="75"/>
      <c r="E552" s="75"/>
      <c r="F552" s="75"/>
      <c r="G552" s="75"/>
      <c r="H552" s="75"/>
      <c r="I552" s="75"/>
      <c r="J552" s="75"/>
      <c r="K552" s="75"/>
      <c r="L552" s="75"/>
      <c r="M552" s="75"/>
    </row>
    <row r="553" spans="3:13">
      <c r="C553" s="75"/>
      <c r="D553" s="75"/>
      <c r="E553" s="75"/>
      <c r="F553" s="75"/>
      <c r="G553" s="75"/>
      <c r="H553" s="75"/>
      <c r="I553" s="75"/>
      <c r="J553" s="75"/>
      <c r="K553" s="75"/>
      <c r="L553" s="75"/>
      <c r="M553" s="75"/>
    </row>
    <row r="554" spans="3:13">
      <c r="C554" s="75"/>
      <c r="D554" s="75"/>
      <c r="E554" s="75"/>
      <c r="F554" s="75"/>
      <c r="G554" s="75"/>
      <c r="H554" s="75"/>
      <c r="I554" s="75"/>
      <c r="J554" s="75"/>
      <c r="K554" s="75"/>
      <c r="L554" s="75"/>
      <c r="M554" s="75"/>
    </row>
    <row r="555" spans="3:13">
      <c r="C555" s="75"/>
      <c r="D555" s="75"/>
      <c r="E555" s="75"/>
      <c r="F555" s="75"/>
      <c r="G555" s="75"/>
      <c r="H555" s="75"/>
      <c r="I555" s="75"/>
      <c r="J555" s="75"/>
      <c r="K555" s="75"/>
      <c r="L555" s="75"/>
      <c r="M555" s="75"/>
    </row>
    <row r="556" spans="3:13">
      <c r="C556" s="75"/>
      <c r="D556" s="75"/>
      <c r="E556" s="75"/>
      <c r="F556" s="75"/>
      <c r="G556" s="75"/>
      <c r="H556" s="75"/>
      <c r="I556" s="75"/>
      <c r="J556" s="75"/>
      <c r="K556" s="75"/>
      <c r="L556" s="75"/>
      <c r="M556" s="75"/>
    </row>
    <row r="557" spans="3:13">
      <c r="C557" s="75"/>
      <c r="D557" s="75"/>
      <c r="E557" s="75"/>
      <c r="F557" s="75"/>
      <c r="G557" s="75"/>
      <c r="H557" s="75"/>
      <c r="I557" s="75"/>
      <c r="J557" s="75"/>
      <c r="K557" s="75"/>
      <c r="L557" s="75"/>
      <c r="M557" s="75"/>
    </row>
    <row r="558" spans="3:13">
      <c r="C558" s="75"/>
      <c r="D558" s="75"/>
      <c r="E558" s="75"/>
      <c r="F558" s="75"/>
      <c r="G558" s="75"/>
      <c r="H558" s="75"/>
      <c r="I558" s="75"/>
      <c r="J558" s="75"/>
      <c r="K558" s="75"/>
      <c r="L558" s="75"/>
      <c r="M558" s="75"/>
    </row>
    <row r="559" spans="3:13">
      <c r="C559" s="75"/>
      <c r="D559" s="75"/>
      <c r="E559" s="75"/>
      <c r="F559" s="75"/>
      <c r="G559" s="75"/>
      <c r="H559" s="75"/>
      <c r="I559" s="75"/>
      <c r="J559" s="75"/>
      <c r="K559" s="75"/>
      <c r="L559" s="75"/>
      <c r="M559" s="75"/>
    </row>
    <row r="560" spans="3:13">
      <c r="C560" s="75"/>
      <c r="D560" s="75"/>
      <c r="E560" s="75"/>
      <c r="F560" s="75"/>
      <c r="G560" s="75"/>
      <c r="H560" s="75"/>
      <c r="I560" s="75"/>
      <c r="J560" s="75"/>
      <c r="K560" s="75"/>
      <c r="L560" s="75"/>
      <c r="M560" s="75"/>
    </row>
  </sheetData>
  <phoneticPr fontId="0" type="noConversion"/>
  <printOptions horizontalCentered="1"/>
  <pageMargins left="0.75" right="0.75" top="0.75" bottom="0.5" header="0.25" footer="0.25"/>
  <pageSetup scale="13" orientation="portrait" r:id="rId1"/>
  <headerFooter alignWithMargins="0"/>
  <rowBreaks count="5" manualBreakCount="5">
    <brk id="34" max="11" man="1"/>
    <brk id="94" max="11" man="1"/>
    <brk id="164" max="11" man="1"/>
    <brk id="241" max="11" man="1"/>
    <brk id="301" max="1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O331"/>
  <sheetViews>
    <sheetView zoomScale="75" zoomScaleNormal="75" zoomScaleSheetLayoutView="75" workbookViewId="0"/>
  </sheetViews>
  <sheetFormatPr defaultColWidth="8.81640625" defaultRowHeight="15"/>
  <cols>
    <col min="1" max="1" width="5.90625" style="687" customWidth="1"/>
    <col min="2" max="2" width="1.453125" style="11" customWidth="1"/>
    <col min="3" max="3" width="60.54296875" style="11" customWidth="1"/>
    <col min="4" max="4" width="23" style="11" customWidth="1"/>
    <col min="5" max="5" width="15.54296875" style="11" customWidth="1"/>
    <col min="6" max="6" width="8.1796875" style="11" customWidth="1"/>
    <col min="7" max="7" width="5.6328125" style="11" customWidth="1"/>
    <col min="8" max="8" width="13.1796875" style="11" customWidth="1"/>
    <col min="9" max="9" width="5.81640625" style="11" customWidth="1"/>
    <col min="10" max="10" width="16.36328125" style="11" customWidth="1"/>
    <col min="11" max="11" width="3.453125" style="11" customWidth="1"/>
    <col min="12" max="12" width="14" style="11" customWidth="1"/>
    <col min="13" max="13" width="1.90625" style="11" customWidth="1"/>
    <col min="14" max="14" width="8.81640625" style="11"/>
    <col min="15" max="15" width="13.81640625" style="11" customWidth="1"/>
    <col min="16" max="16384" width="8.81640625" style="11"/>
  </cols>
  <sheetData>
    <row r="1" spans="1:15" ht="17.399999999999999">
      <c r="A1" s="688"/>
      <c r="C1" s="26"/>
      <c r="D1" s="26"/>
      <c r="E1" s="27"/>
      <c r="F1" s="26"/>
      <c r="G1" s="26"/>
      <c r="H1" s="26"/>
      <c r="I1" s="28"/>
      <c r="J1" s="73" t="s">
        <v>306</v>
      </c>
      <c r="K1" s="84"/>
      <c r="M1" s="84"/>
      <c r="N1" s="596"/>
    </row>
    <row r="2" spans="1:15">
      <c r="C2" s="26"/>
      <c r="D2" s="26"/>
      <c r="E2" s="27"/>
      <c r="F2" s="26"/>
      <c r="G2" s="26"/>
      <c r="H2" s="26"/>
      <c r="I2" s="28"/>
      <c r="J2" s="73" t="s">
        <v>417</v>
      </c>
      <c r="M2" s="73"/>
    </row>
    <row r="3" spans="1:15">
      <c r="C3" s="26"/>
      <c r="D3" s="26"/>
      <c r="E3" s="27"/>
      <c r="F3" s="26"/>
      <c r="G3" s="26"/>
      <c r="H3" s="26"/>
      <c r="I3" s="28"/>
      <c r="K3" s="1"/>
      <c r="M3" s="73"/>
    </row>
    <row r="4" spans="1:15">
      <c r="C4" s="26"/>
      <c r="D4" s="26"/>
      <c r="E4" s="27"/>
      <c r="F4" s="26"/>
      <c r="G4" s="26"/>
      <c r="H4" s="26"/>
      <c r="I4" s="28"/>
      <c r="K4" s="1"/>
      <c r="M4" s="73"/>
    </row>
    <row r="5" spans="1:15">
      <c r="C5" s="26"/>
      <c r="D5" s="26"/>
      <c r="E5" s="27"/>
      <c r="F5" s="26"/>
      <c r="G5" s="26"/>
      <c r="H5" s="26"/>
      <c r="I5" s="28"/>
      <c r="K5" s="1"/>
      <c r="M5" s="73"/>
    </row>
    <row r="6" spans="1:15">
      <c r="C6" s="26"/>
      <c r="D6" s="26"/>
      <c r="E6" s="27"/>
      <c r="F6" s="26"/>
      <c r="G6" s="26"/>
      <c r="H6" s="26"/>
      <c r="I6" s="28"/>
      <c r="J6" s="1"/>
      <c r="K6" s="1"/>
      <c r="M6" s="1"/>
    </row>
    <row r="7" spans="1:15">
      <c r="C7" s="26" t="s">
        <v>6</v>
      </c>
      <c r="D7" s="26"/>
      <c r="E7" s="27"/>
      <c r="F7" s="26"/>
      <c r="G7" s="26"/>
      <c r="H7" s="26"/>
      <c r="I7" s="28"/>
      <c r="J7" s="261" t="str">
        <f>"For the 12 months ended: "&amp;TEXT(INPUT!$B$1,"mm/dd/yyyy")</f>
        <v>For the 12 months ended: 12/31/2018</v>
      </c>
      <c r="K7" s="1"/>
      <c r="M7" s="1"/>
    </row>
    <row r="8" spans="1:15">
      <c r="A8" s="697" t="str">
        <f>DEO!A8</f>
        <v>Rate Formula Template</v>
      </c>
      <c r="B8" s="246"/>
      <c r="C8" s="246"/>
      <c r="D8" s="244"/>
      <c r="E8" s="246"/>
      <c r="F8" s="244"/>
      <c r="G8" s="244"/>
      <c r="H8" s="244"/>
      <c r="I8" s="244"/>
      <c r="J8" s="246"/>
      <c r="K8" s="1"/>
      <c r="L8" s="246"/>
      <c r="M8" s="1"/>
    </row>
    <row r="9" spans="1:15">
      <c r="A9" s="690" t="s">
        <v>277</v>
      </c>
      <c r="B9" s="246"/>
      <c r="C9" s="244"/>
      <c r="D9" s="247"/>
      <c r="E9" s="246"/>
      <c r="F9" s="247"/>
      <c r="G9" s="247"/>
      <c r="H9" s="247"/>
      <c r="I9" s="244"/>
      <c r="J9" s="244"/>
      <c r="K9" s="1"/>
      <c r="L9" s="241"/>
      <c r="M9" s="1"/>
    </row>
    <row r="10" spans="1:15">
      <c r="A10" s="690"/>
      <c r="B10" s="246"/>
      <c r="C10" s="241"/>
      <c r="D10" s="241"/>
      <c r="E10" s="246"/>
      <c r="F10" s="241"/>
      <c r="G10" s="241"/>
      <c r="H10" s="241"/>
      <c r="I10" s="241"/>
      <c r="J10" s="241"/>
      <c r="K10" s="1"/>
      <c r="L10" s="241"/>
      <c r="M10" s="1"/>
    </row>
    <row r="11" spans="1:15" ht="15.6">
      <c r="A11" s="698" t="s">
        <v>755</v>
      </c>
      <c r="B11" s="383"/>
      <c r="C11" s="384"/>
      <c r="D11" s="384"/>
      <c r="E11" s="383"/>
      <c r="F11" s="384"/>
      <c r="G11" s="384"/>
      <c r="H11" s="384"/>
      <c r="I11" s="384"/>
      <c r="J11" s="384"/>
      <c r="K11" s="1"/>
      <c r="L11" s="241"/>
      <c r="M11" s="1"/>
    </row>
    <row r="12" spans="1:15">
      <c r="A12" s="685"/>
      <c r="C12" s="4" t="s">
        <v>18</v>
      </c>
      <c r="D12" s="4" t="s">
        <v>19</v>
      </c>
      <c r="E12" s="4" t="s">
        <v>20</v>
      </c>
      <c r="F12" s="548" t="s">
        <v>7</v>
      </c>
      <c r="G12" s="1106" t="s">
        <v>21</v>
      </c>
      <c r="H12" s="589"/>
      <c r="I12" s="548"/>
      <c r="J12" s="7" t="s">
        <v>22</v>
      </c>
      <c r="K12" s="1"/>
      <c r="L12" s="1"/>
      <c r="M12" s="1"/>
    </row>
    <row r="13" spans="1:15">
      <c r="A13" s="685" t="s">
        <v>8</v>
      </c>
      <c r="C13" s="1"/>
      <c r="D13" s="1"/>
      <c r="E13" s="19"/>
      <c r="F13" s="1"/>
      <c r="G13" s="1"/>
      <c r="H13" s="1"/>
      <c r="I13" s="1"/>
      <c r="J13" s="29" t="s">
        <v>9</v>
      </c>
      <c r="K13" s="1"/>
      <c r="L13" s="1"/>
      <c r="M13" s="1"/>
    </row>
    <row r="14" spans="1:15">
      <c r="A14" s="694" t="s">
        <v>10</v>
      </c>
      <c r="B14" s="212"/>
      <c r="C14" s="255"/>
      <c r="D14" s="255"/>
      <c r="E14" s="255"/>
      <c r="F14" s="255"/>
      <c r="G14" s="255"/>
      <c r="H14" s="255"/>
      <c r="I14" s="255"/>
      <c r="J14" s="256" t="s">
        <v>11</v>
      </c>
      <c r="K14" s="1"/>
      <c r="L14" s="1"/>
      <c r="M14" s="1"/>
    </row>
    <row r="15" spans="1:15">
      <c r="A15" s="685">
        <v>1</v>
      </c>
      <c r="C15" s="566" t="str">
        <f>DEO!C15</f>
        <v>GROSS REVENUE REQUIREMENT</v>
      </c>
      <c r="D15" s="669" t="str">
        <f>DEO!D15</f>
        <v>(page 3, line 29)</v>
      </c>
      <c r="E15" s="2"/>
      <c r="F15" s="1"/>
      <c r="G15" s="1"/>
      <c r="H15" s="1"/>
      <c r="I15" s="1"/>
      <c r="J15" s="33">
        <f>J161</f>
        <v>5235941</v>
      </c>
      <c r="K15" s="1"/>
      <c r="L15" s="1"/>
      <c r="M15" s="1"/>
      <c r="O15" s="1182"/>
    </row>
    <row r="16" spans="1:15">
      <c r="A16" s="685"/>
      <c r="C16" s="566"/>
      <c r="D16" s="840"/>
      <c r="E16" s="1"/>
      <c r="F16" s="1"/>
      <c r="G16" s="1"/>
      <c r="H16" s="1"/>
      <c r="I16" s="1"/>
      <c r="J16" s="33"/>
      <c r="K16" s="1"/>
      <c r="L16" s="1"/>
      <c r="M16" s="1"/>
      <c r="O16" s="1182"/>
    </row>
    <row r="17" spans="1:15">
      <c r="A17" s="685"/>
      <c r="C17" s="566"/>
      <c r="D17" s="840"/>
      <c r="E17" s="1"/>
      <c r="F17" s="1"/>
      <c r="G17" s="1"/>
      <c r="H17" s="1"/>
      <c r="I17" s="1"/>
      <c r="J17" s="33"/>
      <c r="K17" s="1"/>
      <c r="L17" s="1"/>
      <c r="M17" s="1"/>
      <c r="O17" s="1182"/>
    </row>
    <row r="18" spans="1:15" ht="15.6" thickBot="1">
      <c r="A18" s="685" t="s">
        <v>7</v>
      </c>
      <c r="C18" s="566" t="str">
        <f>DEO!C18</f>
        <v>REVENUE CREDITS    (Note T)</v>
      </c>
      <c r="D18" s="841"/>
      <c r="E18" s="37" t="s">
        <v>12</v>
      </c>
      <c r="F18" s="5"/>
      <c r="G18" s="45" t="s">
        <v>13</v>
      </c>
      <c r="H18" s="45"/>
      <c r="I18" s="1"/>
      <c r="J18" s="33"/>
      <c r="K18" s="1"/>
      <c r="L18" s="1"/>
      <c r="M18" s="1"/>
      <c r="O18" s="1182"/>
    </row>
    <row r="19" spans="1:15">
      <c r="A19" s="685">
        <v>2</v>
      </c>
      <c r="C19" s="566" t="str">
        <f>DEO!C19</f>
        <v>Account No. 454</v>
      </c>
      <c r="D19" s="669" t="str">
        <f>DEO!D19</f>
        <v>(page 4, line 34)</v>
      </c>
      <c r="E19" s="319">
        <f>J237</f>
        <v>14039</v>
      </c>
      <c r="F19" s="319"/>
      <c r="G19" s="319" t="s">
        <v>14</v>
      </c>
      <c r="H19" s="18">
        <f>DEK_TP_Alloc</f>
        <v>0.71682999999999997</v>
      </c>
      <c r="I19" s="319"/>
      <c r="J19" s="597">
        <f>ROUND(H19*E19,0)</f>
        <v>10064</v>
      </c>
      <c r="K19" s="1"/>
      <c r="L19" s="1"/>
      <c r="M19" s="1"/>
      <c r="O19" s="1182"/>
    </row>
    <row r="20" spans="1:15">
      <c r="A20" s="685">
        <v>3</v>
      </c>
      <c r="C20" s="566" t="str">
        <f>DEO!C20</f>
        <v>Account No. 456.1</v>
      </c>
      <c r="D20" s="669" t="str">
        <f>DEO!D20</f>
        <v>(page 4, line 35)</v>
      </c>
      <c r="E20" s="202">
        <f>J239</f>
        <v>29155</v>
      </c>
      <c r="F20" s="319"/>
      <c r="G20" s="319" t="str">
        <f>G$19</f>
        <v>TP</v>
      </c>
      <c r="H20" s="18">
        <f>DEK_TP_Alloc</f>
        <v>0.71682999999999997</v>
      </c>
      <c r="I20" s="319"/>
      <c r="J20" s="202">
        <f>ROUND(H20*E20,0)</f>
        <v>20899</v>
      </c>
      <c r="K20" s="1"/>
      <c r="L20" s="1"/>
      <c r="M20" s="1"/>
      <c r="O20" s="1182"/>
    </row>
    <row r="21" spans="1:15">
      <c r="A21" s="685" t="s">
        <v>299</v>
      </c>
      <c r="C21" s="566" t="str">
        <f>DEO!C21</f>
        <v>Revenues from Grandfathered Interzonal Transactions</v>
      </c>
      <c r="D21" s="669"/>
      <c r="E21" s="321">
        <v>0</v>
      </c>
      <c r="F21" s="319"/>
      <c r="G21" s="319" t="str">
        <f>G$19</f>
        <v>TP</v>
      </c>
      <c r="H21" s="18">
        <f>DEK_TP_Alloc</f>
        <v>0.71682999999999997</v>
      </c>
      <c r="I21" s="319"/>
      <c r="J21" s="202">
        <f t="shared" ref="J21:J23" si="0">ROUND(H21*E21,0)</f>
        <v>0</v>
      </c>
      <c r="K21" s="1"/>
      <c r="L21" s="1"/>
      <c r="M21" s="1"/>
      <c r="O21" s="1182"/>
    </row>
    <row r="22" spans="1:15">
      <c r="A22" s="685" t="s">
        <v>300</v>
      </c>
      <c r="C22" s="566" t="str">
        <f>DEO!C22</f>
        <v>Revenues from service provided by ISO at a discount</v>
      </c>
      <c r="D22" s="669"/>
      <c r="E22" s="321">
        <v>0</v>
      </c>
      <c r="F22" s="319"/>
      <c r="G22" s="319" t="str">
        <f>G$19</f>
        <v>TP</v>
      </c>
      <c r="H22" s="18">
        <f>DEK_TP_Alloc</f>
        <v>0.71682999999999997</v>
      </c>
      <c r="I22" s="319"/>
      <c r="J22" s="202">
        <f t="shared" si="0"/>
        <v>0</v>
      </c>
      <c r="K22" s="1"/>
      <c r="L22" s="1"/>
      <c r="M22" s="1"/>
      <c r="O22" s="1182"/>
    </row>
    <row r="23" spans="1:15">
      <c r="A23" s="685">
        <v>5</v>
      </c>
      <c r="C23" s="566" t="str">
        <f>DEO!C23</f>
        <v>Legacy MTEP Credit (Account 456.1)</v>
      </c>
      <c r="D23" s="669" t="str">
        <f>DEO!D23</f>
        <v>(page 4, line 36)</v>
      </c>
      <c r="E23" s="619">
        <v>0</v>
      </c>
      <c r="F23" s="319"/>
      <c r="G23" s="319"/>
      <c r="H23" s="396">
        <v>1</v>
      </c>
      <c r="I23" s="319"/>
      <c r="J23" s="202">
        <f t="shared" si="0"/>
        <v>0</v>
      </c>
      <c r="K23" s="1"/>
      <c r="L23" s="1"/>
      <c r="M23" s="1"/>
      <c r="O23" s="1182"/>
    </row>
    <row r="24" spans="1:15" s="596" customFormat="1">
      <c r="A24" s="685"/>
      <c r="C24" s="566"/>
      <c r="D24" s="669"/>
      <c r="E24" s="202"/>
      <c r="F24" s="597"/>
      <c r="G24" s="597"/>
      <c r="H24" s="396"/>
      <c r="I24" s="597"/>
      <c r="J24" s="440"/>
      <c r="K24" s="566"/>
      <c r="L24" s="566"/>
      <c r="M24" s="566"/>
      <c r="O24" s="1182"/>
    </row>
    <row r="25" spans="1:15" s="596" customFormat="1">
      <c r="A25" s="685"/>
      <c r="C25" s="566"/>
      <c r="D25" s="669"/>
      <c r="E25" s="202"/>
      <c r="F25" s="597"/>
      <c r="G25" s="597"/>
      <c r="H25" s="396"/>
      <c r="I25" s="597"/>
      <c r="J25" s="440"/>
      <c r="K25" s="566"/>
      <c r="L25" s="566"/>
      <c r="M25" s="566"/>
      <c r="O25" s="1182"/>
    </row>
    <row r="26" spans="1:15" s="596" customFormat="1">
      <c r="A26" s="685"/>
      <c r="C26" s="566"/>
      <c r="D26" s="669"/>
      <c r="E26" s="202"/>
      <c r="F26" s="597"/>
      <c r="G26" s="597"/>
      <c r="H26" s="396"/>
      <c r="I26" s="597"/>
      <c r="J26" s="440"/>
      <c r="K26" s="566"/>
      <c r="L26" s="566"/>
      <c r="M26" s="566"/>
      <c r="O26" s="1182"/>
    </row>
    <row r="27" spans="1:15">
      <c r="A27" s="685">
        <v>6</v>
      </c>
      <c r="C27" s="566" t="str">
        <f>DEO!C27</f>
        <v>TOTAL REVENUE CREDITS  (sum lines 2-5)</v>
      </c>
      <c r="D27" s="840"/>
      <c r="E27" s="16" t="s">
        <v>7</v>
      </c>
      <c r="F27" s="5"/>
      <c r="G27" s="5"/>
      <c r="H27" s="18"/>
      <c r="I27" s="5"/>
      <c r="J27" s="667">
        <f>SUM(J19:J23)</f>
        <v>30963</v>
      </c>
      <c r="K27" s="1"/>
      <c r="L27" s="1"/>
      <c r="M27" s="1"/>
      <c r="O27" s="1182"/>
    </row>
    <row r="28" spans="1:15">
      <c r="A28" s="685"/>
      <c r="C28" s="596"/>
      <c r="D28" s="840"/>
      <c r="E28" s="5" t="s">
        <v>7</v>
      </c>
      <c r="F28" s="1"/>
      <c r="G28" s="1"/>
      <c r="H28" s="18"/>
      <c r="I28" s="1"/>
      <c r="J28" s="597"/>
      <c r="K28" s="1"/>
      <c r="L28" s="1"/>
      <c r="M28" s="1"/>
      <c r="O28" s="1182"/>
    </row>
    <row r="29" spans="1:15">
      <c r="A29" s="685"/>
      <c r="C29" s="531"/>
      <c r="D29" s="840"/>
      <c r="J29" s="597"/>
      <c r="K29" s="1"/>
      <c r="L29" s="1"/>
      <c r="M29" s="1"/>
      <c r="O29" s="1182"/>
    </row>
    <row r="30" spans="1:15" ht="15.6" thickBot="1">
      <c r="A30" s="685">
        <v>7</v>
      </c>
      <c r="C30" s="566" t="str">
        <f>DEO!C30</f>
        <v>NET REVENUE REQUIREMENT</v>
      </c>
      <c r="D30" s="669" t="str">
        <f>DEO!D30</f>
        <v>(line 1 minus line 6)</v>
      </c>
      <c r="E30" s="16" t="s">
        <v>7</v>
      </c>
      <c r="F30" s="5"/>
      <c r="G30" s="5"/>
      <c r="H30" s="5"/>
      <c r="I30" s="5"/>
      <c r="J30" s="46">
        <f>J15-J27</f>
        <v>5204978</v>
      </c>
      <c r="K30" s="1"/>
      <c r="L30" s="1"/>
      <c r="M30" s="1"/>
      <c r="O30" s="1182"/>
    </row>
    <row r="31" spans="1:15" ht="15.6" thickTop="1">
      <c r="A31" s="685"/>
      <c r="C31" s="596"/>
      <c r="D31" s="840"/>
      <c r="E31" s="16"/>
      <c r="F31" s="5"/>
      <c r="G31" s="5"/>
      <c r="H31" s="5"/>
      <c r="I31" s="5"/>
      <c r="K31" s="1"/>
      <c r="L31" s="1"/>
      <c r="M31" s="1"/>
      <c r="O31" s="1182"/>
    </row>
    <row r="32" spans="1:15">
      <c r="A32" s="685"/>
      <c r="C32" s="596"/>
      <c r="D32" s="669"/>
      <c r="J32" s="5"/>
      <c r="K32" s="1"/>
      <c r="L32" s="1"/>
      <c r="M32" s="1"/>
      <c r="O32" s="1182"/>
    </row>
    <row r="33" spans="1:15">
      <c r="A33" s="685"/>
      <c r="C33" s="531"/>
      <c r="D33" s="840"/>
      <c r="E33" s="33"/>
      <c r="F33" s="33"/>
      <c r="G33" s="33"/>
      <c r="H33" s="33"/>
      <c r="I33" s="33"/>
      <c r="J33" s="33"/>
      <c r="K33" s="1"/>
      <c r="L33" s="1"/>
      <c r="M33" s="1"/>
      <c r="O33" s="1182"/>
    </row>
    <row r="34" spans="1:15">
      <c r="C34" s="26"/>
      <c r="D34" s="26"/>
      <c r="E34" s="27"/>
      <c r="F34" s="26"/>
      <c r="G34" s="26"/>
      <c r="H34" s="26"/>
      <c r="I34" s="28"/>
      <c r="K34" s="29"/>
      <c r="L34" s="85"/>
      <c r="M34" s="29"/>
      <c r="O34" s="1182"/>
    </row>
    <row r="35" spans="1:15" ht="17.399999999999999">
      <c r="A35" s="688"/>
      <c r="B35" s="63"/>
      <c r="C35" s="26"/>
      <c r="D35" s="26"/>
      <c r="E35" s="27"/>
      <c r="F35" s="26"/>
      <c r="G35" s="26"/>
      <c r="H35" s="26"/>
      <c r="I35" s="28"/>
      <c r="J35" s="73" t="s">
        <v>306</v>
      </c>
      <c r="K35" s="84"/>
      <c r="M35" s="84"/>
      <c r="O35" s="1182"/>
    </row>
    <row r="36" spans="1:15">
      <c r="C36" s="26"/>
      <c r="D36" s="26"/>
      <c r="E36" s="27"/>
      <c r="F36" s="26"/>
      <c r="G36" s="26"/>
      <c r="H36" s="26"/>
      <c r="I36" s="28"/>
      <c r="J36" s="73" t="s">
        <v>418</v>
      </c>
      <c r="M36" s="73"/>
      <c r="O36" s="1182"/>
    </row>
    <row r="37" spans="1:15">
      <c r="C37" s="26"/>
      <c r="D37" s="26"/>
      <c r="E37" s="27"/>
      <c r="F37" s="26"/>
      <c r="G37" s="26"/>
      <c r="H37" s="26"/>
      <c r="I37" s="28"/>
      <c r="K37" s="1"/>
      <c r="M37" s="73"/>
      <c r="O37" s="1182"/>
    </row>
    <row r="38" spans="1:15">
      <c r="C38" s="26"/>
      <c r="D38" s="26"/>
      <c r="E38" s="27"/>
      <c r="F38" s="26"/>
      <c r="G38" s="26"/>
      <c r="H38" s="26"/>
      <c r="I38" s="28"/>
      <c r="K38" s="1"/>
      <c r="M38" s="73"/>
      <c r="O38" s="1182"/>
    </row>
    <row r="39" spans="1:15">
      <c r="C39" s="26"/>
      <c r="D39" s="26"/>
      <c r="E39" s="27"/>
      <c r="F39" s="26"/>
      <c r="G39" s="26"/>
      <c r="H39" s="26"/>
      <c r="I39" s="28"/>
      <c r="K39" s="1"/>
      <c r="M39" s="73"/>
      <c r="O39" s="1182"/>
    </row>
    <row r="40" spans="1:15">
      <c r="C40" s="26"/>
      <c r="D40" s="26"/>
      <c r="E40" s="27"/>
      <c r="F40" s="26"/>
      <c r="G40" s="26"/>
      <c r="H40" s="26"/>
      <c r="I40" s="28"/>
      <c r="J40" s="73"/>
      <c r="K40" s="1"/>
      <c r="M40" s="73"/>
      <c r="O40" s="1182"/>
    </row>
    <row r="41" spans="1:15">
      <c r="C41" s="26" t="s">
        <v>6</v>
      </c>
      <c r="D41" s="26"/>
      <c r="E41" s="27"/>
      <c r="F41" s="26"/>
      <c r="G41" s="26"/>
      <c r="H41" s="26"/>
      <c r="I41" s="28"/>
      <c r="J41" s="85" t="str">
        <f>J7</f>
        <v>For the 12 months ended: 12/31/2018</v>
      </c>
      <c r="K41" s="5"/>
      <c r="M41" s="73"/>
      <c r="O41" s="1182"/>
    </row>
    <row r="42" spans="1:15">
      <c r="A42" s="689" t="str">
        <f>A8</f>
        <v>Rate Formula Template</v>
      </c>
      <c r="B42" s="246"/>
      <c r="C42" s="246"/>
      <c r="D42" s="244"/>
      <c r="E42" s="246"/>
      <c r="F42" s="244"/>
      <c r="G42" s="244"/>
      <c r="H42" s="244"/>
      <c r="I42" s="244"/>
      <c r="J42" s="246"/>
      <c r="K42" s="5"/>
      <c r="L42" s="246"/>
      <c r="M42" s="1"/>
      <c r="O42" s="1182"/>
    </row>
    <row r="43" spans="1:15">
      <c r="A43" s="690" t="s">
        <v>277</v>
      </c>
      <c r="B43" s="246"/>
      <c r="C43" s="244"/>
      <c r="D43" s="247"/>
      <c r="E43" s="246"/>
      <c r="F43" s="247"/>
      <c r="G43" s="247"/>
      <c r="H43" s="247"/>
      <c r="I43" s="244"/>
      <c r="J43" s="244"/>
      <c r="K43" s="5"/>
      <c r="L43" s="241"/>
      <c r="M43" s="1"/>
      <c r="O43" s="1182"/>
    </row>
    <row r="44" spans="1:15">
      <c r="A44" s="690"/>
      <c r="B44" s="246"/>
      <c r="C44" s="241"/>
      <c r="D44" s="241"/>
      <c r="E44" s="246"/>
      <c r="F44" s="241"/>
      <c r="G44" s="241"/>
      <c r="H44" s="241"/>
      <c r="I44" s="241"/>
      <c r="J44" s="241"/>
      <c r="K44" s="5"/>
      <c r="L44" s="241"/>
      <c r="M44" s="1"/>
      <c r="O44" s="1182"/>
    </row>
    <row r="45" spans="1:15" ht="15.6">
      <c r="A45" s="851" t="str">
        <f>$A$11</f>
        <v>DUKE ENERGY KENTUCKY (DEK)</v>
      </c>
      <c r="B45" s="246"/>
      <c r="C45" s="241"/>
      <c r="D45" s="241"/>
      <c r="E45" s="246"/>
      <c r="F45" s="241"/>
      <c r="G45" s="241"/>
      <c r="H45" s="241"/>
      <c r="I45" s="241"/>
      <c r="J45" s="241"/>
      <c r="K45" s="5"/>
      <c r="L45" s="241"/>
      <c r="M45" s="5"/>
      <c r="O45" s="1182"/>
    </row>
    <row r="46" spans="1:15">
      <c r="B46" s="246"/>
      <c r="C46" s="241"/>
      <c r="D46" s="241"/>
      <c r="E46" s="246"/>
      <c r="F46" s="241"/>
      <c r="G46" s="241"/>
      <c r="H46" s="241"/>
      <c r="I46" s="241"/>
      <c r="J46" s="241"/>
      <c r="K46" s="5"/>
      <c r="L46" s="241"/>
      <c r="M46" s="5"/>
      <c r="O46" s="1182"/>
    </row>
    <row r="47" spans="1:15">
      <c r="C47" s="4" t="s">
        <v>18</v>
      </c>
      <c r="D47" s="4" t="s">
        <v>19</v>
      </c>
      <c r="E47" s="4" t="s">
        <v>20</v>
      </c>
      <c r="F47" s="5" t="s">
        <v>7</v>
      </c>
      <c r="G47" s="1106" t="s">
        <v>21</v>
      </c>
      <c r="H47" s="589"/>
      <c r="I47" s="5"/>
      <c r="J47" s="7" t="s">
        <v>22</v>
      </c>
      <c r="K47" s="5"/>
      <c r="L47" s="4"/>
      <c r="M47" s="5"/>
      <c r="O47" s="1182"/>
    </row>
    <row r="48" spans="1:15">
      <c r="A48" s="685" t="s">
        <v>8</v>
      </c>
      <c r="B48" s="596"/>
      <c r="C48" s="531"/>
      <c r="D48" s="6" t="s">
        <v>23</v>
      </c>
      <c r="E48" s="548"/>
      <c r="F48" s="548"/>
      <c r="G48" s="548"/>
      <c r="H48" s="542"/>
      <c r="I48" s="548"/>
      <c r="J48" s="542" t="s">
        <v>24</v>
      </c>
      <c r="K48" s="5"/>
      <c r="L48" s="4"/>
      <c r="M48" s="5"/>
      <c r="O48" s="1182"/>
    </row>
    <row r="49" spans="1:15" ht="15.6" thickBot="1">
      <c r="A49" s="694" t="s">
        <v>10</v>
      </c>
      <c r="B49" s="596"/>
      <c r="C49" s="260" t="s">
        <v>281</v>
      </c>
      <c r="D49" s="852" t="s">
        <v>25</v>
      </c>
      <c r="E49" s="37" t="s">
        <v>26</v>
      </c>
      <c r="F49" s="347"/>
      <c r="G49" s="45" t="s">
        <v>13</v>
      </c>
      <c r="H49" s="45"/>
      <c r="I49" s="347"/>
      <c r="J49" s="853" t="s">
        <v>351</v>
      </c>
      <c r="K49" s="5"/>
      <c r="L49" s="4"/>
      <c r="M49" s="1"/>
      <c r="O49" s="1182"/>
    </row>
    <row r="50" spans="1:15">
      <c r="D50" s="5"/>
      <c r="E50" s="5"/>
      <c r="F50" s="5"/>
      <c r="G50" s="5"/>
      <c r="H50" s="5"/>
      <c r="I50" s="5"/>
      <c r="J50" s="5"/>
      <c r="K50" s="5"/>
      <c r="L50" s="5"/>
      <c r="M50" s="1"/>
      <c r="O50" s="1182"/>
    </row>
    <row r="51" spans="1:15">
      <c r="A51" s="685"/>
      <c r="C51" s="3"/>
      <c r="D51" s="5"/>
      <c r="E51" s="5"/>
      <c r="F51" s="5"/>
      <c r="G51" s="5"/>
      <c r="H51" s="5"/>
      <c r="I51" s="5"/>
      <c r="J51" s="5"/>
      <c r="K51" s="5"/>
      <c r="L51" s="5"/>
      <c r="M51" s="1"/>
      <c r="O51" s="1182"/>
    </row>
    <row r="52" spans="1:15">
      <c r="A52" s="685"/>
      <c r="C52" s="566" t="str">
        <f>DEO!C52</f>
        <v>GROSS PLANT IN SERVICE</v>
      </c>
      <c r="D52" s="5"/>
      <c r="E52" s="5"/>
      <c r="F52" s="5"/>
      <c r="G52" s="5"/>
      <c r="H52" s="5"/>
      <c r="I52" s="5"/>
      <c r="J52" s="5"/>
      <c r="K52" s="5"/>
      <c r="L52" s="5"/>
      <c r="M52" s="1"/>
      <c r="O52" s="1182"/>
    </row>
    <row r="53" spans="1:15">
      <c r="A53" s="685">
        <v>1</v>
      </c>
      <c r="C53" s="566" t="str">
        <f>DEO!C53</f>
        <v xml:space="preserve">  Production</v>
      </c>
      <c r="D53" s="840" t="str">
        <f>DEO!D53</f>
        <v>205.46.g</v>
      </c>
      <c r="E53" s="387">
        <f>INPUT!D9</f>
        <v>1195710449</v>
      </c>
      <c r="F53" s="5"/>
      <c r="G53" s="5" t="s">
        <v>30</v>
      </c>
      <c r="H53" s="13" t="s">
        <v>7</v>
      </c>
      <c r="I53" s="5"/>
      <c r="J53" s="204">
        <v>0</v>
      </c>
      <c r="K53" s="5"/>
      <c r="L53" s="5"/>
      <c r="M53" s="1"/>
      <c r="O53" s="1182"/>
    </row>
    <row r="54" spans="1:15">
      <c r="A54" s="685">
        <v>2</v>
      </c>
      <c r="C54" s="566" t="str">
        <f>DEO!C54</f>
        <v xml:space="preserve">  Transmission</v>
      </c>
      <c r="D54" s="840" t="str">
        <f>DEO!D54</f>
        <v>207.58.g</v>
      </c>
      <c r="E54" s="321">
        <f>INPUT!D10</f>
        <v>58283428</v>
      </c>
      <c r="F54" s="5"/>
      <c r="G54" s="5" t="s">
        <v>14</v>
      </c>
      <c r="H54" s="18">
        <f>DEK_TP_Alloc</f>
        <v>0.71682999999999997</v>
      </c>
      <c r="I54" s="5"/>
      <c r="J54" s="79">
        <f>ROUND(H54*E54,0)</f>
        <v>41779310</v>
      </c>
      <c r="K54" s="5"/>
      <c r="L54" s="5"/>
      <c r="M54" s="1"/>
      <c r="O54" s="1182"/>
    </row>
    <row r="55" spans="1:15">
      <c r="A55" s="685">
        <v>3</v>
      </c>
      <c r="C55" s="566" t="str">
        <f>DEO!C55</f>
        <v xml:space="preserve">  Distribution</v>
      </c>
      <c r="D55" s="840" t="str">
        <f>DEO!D55</f>
        <v>207.75.g</v>
      </c>
      <c r="E55" s="321">
        <f>INPUT!D11</f>
        <v>484361125</v>
      </c>
      <c r="F55" s="5"/>
      <c r="G55" s="5" t="s">
        <v>30</v>
      </c>
      <c r="H55" s="13" t="s">
        <v>7</v>
      </c>
      <c r="I55" s="5"/>
      <c r="J55" s="204"/>
      <c r="K55" s="5"/>
      <c r="L55" s="5"/>
      <c r="M55" s="1"/>
      <c r="O55" s="1182"/>
    </row>
    <row r="56" spans="1:15">
      <c r="A56" s="685">
        <v>4</v>
      </c>
      <c r="C56" s="566" t="str">
        <f>DEO!C56</f>
        <v xml:space="preserve">  General &amp; Intangible</v>
      </c>
      <c r="D56" s="840" t="str">
        <f>DEO!D56</f>
        <v>205.5.g &amp; 207.99.g</v>
      </c>
      <c r="E56" s="321">
        <f>INPUT!D12</f>
        <v>30788868</v>
      </c>
      <c r="F56" s="5"/>
      <c r="G56" s="548" t="s">
        <v>146</v>
      </c>
      <c r="H56" s="13">
        <f>DEK_WS_Alloc</f>
        <v>3.3360000000000001E-2</v>
      </c>
      <c r="I56" s="5"/>
      <c r="J56" s="204">
        <f>ROUND(H56*E56,0)</f>
        <v>1027117</v>
      </c>
      <c r="K56" s="5"/>
      <c r="L56" s="5"/>
      <c r="M56" s="5"/>
      <c r="O56" s="1182"/>
    </row>
    <row r="57" spans="1:15" ht="15.6" thickBot="1">
      <c r="A57" s="685">
        <v>5</v>
      </c>
      <c r="C57" s="566" t="str">
        <f>DEO!C57</f>
        <v xml:space="preserve">  Common</v>
      </c>
      <c r="D57" s="840" t="str">
        <f>DEO!D57</f>
        <v>356</v>
      </c>
      <c r="E57" s="385">
        <f>INPUT!D13</f>
        <v>36195234</v>
      </c>
      <c r="F57" s="5"/>
      <c r="G57" s="5" t="s">
        <v>76</v>
      </c>
      <c r="H57" s="13">
        <f>DEK_CE_Alloc</f>
        <v>2.656E-2</v>
      </c>
      <c r="I57" s="5"/>
      <c r="J57" s="205">
        <f>ROUND(H57*E57,0)</f>
        <v>961345</v>
      </c>
      <c r="K57" s="5"/>
      <c r="L57" s="5"/>
      <c r="M57" s="5"/>
      <c r="O57" s="1182"/>
    </row>
    <row r="58" spans="1:15">
      <c r="A58" s="685">
        <v>6</v>
      </c>
      <c r="C58" s="566" t="str">
        <f>DEO!C58</f>
        <v>TOTAL GROSS PLANT (sum lines 1-5)</v>
      </c>
      <c r="D58" s="669"/>
      <c r="E58" s="440">
        <f>SUM(E53:E57)</f>
        <v>1805339104</v>
      </c>
      <c r="F58" s="5"/>
      <c r="G58" s="5" t="s">
        <v>36</v>
      </c>
      <c r="H58" s="13">
        <f>IF(J58&gt;0,ROUND(J58/E58,5),0)</f>
        <v>2.4240000000000001E-2</v>
      </c>
      <c r="I58" s="5"/>
      <c r="J58" s="79">
        <f>SUM(J53:J57)</f>
        <v>43767772</v>
      </c>
      <c r="K58" s="5"/>
      <c r="L58" s="17"/>
      <c r="M58" s="1"/>
      <c r="O58" s="1182"/>
    </row>
    <row r="59" spans="1:15">
      <c r="C59" s="531"/>
      <c r="D59" s="669"/>
      <c r="E59" s="202"/>
      <c r="F59" s="5"/>
      <c r="G59" s="5"/>
      <c r="H59" s="17"/>
      <c r="I59" s="5"/>
      <c r="J59" s="204"/>
      <c r="K59" s="5"/>
      <c r="L59" s="17"/>
      <c r="M59" s="1"/>
      <c r="O59" s="1182"/>
    </row>
    <row r="60" spans="1:15">
      <c r="C60" s="566" t="str">
        <f>DEO!C60</f>
        <v>ACCUMULATED DEPRECIATION AND AMORTIZATION</v>
      </c>
      <c r="D60" s="669"/>
      <c r="E60" s="202"/>
      <c r="F60" s="5"/>
      <c r="G60" s="5"/>
      <c r="H60" s="5"/>
      <c r="I60" s="5"/>
      <c r="J60" s="204"/>
      <c r="K60" s="5"/>
      <c r="L60" s="5"/>
      <c r="M60" s="1"/>
      <c r="O60" s="1182"/>
    </row>
    <row r="61" spans="1:15">
      <c r="A61" s="685">
        <v>7</v>
      </c>
      <c r="C61" s="566" t="str">
        <f>DEO!C61</f>
        <v xml:space="preserve">  Production</v>
      </c>
      <c r="D61" s="840" t="str">
        <f>DEO!D61</f>
        <v>219.20.c-219.24.c</v>
      </c>
      <c r="E61" s="387">
        <f>INPUT!D17</f>
        <v>596756722</v>
      </c>
      <c r="F61" s="5"/>
      <c r="G61" s="5" t="str">
        <f t="shared" ref="G61:G65" si="1">G53</f>
        <v>NA</v>
      </c>
      <c r="H61" s="13"/>
      <c r="I61" s="5"/>
      <c r="J61" s="204"/>
      <c r="K61" s="5"/>
      <c r="L61" s="5"/>
      <c r="M61" s="1"/>
      <c r="O61" s="1182"/>
    </row>
    <row r="62" spans="1:15">
      <c r="A62" s="685">
        <v>8</v>
      </c>
      <c r="C62" s="566" t="str">
        <f>DEO!C62</f>
        <v xml:space="preserve">  Transmission</v>
      </c>
      <c r="D62" s="840" t="str">
        <f>DEO!D62</f>
        <v>219.25.c</v>
      </c>
      <c r="E62" s="321">
        <f>INPUT!D18</f>
        <v>19575675</v>
      </c>
      <c r="F62" s="5"/>
      <c r="G62" s="5" t="str">
        <f t="shared" si="1"/>
        <v>TP</v>
      </c>
      <c r="H62" s="18">
        <f>DEK_TP_Alloc</f>
        <v>0.71682999999999997</v>
      </c>
      <c r="I62" s="5"/>
      <c r="J62" s="79">
        <f>ROUND(H62*E62,0)</f>
        <v>14032431</v>
      </c>
      <c r="K62" s="5"/>
      <c r="L62" s="5"/>
      <c r="M62" s="1"/>
      <c r="O62" s="1182"/>
    </row>
    <row r="63" spans="1:15">
      <c r="A63" s="685">
        <v>9</v>
      </c>
      <c r="C63" s="566" t="str">
        <f>DEO!C63</f>
        <v xml:space="preserve">  Distribution</v>
      </c>
      <c r="D63" s="840" t="str">
        <f>DEO!D63</f>
        <v>219.26.c</v>
      </c>
      <c r="E63" s="321">
        <f>INPUT!D19</f>
        <v>152298366</v>
      </c>
      <c r="F63" s="5"/>
      <c r="G63" s="5" t="str">
        <f t="shared" si="1"/>
        <v>NA</v>
      </c>
      <c r="H63" s="13"/>
      <c r="I63" s="5"/>
      <c r="J63" s="204"/>
      <c r="K63" s="5"/>
      <c r="L63" s="5"/>
      <c r="M63" s="1"/>
      <c r="O63" s="1182"/>
    </row>
    <row r="64" spans="1:15">
      <c r="A64" s="685">
        <v>10</v>
      </c>
      <c r="C64" s="566" t="str">
        <f>DEO!C64</f>
        <v xml:space="preserve">  General &amp; Intangible</v>
      </c>
      <c r="D64" s="840" t="str">
        <f>DEO!D64</f>
        <v xml:space="preserve">200.21.c &amp; 219.28.c </v>
      </c>
      <c r="E64" s="321">
        <f>INPUT!D20</f>
        <v>14831936</v>
      </c>
      <c r="F64" s="5"/>
      <c r="G64" s="5" t="str">
        <f t="shared" si="1"/>
        <v>WS</v>
      </c>
      <c r="H64" s="13">
        <f>DEK_WS_Alloc</f>
        <v>3.3360000000000001E-2</v>
      </c>
      <c r="I64" s="5"/>
      <c r="J64" s="204">
        <f>ROUND(H64*E64,0)</f>
        <v>494793</v>
      </c>
      <c r="K64" s="5"/>
      <c r="L64" s="5"/>
      <c r="M64" s="1"/>
      <c r="O64" s="1182"/>
    </row>
    <row r="65" spans="1:15" ht="15.6" thickBot="1">
      <c r="A65" s="685">
        <v>11</v>
      </c>
      <c r="C65" s="566" t="str">
        <f>DEO!C65</f>
        <v xml:space="preserve">  Common</v>
      </c>
      <c r="D65" s="840" t="str">
        <f>DEO!D65</f>
        <v>356</v>
      </c>
      <c r="E65" s="385">
        <f>INPUT!D21</f>
        <v>27327944</v>
      </c>
      <c r="F65" s="5"/>
      <c r="G65" s="5" t="str">
        <f t="shared" si="1"/>
        <v>CE</v>
      </c>
      <c r="H65" s="13">
        <f>DEK_CE_Alloc</f>
        <v>2.656E-2</v>
      </c>
      <c r="I65" s="5"/>
      <c r="J65" s="205">
        <f>ROUND(H65*E65,0)</f>
        <v>725830</v>
      </c>
      <c r="K65" s="5"/>
      <c r="L65" s="5"/>
      <c r="M65" s="1"/>
      <c r="O65" s="1182"/>
    </row>
    <row r="66" spans="1:15">
      <c r="A66" s="685">
        <v>12</v>
      </c>
      <c r="C66" s="566" t="str">
        <f>DEO!C66</f>
        <v>TOTAL ACCUM. DEPRECIATION AND AMORTIZATION (sum lines 7-11)</v>
      </c>
      <c r="D66" s="669"/>
      <c r="E66" s="440">
        <f>SUM(E61:E65)</f>
        <v>810790643</v>
      </c>
      <c r="F66" s="5"/>
      <c r="G66" s="5"/>
      <c r="H66" s="5"/>
      <c r="I66" s="5"/>
      <c r="J66" s="79">
        <f>SUM(J61:J65)</f>
        <v>15253054</v>
      </c>
      <c r="K66" s="5"/>
      <c r="L66" s="5"/>
      <c r="M66" s="1"/>
      <c r="O66" s="1182"/>
    </row>
    <row r="67" spans="1:15">
      <c r="A67" s="685"/>
      <c r="C67" s="561"/>
      <c r="D67" s="669" t="s">
        <v>7</v>
      </c>
      <c r="E67" s="202"/>
      <c r="F67" s="5"/>
      <c r="G67" s="5"/>
      <c r="H67" s="17"/>
      <c r="I67" s="5"/>
      <c r="J67" s="204"/>
      <c r="K67" s="5"/>
      <c r="L67" s="17"/>
      <c r="M67" s="1"/>
      <c r="O67" s="1182"/>
    </row>
    <row r="68" spans="1:15">
      <c r="A68" s="685"/>
      <c r="C68" s="566" t="str">
        <f>DEO!C68</f>
        <v>NET PLANT IN SERVICE</v>
      </c>
      <c r="D68" s="669"/>
      <c r="E68" s="202"/>
      <c r="F68" s="5"/>
      <c r="G68" s="5"/>
      <c r="H68" s="5"/>
      <c r="I68" s="5"/>
      <c r="J68" s="204"/>
      <c r="K68" s="5"/>
      <c r="L68" s="5"/>
      <c r="M68" s="1"/>
      <c r="O68" s="1182"/>
    </row>
    <row r="69" spans="1:15">
      <c r="A69" s="685">
        <v>13</v>
      </c>
      <c r="C69" s="566" t="str">
        <f>DEO!C69</f>
        <v xml:space="preserve">  Production</v>
      </c>
      <c r="D69" s="840" t="str">
        <f>DEO!D69</f>
        <v>(line 1 - line 7)</v>
      </c>
      <c r="E69" s="79">
        <f>E53-E61</f>
        <v>598953727</v>
      </c>
      <c r="F69" s="5"/>
      <c r="G69" s="5"/>
      <c r="H69" s="17"/>
      <c r="I69" s="5"/>
      <c r="J69" s="204" t="s">
        <v>7</v>
      </c>
      <c r="K69" s="5"/>
      <c r="L69" s="17"/>
      <c r="M69" s="1"/>
      <c r="O69" s="1182"/>
    </row>
    <row r="70" spans="1:15">
      <c r="A70" s="685">
        <v>14</v>
      </c>
      <c r="C70" s="566" t="str">
        <f>DEO!C70</f>
        <v xml:space="preserve">  Transmission</v>
      </c>
      <c r="D70" s="840" t="str">
        <f>DEO!D70</f>
        <v>(line 2 - line 8)</v>
      </c>
      <c r="E70" s="202">
        <f>E54-E62</f>
        <v>38707753</v>
      </c>
      <c r="F70" s="5"/>
      <c r="G70" s="5"/>
      <c r="H70" s="13"/>
      <c r="I70" s="5"/>
      <c r="J70" s="79">
        <f>J54-J62</f>
        <v>27746879</v>
      </c>
      <c r="K70" s="5"/>
      <c r="L70" s="17"/>
      <c r="M70" s="1"/>
      <c r="O70" s="1182"/>
    </row>
    <row r="71" spans="1:15">
      <c r="A71" s="685">
        <v>15</v>
      </c>
      <c r="C71" s="566" t="str">
        <f>DEO!C71</f>
        <v xml:space="preserve">  Distribution</v>
      </c>
      <c r="D71" s="840" t="str">
        <f>DEO!D71</f>
        <v>(line 3 - line 9)</v>
      </c>
      <c r="E71" s="202">
        <f>E55-E63</f>
        <v>332062759</v>
      </c>
      <c r="F71" s="5"/>
      <c r="G71" s="5"/>
      <c r="H71" s="17"/>
      <c r="I71" s="5"/>
      <c r="J71" s="204" t="s">
        <v>7</v>
      </c>
      <c r="K71" s="5"/>
      <c r="L71" s="17"/>
      <c r="M71" s="1"/>
      <c r="O71" s="1182"/>
    </row>
    <row r="72" spans="1:15">
      <c r="A72" s="685">
        <v>16</v>
      </c>
      <c r="C72" s="566" t="str">
        <f>DEO!C72</f>
        <v xml:space="preserve">  General &amp; Intangible</v>
      </c>
      <c r="D72" s="840" t="str">
        <f>DEO!D72</f>
        <v>(line 4 - line 10)</v>
      </c>
      <c r="E72" s="202">
        <f>E56-E64</f>
        <v>15956932</v>
      </c>
      <c r="F72" s="5"/>
      <c r="G72" s="5"/>
      <c r="H72" s="17"/>
      <c r="I72" s="5"/>
      <c r="J72" s="204">
        <f>J56-J64</f>
        <v>532324</v>
      </c>
      <c r="K72" s="5"/>
      <c r="L72" s="17"/>
      <c r="M72" s="1"/>
      <c r="O72" s="1182"/>
    </row>
    <row r="73" spans="1:15" ht="15.6" thickBot="1">
      <c r="A73" s="685">
        <v>17</v>
      </c>
      <c r="C73" s="566" t="str">
        <f>DEO!C73</f>
        <v xml:space="preserve">  Common</v>
      </c>
      <c r="D73" s="840" t="str">
        <f>DEO!D73</f>
        <v>(line 5 - line 11)</v>
      </c>
      <c r="E73" s="203">
        <f>E57-E65</f>
        <v>8867290</v>
      </c>
      <c r="F73" s="5"/>
      <c r="G73" s="5"/>
      <c r="H73" s="17"/>
      <c r="I73" s="5"/>
      <c r="J73" s="205">
        <f>J57-J65</f>
        <v>235515</v>
      </c>
      <c r="K73" s="5"/>
      <c r="L73" s="17"/>
      <c r="M73" s="1"/>
      <c r="O73" s="1182"/>
    </row>
    <row r="74" spans="1:15">
      <c r="A74" s="685">
        <v>18</v>
      </c>
      <c r="C74" s="566" t="str">
        <f>DEO!C74</f>
        <v>TOTAL NET PLANT (sum lines 13-17)</v>
      </c>
      <c r="D74" s="669"/>
      <c r="E74" s="79">
        <f>SUM(E69:E73)</f>
        <v>994548461</v>
      </c>
      <c r="F74" s="5"/>
      <c r="G74" s="5" t="s">
        <v>40</v>
      </c>
      <c r="H74" s="13">
        <f>IF(J74&gt;0,ROUND(J74/E74,5),0)</f>
        <v>2.8670000000000001E-2</v>
      </c>
      <c r="I74" s="5"/>
      <c r="J74" s="79">
        <f>SUM(J69:J73)</f>
        <v>28514718</v>
      </c>
      <c r="K74" s="5"/>
      <c r="L74" s="5"/>
      <c r="M74" s="1"/>
      <c r="O74" s="1182"/>
    </row>
    <row r="75" spans="1:15">
      <c r="A75" s="685"/>
      <c r="C75" s="561"/>
      <c r="D75" s="669"/>
      <c r="E75" s="202"/>
      <c r="F75" s="5"/>
      <c r="I75" s="5"/>
      <c r="J75" s="204"/>
      <c r="K75" s="5"/>
      <c r="L75" s="17"/>
      <c r="M75" s="1"/>
      <c r="O75" s="1182"/>
    </row>
    <row r="76" spans="1:15">
      <c r="A76" s="685"/>
      <c r="C76" s="566" t="str">
        <f>DEO!C76</f>
        <v>ADJUSTMENTS TO RATE BASE   (Note F)</v>
      </c>
      <c r="D76" s="669"/>
      <c r="E76" s="202"/>
      <c r="F76" s="5"/>
      <c r="G76" s="5"/>
      <c r="H76" s="5"/>
      <c r="I76" s="5"/>
      <c r="J76" s="204"/>
      <c r="K76" s="5"/>
      <c r="L76" s="5"/>
      <c r="M76" s="1"/>
      <c r="O76" s="1182"/>
    </row>
    <row r="77" spans="1:15">
      <c r="A77" s="685">
        <v>19</v>
      </c>
      <c r="C77" s="566" t="str">
        <f>DEO!C77</f>
        <v xml:space="preserve">  Account No. 281 (enter negative)</v>
      </c>
      <c r="D77" s="840" t="str">
        <f>DEO!D77</f>
        <v>273.8.k</v>
      </c>
      <c r="E77" s="387">
        <f>INPUT!D33</f>
        <v>0</v>
      </c>
      <c r="F77" s="34"/>
      <c r="G77" s="34" t="str">
        <f>G61</f>
        <v>NA</v>
      </c>
      <c r="H77" s="76" t="s">
        <v>152</v>
      </c>
      <c r="I77" s="5"/>
      <c r="J77" s="79">
        <v>0</v>
      </c>
      <c r="K77" s="5"/>
      <c r="L77" s="17"/>
      <c r="M77" s="1"/>
      <c r="O77" s="1182"/>
    </row>
    <row r="78" spans="1:15">
      <c r="A78" s="685">
        <v>20</v>
      </c>
      <c r="C78" s="566" t="str">
        <f>DEO!C78</f>
        <v xml:space="preserve">  Account No. 282 (enter negative)</v>
      </c>
      <c r="D78" s="840" t="str">
        <f>DEO!D78</f>
        <v>275.2.k &amp; 275.6.k</v>
      </c>
      <c r="E78" s="448">
        <f>INPUT!D34</f>
        <v>-264193027</v>
      </c>
      <c r="F78" s="5"/>
      <c r="G78" s="5" t="s">
        <v>42</v>
      </c>
      <c r="H78" s="13">
        <f>DEK_NP_Alloc</f>
        <v>2.8670000000000001E-2</v>
      </c>
      <c r="I78" s="5"/>
      <c r="J78" s="204">
        <f>ROUND(H78*E78,0)</f>
        <v>-7574414</v>
      </c>
      <c r="K78" s="5"/>
      <c r="L78" s="17"/>
      <c r="M78" s="1"/>
      <c r="O78" s="1182"/>
    </row>
    <row r="79" spans="1:15">
      <c r="A79" s="685">
        <v>21</v>
      </c>
      <c r="C79" s="566" t="str">
        <f>DEO!C79</f>
        <v xml:space="preserve">  Account No. 283 (enter negative)</v>
      </c>
      <c r="D79" s="840" t="str">
        <f>DEO!D79</f>
        <v>277.9.k &amp; 277.18.k</v>
      </c>
      <c r="E79" s="448">
        <f>INPUT!D35</f>
        <v>-33285128</v>
      </c>
      <c r="F79" s="5"/>
      <c r="G79" s="5" t="s">
        <v>42</v>
      </c>
      <c r="H79" s="13">
        <f>DEK_NP_Alloc</f>
        <v>2.8670000000000001E-2</v>
      </c>
      <c r="I79" s="5"/>
      <c r="J79" s="204">
        <f>ROUND(H79*E79,0)</f>
        <v>-954285</v>
      </c>
      <c r="K79" s="5"/>
      <c r="L79" s="17"/>
      <c r="M79" s="1"/>
      <c r="O79" s="1182"/>
    </row>
    <row r="80" spans="1:15">
      <c r="A80" s="685">
        <v>22</v>
      </c>
      <c r="C80" s="566" t="str">
        <f>DEO!C80</f>
        <v xml:space="preserve">  Account No. 190 </v>
      </c>
      <c r="D80" s="840" t="str">
        <f>DEO!D80</f>
        <v>234.8.c &amp; 234.17.c</v>
      </c>
      <c r="E80" s="448">
        <f>INPUT!D36</f>
        <v>38485857</v>
      </c>
      <c r="F80" s="5"/>
      <c r="G80" s="5" t="str">
        <f>G79</f>
        <v>NP</v>
      </c>
      <c r="H80" s="13">
        <f>DEK_NP_Alloc</f>
        <v>2.8670000000000001E-2</v>
      </c>
      <c r="I80" s="5"/>
      <c r="J80" s="204">
        <f>ROUND(H80*E80,0)</f>
        <v>1103390</v>
      </c>
      <c r="K80" s="5"/>
      <c r="L80" s="17"/>
      <c r="M80" s="1"/>
      <c r="O80" s="1182"/>
    </row>
    <row r="81" spans="1:15" ht="15.6" thickBot="1">
      <c r="A81" s="685">
        <v>23</v>
      </c>
      <c r="C81" s="566" t="str">
        <f>DEO!C81</f>
        <v xml:space="preserve">  Account No. 255 (enter negative)  (Note K)</v>
      </c>
      <c r="D81" s="840" t="str">
        <f>DEO!D81</f>
        <v>267.8.h</v>
      </c>
      <c r="E81" s="672">
        <f>INPUT!D37</f>
        <v>0</v>
      </c>
      <c r="F81" s="99"/>
      <c r="G81" s="99" t="s">
        <v>42</v>
      </c>
      <c r="H81" s="13">
        <f>DEK_NP_Alloc</f>
        <v>2.8670000000000001E-2</v>
      </c>
      <c r="I81" s="99"/>
      <c r="J81" s="672">
        <f>ROUND(H81*E81,0)</f>
        <v>0</v>
      </c>
      <c r="K81" s="5"/>
      <c r="L81" s="17"/>
      <c r="M81" s="1"/>
      <c r="O81" s="1182"/>
    </row>
    <row r="82" spans="1:15">
      <c r="A82" s="685">
        <v>24</v>
      </c>
      <c r="C82" s="566" t="str">
        <f>DEO!C82</f>
        <v>TOTAL ADJUSTMENTS  (sum lines 19 - 23)</v>
      </c>
      <c r="D82" s="669"/>
      <c r="E82" s="671">
        <f>SUM(E77:E81)</f>
        <v>-258992298</v>
      </c>
      <c r="F82" s="548"/>
      <c r="G82" s="548"/>
      <c r="H82" s="548"/>
      <c r="I82" s="548"/>
      <c r="J82" s="671">
        <f>SUM(J77:J81)</f>
        <v>-7425309</v>
      </c>
      <c r="K82" s="5"/>
      <c r="L82" s="5"/>
      <c r="M82" s="1"/>
      <c r="O82" s="1182"/>
    </row>
    <row r="83" spans="1:15">
      <c r="A83" s="685"/>
      <c r="C83" s="561"/>
      <c r="D83" s="669"/>
      <c r="E83" s="202"/>
      <c r="F83" s="5"/>
      <c r="G83" s="5"/>
      <c r="H83" s="17"/>
      <c r="I83" s="5"/>
      <c r="J83" s="204"/>
      <c r="K83" s="5"/>
      <c r="L83" s="17"/>
      <c r="M83" s="1"/>
      <c r="O83" s="1182"/>
    </row>
    <row r="84" spans="1:15">
      <c r="A84" s="685">
        <v>25</v>
      </c>
      <c r="C84" s="566" t="str">
        <f>DEO!C84</f>
        <v>LAND HELD FOR FUTURE USE   (Note G)</v>
      </c>
      <c r="D84" s="840" t="str">
        <f>DEO!D84</f>
        <v xml:space="preserve">214.x.d  </v>
      </c>
      <c r="E84" s="387">
        <f>INPUT!D40</f>
        <v>0</v>
      </c>
      <c r="F84" s="5"/>
      <c r="G84" s="34" t="s">
        <v>7</v>
      </c>
      <c r="H84" s="386">
        <v>1</v>
      </c>
      <c r="I84" s="5"/>
      <c r="J84" s="79">
        <f>ROUND(H84*E84,0)</f>
        <v>0</v>
      </c>
      <c r="K84" s="5"/>
      <c r="L84" s="5"/>
      <c r="M84" s="1"/>
      <c r="O84" s="1182"/>
    </row>
    <row r="85" spans="1:15">
      <c r="A85" s="685"/>
      <c r="C85" s="531"/>
      <c r="D85" s="669"/>
      <c r="E85" s="202"/>
      <c r="F85" s="5"/>
      <c r="G85" s="5"/>
      <c r="H85" s="5"/>
      <c r="I85" s="5"/>
      <c r="J85" s="204"/>
      <c r="K85" s="5"/>
      <c r="L85" s="5"/>
      <c r="M85" s="1"/>
      <c r="O85" s="1182"/>
    </row>
    <row r="86" spans="1:15">
      <c r="A86" s="685"/>
      <c r="C86" s="566" t="str">
        <f>DEO!C86</f>
        <v>WORKING CAPITAL    (Note H)</v>
      </c>
      <c r="D86" s="669" t="s">
        <v>7</v>
      </c>
      <c r="E86" s="202"/>
      <c r="F86" s="5"/>
      <c r="G86" s="5"/>
      <c r="H86" s="5"/>
      <c r="I86" s="5"/>
      <c r="J86" s="204"/>
      <c r="K86" s="5"/>
      <c r="L86" s="5"/>
      <c r="M86" s="1"/>
      <c r="O86" s="1182"/>
    </row>
    <row r="87" spans="1:15">
      <c r="A87" s="685">
        <v>26</v>
      </c>
      <c r="C87" s="566" t="str">
        <f>DEO!C87</f>
        <v xml:space="preserve">  CWC  </v>
      </c>
      <c r="D87" s="840" t="str">
        <f>DEO!D87</f>
        <v>calculated</v>
      </c>
      <c r="E87" s="440">
        <f>ROUND(E126/8,0)</f>
        <v>2502745</v>
      </c>
      <c r="F87" s="5"/>
      <c r="G87" s="5"/>
      <c r="H87" s="17"/>
      <c r="I87" s="5"/>
      <c r="J87" s="440">
        <f>ROUND(J126/8,0)</f>
        <v>238210</v>
      </c>
      <c r="K87" s="1"/>
      <c r="L87" s="17"/>
      <c r="M87" s="1"/>
      <c r="O87" s="1182"/>
    </row>
    <row r="88" spans="1:15">
      <c r="A88" s="685">
        <v>27</v>
      </c>
      <c r="C88" s="566" t="str">
        <f>DEO!C88</f>
        <v xml:space="preserve">  Materials &amp; Supplies     (Note G)</v>
      </c>
      <c r="D88" s="840" t="str">
        <f>DEO!D88</f>
        <v>227.8.c &amp; 227.16.c</v>
      </c>
      <c r="E88" s="321">
        <f>INPUT!D44</f>
        <v>4000</v>
      </c>
      <c r="F88" s="5"/>
      <c r="G88" s="5" t="s">
        <v>43</v>
      </c>
      <c r="H88" s="13">
        <f>DEK_TE_Alloc</f>
        <v>0.68354999999999999</v>
      </c>
      <c r="I88" s="5"/>
      <c r="J88" s="204">
        <f>ROUND(H88*E88,0)</f>
        <v>2734</v>
      </c>
      <c r="K88" s="5" t="s">
        <v>7</v>
      </c>
      <c r="L88" s="17"/>
      <c r="M88" s="1"/>
      <c r="O88" s="1182"/>
    </row>
    <row r="89" spans="1:15" ht="15.6" thickBot="1">
      <c r="A89" s="685">
        <v>28</v>
      </c>
      <c r="C89" s="566" t="str">
        <f>DEO!C89</f>
        <v xml:space="preserve">  Prepayments (Account 165)</v>
      </c>
      <c r="D89" s="840" t="str">
        <f>DEO!D89</f>
        <v>111.57.c</v>
      </c>
      <c r="E89" s="385">
        <f>INPUT!D45</f>
        <v>634866</v>
      </c>
      <c r="F89" s="5"/>
      <c r="G89" s="5" t="s">
        <v>44</v>
      </c>
      <c r="H89" s="13">
        <f>DEK_GP_Alloc</f>
        <v>2.4240000000000001E-2</v>
      </c>
      <c r="I89" s="5"/>
      <c r="J89" s="205">
        <f>ROUND(H89*E89,0)</f>
        <v>15389</v>
      </c>
      <c r="K89" s="5"/>
      <c r="L89" s="17"/>
      <c r="M89" s="1"/>
      <c r="O89" s="1182"/>
    </row>
    <row r="90" spans="1:15">
      <c r="A90" s="685">
        <v>29</v>
      </c>
      <c r="C90" s="566" t="str">
        <f>DEO!C90</f>
        <v>TOTAL WORKING CAPITAL (sum lines 26 - 28)</v>
      </c>
      <c r="D90" s="840"/>
      <c r="E90" s="319">
        <f>E87+E88+E89</f>
        <v>3141611</v>
      </c>
      <c r="F90" s="1"/>
      <c r="G90" s="1"/>
      <c r="H90" s="1"/>
      <c r="I90" s="1"/>
      <c r="J90" s="319">
        <f>J87+J88+J89</f>
        <v>256333</v>
      </c>
      <c r="K90" s="1"/>
      <c r="L90" s="1"/>
      <c r="M90" s="1"/>
      <c r="O90" s="1182"/>
    </row>
    <row r="91" spans="1:15" ht="15.6" thickBot="1">
      <c r="C91" s="561"/>
      <c r="D91" s="669"/>
      <c r="E91" s="205"/>
      <c r="F91" s="5"/>
      <c r="G91" s="5"/>
      <c r="H91" s="5"/>
      <c r="I91" s="5"/>
      <c r="J91" s="205"/>
      <c r="K91" s="5"/>
      <c r="L91" s="5"/>
      <c r="M91" s="1"/>
      <c r="O91" s="1182"/>
    </row>
    <row r="92" spans="1:15" ht="15.6" thickBot="1">
      <c r="A92" s="685">
        <v>30</v>
      </c>
      <c r="C92" s="566" t="str">
        <f>DEO!C92</f>
        <v>RATE BASE  (sum lines 18, 24, 25, &amp; 29)</v>
      </c>
      <c r="D92" s="669"/>
      <c r="E92" s="320">
        <f>E90+E84+E82+E74</f>
        <v>738697774</v>
      </c>
      <c r="F92" s="5"/>
      <c r="G92" s="5"/>
      <c r="H92" s="17"/>
      <c r="I92" s="5"/>
      <c r="J92" s="320">
        <f>J90+J84+J82+J74</f>
        <v>21345742</v>
      </c>
      <c r="K92" s="5"/>
      <c r="L92" s="17"/>
      <c r="M92" s="5"/>
      <c r="O92" s="1182"/>
    </row>
    <row r="93" spans="1:15" ht="15.6" thickTop="1">
      <c r="A93" s="685"/>
      <c r="C93" s="3"/>
      <c r="D93" s="5"/>
      <c r="E93" s="5"/>
      <c r="F93" s="5"/>
      <c r="G93" s="5"/>
      <c r="H93" s="5"/>
      <c r="I93" s="5"/>
      <c r="J93" s="5"/>
      <c r="K93" s="5"/>
      <c r="L93" s="5"/>
      <c r="M93" s="5"/>
      <c r="O93" s="1182"/>
    </row>
    <row r="94" spans="1:15">
      <c r="A94" s="685"/>
      <c r="C94" s="26"/>
      <c r="D94" s="26"/>
      <c r="E94" s="27"/>
      <c r="F94" s="26"/>
      <c r="G94" s="26"/>
      <c r="H94" s="26"/>
      <c r="I94" s="28"/>
      <c r="K94" s="29"/>
      <c r="L94" s="85"/>
      <c r="M94" s="29"/>
      <c r="O94" s="1182"/>
    </row>
    <row r="95" spans="1:15" ht="17.399999999999999">
      <c r="A95" s="688"/>
      <c r="C95" s="26"/>
      <c r="D95" s="26"/>
      <c r="E95" s="27"/>
      <c r="F95" s="26"/>
      <c r="G95" s="26"/>
      <c r="H95" s="26"/>
      <c r="I95" s="28"/>
      <c r="J95" s="73" t="s">
        <v>306</v>
      </c>
      <c r="K95" s="84"/>
      <c r="M95" s="84"/>
      <c r="O95" s="1182"/>
    </row>
    <row r="96" spans="1:15">
      <c r="C96" s="26"/>
      <c r="D96" s="26"/>
      <c r="E96" s="27"/>
      <c r="F96" s="26"/>
      <c r="G96" s="26"/>
      <c r="H96" s="26"/>
      <c r="I96" s="28"/>
      <c r="J96" s="73" t="s">
        <v>419</v>
      </c>
      <c r="M96" s="73"/>
      <c r="O96" s="1182"/>
    </row>
    <row r="97" spans="1:15">
      <c r="C97" s="26"/>
      <c r="D97" s="26"/>
      <c r="E97" s="27"/>
      <c r="F97" s="26"/>
      <c r="G97" s="26"/>
      <c r="H97" s="26"/>
      <c r="I97" s="28"/>
      <c r="J97" s="73"/>
      <c r="M97" s="73"/>
      <c r="O97" s="1182"/>
    </row>
    <row r="98" spans="1:15">
      <c r="C98" s="26"/>
      <c r="D98" s="26"/>
      <c r="E98" s="27"/>
      <c r="F98" s="26"/>
      <c r="G98" s="26"/>
      <c r="H98" s="26"/>
      <c r="I98" s="28"/>
      <c r="M98" s="73"/>
      <c r="O98" s="1182"/>
    </row>
    <row r="99" spans="1:15">
      <c r="C99" s="26"/>
      <c r="D99" s="26"/>
      <c r="E99" s="27"/>
      <c r="F99" s="26"/>
      <c r="G99" s="26"/>
      <c r="H99" s="26"/>
      <c r="I99" s="28"/>
      <c r="K99" s="1"/>
      <c r="M99" s="73"/>
      <c r="O99" s="1182"/>
    </row>
    <row r="100" spans="1:15">
      <c r="C100" s="26"/>
      <c r="D100" s="26"/>
      <c r="E100" s="27"/>
      <c r="F100" s="26"/>
      <c r="G100" s="26"/>
      <c r="H100" s="26"/>
      <c r="I100" s="28"/>
      <c r="J100" s="73"/>
      <c r="K100" s="1"/>
      <c r="M100" s="73"/>
      <c r="O100" s="1182"/>
    </row>
    <row r="101" spans="1:15">
      <c r="C101" s="26" t="s">
        <v>6</v>
      </c>
      <c r="D101" s="26"/>
      <c r="E101" s="27"/>
      <c r="F101" s="26"/>
      <c r="G101" s="26"/>
      <c r="H101" s="26"/>
      <c r="I101" s="28"/>
      <c r="J101" s="85" t="str">
        <f>J7</f>
        <v>For the 12 months ended: 12/31/2018</v>
      </c>
      <c r="K101" s="1"/>
      <c r="M101" s="73"/>
      <c r="O101" s="1182"/>
    </row>
    <row r="102" spans="1:15">
      <c r="A102" s="689" t="str">
        <f>A8</f>
        <v>Rate Formula Template</v>
      </c>
      <c r="B102" s="246"/>
      <c r="C102" s="246"/>
      <c r="D102" s="244"/>
      <c r="E102" s="246"/>
      <c r="F102" s="244"/>
      <c r="G102" s="244"/>
      <c r="H102" s="244"/>
      <c r="I102" s="244"/>
      <c r="J102" s="246"/>
      <c r="K102" s="5"/>
      <c r="L102" s="246"/>
      <c r="M102" s="1"/>
      <c r="O102" s="1182"/>
    </row>
    <row r="103" spans="1:15">
      <c r="A103" s="690" t="s">
        <v>277</v>
      </c>
      <c r="B103" s="246"/>
      <c r="C103" s="244"/>
      <c r="D103" s="247"/>
      <c r="E103" s="246"/>
      <c r="F103" s="247"/>
      <c r="G103" s="247"/>
      <c r="H103" s="247"/>
      <c r="I103" s="244"/>
      <c r="J103" s="244"/>
      <c r="K103" s="5"/>
      <c r="L103" s="241"/>
      <c r="M103" s="1"/>
      <c r="O103" s="1182"/>
    </row>
    <row r="104" spans="1:15">
      <c r="A104" s="690"/>
      <c r="B104" s="246"/>
      <c r="C104" s="241"/>
      <c r="D104" s="241"/>
      <c r="E104" s="246"/>
      <c r="F104" s="241"/>
      <c r="G104" s="241"/>
      <c r="H104" s="241"/>
      <c r="I104" s="241"/>
      <c r="J104" s="241"/>
      <c r="K104" s="5"/>
      <c r="L104" s="241"/>
      <c r="M104" s="1"/>
      <c r="O104" s="1182"/>
    </row>
    <row r="105" spans="1:15" ht="15.6">
      <c r="A105" s="851" t="str">
        <f>$A$11</f>
        <v>DUKE ENERGY KENTUCKY (DEK)</v>
      </c>
      <c r="B105" s="246"/>
      <c r="C105" s="241"/>
      <c r="D105" s="241"/>
      <c r="E105" s="246"/>
      <c r="F105" s="241"/>
      <c r="G105" s="241"/>
      <c r="H105" s="241"/>
      <c r="I105" s="241"/>
      <c r="J105" s="241"/>
      <c r="K105" s="5"/>
      <c r="L105" s="241"/>
      <c r="M105" s="5"/>
      <c r="O105" s="1182"/>
    </row>
    <row r="106" spans="1:15">
      <c r="A106" s="685"/>
      <c r="K106" s="5"/>
      <c r="L106" s="5"/>
      <c r="M106" s="5"/>
      <c r="O106" s="1182"/>
    </row>
    <row r="107" spans="1:15" ht="15.6">
      <c r="A107" s="685"/>
      <c r="C107" s="4" t="s">
        <v>18</v>
      </c>
      <c r="D107" s="4" t="s">
        <v>19</v>
      </c>
      <c r="E107" s="4" t="s">
        <v>20</v>
      </c>
      <c r="F107" s="5" t="s">
        <v>7</v>
      </c>
      <c r="G107" s="1106" t="s">
        <v>21</v>
      </c>
      <c r="H107" s="589"/>
      <c r="I107" s="5"/>
      <c r="J107" s="7" t="s">
        <v>22</v>
      </c>
      <c r="K107" s="5"/>
      <c r="L107" s="30"/>
      <c r="M107" s="28"/>
      <c r="O107" s="1182"/>
    </row>
    <row r="108" spans="1:15" ht="15.6">
      <c r="A108" s="693" t="s">
        <v>8</v>
      </c>
      <c r="C108" s="3"/>
      <c r="D108" s="6" t="s">
        <v>23</v>
      </c>
      <c r="E108" s="5"/>
      <c r="F108" s="5"/>
      <c r="G108" s="5"/>
      <c r="H108" s="29"/>
      <c r="I108" s="5"/>
      <c r="J108" s="29" t="s">
        <v>24</v>
      </c>
      <c r="K108" s="5"/>
      <c r="L108" s="30"/>
      <c r="M108" s="5"/>
      <c r="O108" s="1182"/>
    </row>
    <row r="109" spans="1:15" ht="15.6">
      <c r="A109" s="694" t="s">
        <v>10</v>
      </c>
      <c r="B109" s="257"/>
      <c r="C109" s="260"/>
      <c r="D109" s="345" t="s">
        <v>25</v>
      </c>
      <c r="E109" s="346" t="s">
        <v>26</v>
      </c>
      <c r="F109" s="347"/>
      <c r="G109" s="348" t="s">
        <v>13</v>
      </c>
      <c r="H109" s="259"/>
      <c r="I109" s="347"/>
      <c r="J109" s="258" t="s">
        <v>351</v>
      </c>
      <c r="K109" s="5"/>
      <c r="L109" s="30"/>
      <c r="M109" s="47"/>
      <c r="O109" s="1182"/>
    </row>
    <row r="110" spans="1:15" ht="15.6">
      <c r="C110" s="3"/>
      <c r="D110" s="5"/>
      <c r="E110" s="8"/>
      <c r="F110" s="9"/>
      <c r="G110" s="10"/>
      <c r="I110" s="9"/>
      <c r="J110" s="8"/>
      <c r="K110" s="5"/>
      <c r="L110" s="5"/>
      <c r="M110" s="5"/>
      <c r="O110" s="1182"/>
    </row>
    <row r="111" spans="1:15">
      <c r="A111" s="685"/>
      <c r="C111" s="531" t="str">
        <f>DEO!C111</f>
        <v>O&amp;M</v>
      </c>
      <c r="D111" s="5"/>
      <c r="E111" s="5"/>
      <c r="F111" s="5"/>
      <c r="G111" s="5"/>
      <c r="H111" s="5"/>
      <c r="I111" s="5"/>
      <c r="J111" s="5"/>
      <c r="K111" s="5"/>
      <c r="L111" s="5"/>
      <c r="M111" s="5"/>
      <c r="O111" s="1182"/>
    </row>
    <row r="112" spans="1:15">
      <c r="A112" s="685">
        <v>1</v>
      </c>
      <c r="C112" s="531" t="str">
        <f>DEO!C112</f>
        <v xml:space="preserve">  Transmission </v>
      </c>
      <c r="D112" s="840" t="str">
        <f>DEO!D112</f>
        <v>321.112.b</v>
      </c>
      <c r="E112" s="440">
        <f>INPUT!D51</f>
        <v>12673766</v>
      </c>
      <c r="F112" s="5"/>
      <c r="G112" s="5" t="s">
        <v>43</v>
      </c>
      <c r="H112" s="13">
        <f>DEK_TE_Alloc</f>
        <v>0.68354999999999999</v>
      </c>
      <c r="I112" s="5"/>
      <c r="J112" s="319">
        <f>ROUND(H112*E112,0)</f>
        <v>8663153</v>
      </c>
      <c r="K112" s="1"/>
      <c r="L112" s="5"/>
      <c r="M112" s="5"/>
      <c r="O112" s="1182"/>
    </row>
    <row r="113" spans="1:15">
      <c r="A113" s="686" t="s">
        <v>1</v>
      </c>
      <c r="B113" s="63"/>
      <c r="C113" s="536" t="str">
        <f>DEO!C113</f>
        <v>Less LSE Expenses included in Transmission O&amp;M Accounts  (Note V)</v>
      </c>
      <c r="D113" s="840" t="str">
        <f>DEO!D113</f>
        <v>321.88.b &amp; 321.92.b</v>
      </c>
      <c r="E113" s="321">
        <f>'P17 LSE Expenses'!H21</f>
        <v>-2286974</v>
      </c>
      <c r="F113" s="34"/>
      <c r="G113" s="34"/>
      <c r="H113" s="60">
        <v>1</v>
      </c>
      <c r="I113" s="34"/>
      <c r="J113" s="204">
        <f>ROUND(H113*E113,0)</f>
        <v>-2286974</v>
      </c>
      <c r="K113" s="1"/>
      <c r="L113" s="5"/>
      <c r="M113" s="5"/>
      <c r="O113" s="1182"/>
    </row>
    <row r="114" spans="1:15">
      <c r="A114" s="686" t="s">
        <v>250</v>
      </c>
      <c r="B114" s="63"/>
      <c r="C114" s="534" t="str">
        <f>DEO!C114</f>
        <v>Less Midcontinent ISO Exit Fees included in Transmission O&amp;M</v>
      </c>
      <c r="D114" s="840" t="str">
        <f>DEO!D114</f>
        <v>(Note X)</v>
      </c>
      <c r="E114" s="321">
        <f>INPUT!D53</f>
        <v>0</v>
      </c>
      <c r="F114" s="34"/>
      <c r="G114" s="5" t="s">
        <v>43</v>
      </c>
      <c r="H114" s="13">
        <f>DEK_TE_Alloc</f>
        <v>0.68354999999999999</v>
      </c>
      <c r="I114" s="34"/>
      <c r="J114" s="204">
        <f>ROUND(H114*E114,0)</f>
        <v>0</v>
      </c>
      <c r="K114" s="1"/>
      <c r="L114" s="5"/>
      <c r="M114" s="5"/>
      <c r="O114" s="1182"/>
    </row>
    <row r="115" spans="1:15" s="596" customFormat="1">
      <c r="A115" s="686" t="s">
        <v>253</v>
      </c>
      <c r="B115" s="550"/>
      <c r="C115" s="534" t="str">
        <f>DEO!C115</f>
        <v>Less EPRI Annual Membership Dues</v>
      </c>
      <c r="D115" s="840" t="str">
        <f>DEO!D115</f>
        <v>(Note I)</v>
      </c>
      <c r="E115" s="448">
        <f>INPUT!D54</f>
        <v>260519</v>
      </c>
      <c r="F115" s="543"/>
      <c r="G115" s="548" t="s">
        <v>43</v>
      </c>
      <c r="H115" s="13">
        <f>DEK_TE_Alloc</f>
        <v>0.68354999999999999</v>
      </c>
      <c r="I115" s="543"/>
      <c r="J115" s="446">
        <f>ROUND(H115*E115,0)</f>
        <v>178078</v>
      </c>
      <c r="K115" s="566"/>
      <c r="L115" s="548"/>
      <c r="M115" s="548"/>
      <c r="O115" s="1182"/>
    </row>
    <row r="116" spans="1:15">
      <c r="A116" s="685">
        <v>2</v>
      </c>
      <c r="C116" s="534" t="str">
        <f>DEO!C116</f>
        <v>Less Account 565</v>
      </c>
      <c r="D116" s="840" t="str">
        <f>DEO!D116</f>
        <v>321.96.b</v>
      </c>
      <c r="E116" s="321">
        <f>INPUT!D55</f>
        <v>13909634</v>
      </c>
      <c r="F116" s="5"/>
      <c r="G116" s="5" t="s">
        <v>43</v>
      </c>
      <c r="H116" s="13">
        <f>DEK_TE_Alloc</f>
        <v>0.68354999999999999</v>
      </c>
      <c r="I116" s="5"/>
      <c r="J116" s="204">
        <f t="shared" ref="J116:J125" si="2">ROUND(H116*E116,0)</f>
        <v>9507930</v>
      </c>
      <c r="K116" s="1"/>
      <c r="L116" s="5"/>
      <c r="M116" s="5"/>
      <c r="O116" s="1182"/>
    </row>
    <row r="117" spans="1:15">
      <c r="A117" s="686">
        <v>3</v>
      </c>
      <c r="B117" s="63"/>
      <c r="C117" s="539" t="str">
        <f>DEO!C117</f>
        <v xml:space="preserve">  A&amp;G</v>
      </c>
      <c r="D117" s="840" t="str">
        <f>DEO!D117</f>
        <v>323.197.b</v>
      </c>
      <c r="E117" s="202">
        <f>'P5 A&amp;G Adjusments'!F21</f>
        <v>20124695</v>
      </c>
      <c r="F117" s="34"/>
      <c r="G117" s="548" t="s">
        <v>146</v>
      </c>
      <c r="H117" s="13">
        <f>DEK_WS_Alloc</f>
        <v>3.3360000000000001E-2</v>
      </c>
      <c r="I117" s="34"/>
      <c r="J117" s="204">
        <f t="shared" si="2"/>
        <v>671360</v>
      </c>
      <c r="K117" s="5"/>
      <c r="L117" s="5" t="s">
        <v>7</v>
      </c>
      <c r="M117" s="5"/>
      <c r="O117" s="1182"/>
    </row>
    <row r="118" spans="1:15" s="596" customFormat="1" ht="30">
      <c r="A118" s="695" t="s">
        <v>380</v>
      </c>
      <c r="B118" s="550"/>
      <c r="C118" s="668" t="str">
        <f>DEO!C118</f>
        <v>PBOP Expense excluding Pension Expense included in line 3 for information only</v>
      </c>
      <c r="D118" s="669" t="str">
        <f>DEO!D118</f>
        <v>(Note E)</v>
      </c>
      <c r="E118" s="630">
        <f>INPUT!D57</f>
        <v>677305</v>
      </c>
      <c r="F118" s="575"/>
      <c r="G118" s="548" t="s">
        <v>146</v>
      </c>
      <c r="H118" s="673">
        <f>DEK_WS_Alloc</f>
        <v>3.3360000000000001E-2</v>
      </c>
      <c r="I118" s="575"/>
      <c r="J118" s="631">
        <f t="shared" si="2"/>
        <v>22595</v>
      </c>
      <c r="K118" s="548"/>
      <c r="L118" s="548"/>
      <c r="M118" s="548"/>
      <c r="O118" s="1182"/>
    </row>
    <row r="119" spans="1:15">
      <c r="A119" s="686" t="s">
        <v>381</v>
      </c>
      <c r="B119" s="63"/>
      <c r="C119" s="534" t="str">
        <f>DEO!C119</f>
        <v>Less PJM Integration Costs included in A&amp;G and</v>
      </c>
      <c r="D119" s="840" t="str">
        <f>DEO!D119</f>
        <v>(Note Y)</v>
      </c>
      <c r="E119" s="321">
        <f>INPUT!D58</f>
        <v>0</v>
      </c>
      <c r="F119" s="34"/>
      <c r="G119" s="548" t="s">
        <v>146</v>
      </c>
      <c r="H119" s="13">
        <f>DEK_WS_Alloc</f>
        <v>3.3360000000000001E-2</v>
      </c>
      <c r="I119" s="34"/>
      <c r="J119" s="204">
        <f t="shared" si="2"/>
        <v>0</v>
      </c>
      <c r="K119" s="5"/>
      <c r="L119" s="5"/>
      <c r="M119" s="5"/>
      <c r="O119" s="1182"/>
    </row>
    <row r="120" spans="1:15" s="550" customFormat="1">
      <c r="A120" s="686"/>
      <c r="C120" s="538" t="str">
        <f>DEO!C120</f>
        <v xml:space="preserve">         Internal Integration Costs included in A&amp;G</v>
      </c>
      <c r="D120" s="575"/>
      <c r="E120" s="202"/>
      <c r="F120" s="543"/>
      <c r="G120" s="548"/>
      <c r="H120" s="60"/>
      <c r="I120" s="543"/>
      <c r="J120" s="202"/>
      <c r="K120" s="543"/>
      <c r="L120" s="543"/>
      <c r="M120" s="543"/>
      <c r="O120" s="1183"/>
    </row>
    <row r="121" spans="1:15">
      <c r="A121" s="686">
        <v>4</v>
      </c>
      <c r="B121" s="63"/>
      <c r="C121" s="538" t="str">
        <f>DEO!C121</f>
        <v>Less FERC Annual Fees</v>
      </c>
      <c r="D121" s="840" t="str">
        <f>DEO!D121</f>
        <v>350.x.b</v>
      </c>
      <c r="E121" s="321">
        <f>INPUT!D60</f>
        <v>0</v>
      </c>
      <c r="F121" s="34"/>
      <c r="G121" s="548" t="s">
        <v>146</v>
      </c>
      <c r="H121" s="13">
        <f>DEK_WS_Alloc</f>
        <v>3.3360000000000001E-2</v>
      </c>
      <c r="I121" s="34"/>
      <c r="J121" s="204">
        <f t="shared" si="2"/>
        <v>0</v>
      </c>
      <c r="K121" s="5"/>
      <c r="L121" s="5"/>
      <c r="M121" s="5"/>
      <c r="O121" s="1182"/>
    </row>
    <row r="122" spans="1:15">
      <c r="A122" s="686">
        <v>5</v>
      </c>
      <c r="B122" s="63"/>
      <c r="C122" s="536" t="str">
        <f>DEO!C122</f>
        <v>Less EPRI &amp; Reg. Comm. Exp. &amp; Non-safety  Advertising    (Note I)</v>
      </c>
      <c r="D122" s="575"/>
      <c r="E122" s="321">
        <f>INPUT!D61</f>
        <v>893319</v>
      </c>
      <c r="F122" s="34"/>
      <c r="G122" s="548" t="s">
        <v>146</v>
      </c>
      <c r="H122" s="13">
        <f>DEK_WS_Alloc</f>
        <v>3.3360000000000001E-2</v>
      </c>
      <c r="I122" s="34"/>
      <c r="J122" s="204">
        <f t="shared" si="2"/>
        <v>29801</v>
      </c>
      <c r="K122" s="5"/>
      <c r="L122" s="5"/>
      <c r="M122" s="5"/>
      <c r="O122" s="1182"/>
    </row>
    <row r="123" spans="1:15">
      <c r="A123" s="696" t="s">
        <v>151</v>
      </c>
      <c r="B123" s="63"/>
      <c r="C123" s="536" t="str">
        <f>DEO!C123</f>
        <v>Plus Transmission Related Reg. Comm. Exp.   (Note I)</v>
      </c>
      <c r="D123" s="575"/>
      <c r="E123" s="321">
        <f>INPUT!D62</f>
        <v>0</v>
      </c>
      <c r="F123" s="34"/>
      <c r="G123" s="59" t="str">
        <f>G112</f>
        <v>TE</v>
      </c>
      <c r="H123" s="13">
        <f>DEK_TE_Alloc</f>
        <v>0.68354999999999999</v>
      </c>
      <c r="I123" s="34"/>
      <c r="J123" s="204">
        <f t="shared" si="2"/>
        <v>0</v>
      </c>
      <c r="K123" s="5"/>
      <c r="L123" s="5"/>
      <c r="M123" s="5"/>
      <c r="O123" s="1182"/>
    </row>
    <row r="124" spans="1:15">
      <c r="A124" s="686">
        <v>6</v>
      </c>
      <c r="B124" s="63"/>
      <c r="C124" s="539" t="str">
        <f>DEO!C124</f>
        <v xml:space="preserve">  Common</v>
      </c>
      <c r="D124" s="840" t="str">
        <f>DEO!D124</f>
        <v>356</v>
      </c>
      <c r="E124" s="321">
        <f>INPUT!D63</f>
        <v>0</v>
      </c>
      <c r="F124" s="34"/>
      <c r="G124" s="34" t="s">
        <v>76</v>
      </c>
      <c r="H124" s="60">
        <f>DEK_CE_Alloc</f>
        <v>2.656E-2</v>
      </c>
      <c r="I124" s="34"/>
      <c r="J124" s="204">
        <f t="shared" si="2"/>
        <v>0</v>
      </c>
      <c r="K124" s="5"/>
      <c r="L124" s="5"/>
      <c r="M124" s="5"/>
      <c r="O124" s="1182"/>
    </row>
    <row r="125" spans="1:15" ht="15.6" thickBot="1">
      <c r="A125" s="686">
        <v>7</v>
      </c>
      <c r="B125" s="63"/>
      <c r="C125" s="539" t="str">
        <f>DEO!C125</f>
        <v xml:space="preserve">  Transmission Lease Payments</v>
      </c>
      <c r="D125" s="575"/>
      <c r="E125" s="385">
        <f>INPUT!D64</f>
        <v>0</v>
      </c>
      <c r="F125" s="34"/>
      <c r="G125" s="34" t="s">
        <v>7</v>
      </c>
      <c r="H125" s="386">
        <v>1</v>
      </c>
      <c r="I125" s="34"/>
      <c r="J125" s="205">
        <f t="shared" si="2"/>
        <v>0</v>
      </c>
      <c r="K125" s="5"/>
      <c r="L125" s="5"/>
      <c r="M125" s="5"/>
      <c r="O125" s="1182"/>
    </row>
    <row r="126" spans="1:15" s="550" customFormat="1">
      <c r="A126" s="686">
        <v>8</v>
      </c>
      <c r="C126" s="539" t="str">
        <f>DEO!C126</f>
        <v>TOTAL O&amp;M   (sum lines 1, 3, 5a, 6, 7 less lines 1a, 1b, 1c, 2, 3b, 4, 5)</v>
      </c>
      <c r="D126" s="575"/>
      <c r="E126" s="440">
        <f>E112-E113-E114-E115-E116+E117-E119-E121-E122+E123+E124+E125</f>
        <v>20021963</v>
      </c>
      <c r="F126" s="543"/>
      <c r="G126" s="543"/>
      <c r="H126" s="543"/>
      <c r="I126" s="543"/>
      <c r="J126" s="440">
        <f>J112-J113-J114-J115-J116+J117-J119-J121-J122+J123+J124+J125</f>
        <v>1905678</v>
      </c>
      <c r="K126" s="543"/>
      <c r="L126" s="543"/>
      <c r="M126" s="543"/>
      <c r="O126" s="1183"/>
    </row>
    <row r="127" spans="1:15">
      <c r="A127" s="686"/>
      <c r="B127" s="63"/>
      <c r="C127" s="550"/>
      <c r="D127" s="575"/>
      <c r="E127" s="202"/>
      <c r="F127" s="34"/>
      <c r="G127" s="34"/>
      <c r="H127" s="34"/>
      <c r="I127" s="34"/>
      <c r="J127" s="202"/>
      <c r="K127" s="5"/>
      <c r="L127" s="5"/>
      <c r="M127" s="5"/>
      <c r="O127" s="1182"/>
    </row>
    <row r="128" spans="1:15">
      <c r="A128" s="685"/>
      <c r="C128" s="531" t="str">
        <f>DEO!C128</f>
        <v>DEPRECIATION AND AMORTIZATION EXPENSE</v>
      </c>
      <c r="D128" s="669"/>
      <c r="E128" s="204"/>
      <c r="F128" s="5"/>
      <c r="G128" s="5"/>
      <c r="H128" s="5"/>
      <c r="I128" s="5"/>
      <c r="J128" s="204"/>
      <c r="K128" s="5"/>
      <c r="L128" s="5"/>
      <c r="M128" s="5"/>
      <c r="O128" s="1182"/>
    </row>
    <row r="129" spans="1:15">
      <c r="A129" s="685">
        <v>9</v>
      </c>
      <c r="C129" s="531" t="str">
        <f>DEO!C129</f>
        <v xml:space="preserve">  Transmission </v>
      </c>
      <c r="D129" s="840" t="str">
        <f>DEO!D129</f>
        <v>336.7.f</v>
      </c>
      <c r="E129" s="387">
        <f>INPUT!D68</f>
        <v>1242440</v>
      </c>
      <c r="F129" s="5"/>
      <c r="G129" s="5" t="s">
        <v>14</v>
      </c>
      <c r="H129" s="18">
        <f>DEK_TP_Alloc</f>
        <v>0.71682999999999997</v>
      </c>
      <c r="I129" s="5"/>
      <c r="J129" s="319">
        <f>ROUND(H129*E129,0)</f>
        <v>890618</v>
      </c>
      <c r="K129" s="5"/>
      <c r="L129" s="17"/>
      <c r="M129" s="5"/>
      <c r="O129" s="1182"/>
    </row>
    <row r="130" spans="1:15">
      <c r="A130" s="685">
        <v>10</v>
      </c>
      <c r="C130" s="531" t="str">
        <f>DEO!C130</f>
        <v xml:space="preserve">  General &amp; Intangible</v>
      </c>
      <c r="D130" s="840" t="str">
        <f>DEO!D130</f>
        <v xml:space="preserve">336.1.f &amp; 336.10.f </v>
      </c>
      <c r="E130" s="321">
        <f>INPUT!D69</f>
        <v>2852871</v>
      </c>
      <c r="F130" s="5"/>
      <c r="G130" s="548" t="s">
        <v>146</v>
      </c>
      <c r="H130" s="13">
        <f>DEK_WS_Alloc</f>
        <v>3.3360000000000001E-2</v>
      </c>
      <c r="I130" s="5"/>
      <c r="J130" s="204">
        <f>ROUND(H130*E130,0)</f>
        <v>95172</v>
      </c>
      <c r="K130" s="5"/>
      <c r="L130" s="17"/>
      <c r="M130" s="5"/>
      <c r="O130" s="1182"/>
    </row>
    <row r="131" spans="1:15" ht="15.6" thickBot="1">
      <c r="A131" s="685">
        <v>11</v>
      </c>
      <c r="C131" s="531" t="str">
        <f>DEO!C131</f>
        <v xml:space="preserve">  Common</v>
      </c>
      <c r="D131" s="840" t="str">
        <f>DEO!D131</f>
        <v>336.11.f</v>
      </c>
      <c r="E131" s="385">
        <f>INPUT!D70</f>
        <v>244583</v>
      </c>
      <c r="F131" s="5"/>
      <c r="G131" s="5" t="s">
        <v>76</v>
      </c>
      <c r="H131" s="60">
        <f>DEK_CE_Alloc</f>
        <v>2.656E-2</v>
      </c>
      <c r="I131" s="5"/>
      <c r="J131" s="205">
        <f>ROUND(H131*E131,0)</f>
        <v>6496</v>
      </c>
      <c r="K131" s="5"/>
      <c r="L131" s="17"/>
      <c r="M131" s="5"/>
      <c r="O131" s="1182"/>
    </row>
    <row r="132" spans="1:15">
      <c r="A132" s="685">
        <v>12</v>
      </c>
      <c r="C132" s="531" t="str">
        <f>DEO!C132</f>
        <v>TOTAL DEPRECIATION AND AMORTIZATION (Sum lines 9 - 11)</v>
      </c>
      <c r="D132" s="669"/>
      <c r="E132" s="441">
        <f>SUM(E129:E131)</f>
        <v>4339894</v>
      </c>
      <c r="F132" s="5"/>
      <c r="G132" s="5"/>
      <c r="H132" s="5"/>
      <c r="I132" s="5"/>
      <c r="J132" s="319">
        <f>SUM(J129:J131)</f>
        <v>992286</v>
      </c>
      <c r="K132" s="5"/>
      <c r="L132" s="5"/>
      <c r="M132" s="5"/>
      <c r="O132" s="1182"/>
    </row>
    <row r="133" spans="1:15">
      <c r="A133" s="685"/>
      <c r="C133" s="531"/>
      <c r="D133" s="669"/>
      <c r="E133" s="204"/>
      <c r="F133" s="5"/>
      <c r="G133" s="5"/>
      <c r="H133" s="5"/>
      <c r="I133" s="5"/>
      <c r="J133" s="204"/>
      <c r="K133" s="5"/>
      <c r="L133" s="5"/>
      <c r="M133" s="5"/>
      <c r="O133" s="1182"/>
    </row>
    <row r="134" spans="1:15">
      <c r="A134" s="685" t="s">
        <v>7</v>
      </c>
      <c r="C134" s="537" t="str">
        <f>DEO!C134</f>
        <v>TAXES OTHER THAN INCOME TAXES    (Note J)</v>
      </c>
      <c r="D134" s="841"/>
      <c r="E134" s="204"/>
      <c r="F134" s="5"/>
      <c r="G134" s="5"/>
      <c r="H134" s="5"/>
      <c r="I134" s="5"/>
      <c r="J134" s="204"/>
      <c r="K134" s="5"/>
      <c r="L134" s="5"/>
      <c r="M134" s="5"/>
      <c r="O134" s="1182"/>
    </row>
    <row r="135" spans="1:15">
      <c r="A135" s="685"/>
      <c r="C135" s="531" t="str">
        <f>DEO!C135</f>
        <v xml:space="preserve">  LABOR RELATED</v>
      </c>
      <c r="D135" s="841"/>
      <c r="E135" s="204"/>
      <c r="F135" s="5"/>
      <c r="G135" s="5"/>
      <c r="I135" s="5"/>
      <c r="J135" s="204"/>
      <c r="K135" s="5"/>
      <c r="L135" s="17"/>
      <c r="M135" s="5"/>
      <c r="O135" s="1182"/>
    </row>
    <row r="136" spans="1:15">
      <c r="A136" s="685">
        <v>13</v>
      </c>
      <c r="C136" s="535" t="str">
        <f>DEO!C136</f>
        <v>Payroll</v>
      </c>
      <c r="D136" s="840" t="str">
        <f>DEO!D136</f>
        <v>263.i</v>
      </c>
      <c r="E136" s="387">
        <f>INPUT!D75</f>
        <v>1881602</v>
      </c>
      <c r="F136" s="5"/>
      <c r="G136" s="548" t="s">
        <v>146</v>
      </c>
      <c r="H136" s="13">
        <f>DEK_WS_Alloc</f>
        <v>3.3360000000000001E-2</v>
      </c>
      <c r="I136" s="5"/>
      <c r="J136" s="319">
        <f>ROUND(H136*E136,0)</f>
        <v>62770</v>
      </c>
      <c r="K136" s="5"/>
      <c r="L136" s="17"/>
      <c r="M136" s="5"/>
      <c r="O136" s="1182"/>
    </row>
    <row r="137" spans="1:15">
      <c r="A137" s="685">
        <v>14</v>
      </c>
      <c r="C137" s="535" t="str">
        <f>DEO!C137</f>
        <v>Highway and vehicle</v>
      </c>
      <c r="D137" s="840" t="str">
        <f>DEO!D137</f>
        <v>263.i</v>
      </c>
      <c r="E137" s="321">
        <f>INPUT!D76</f>
        <v>1217</v>
      </c>
      <c r="F137" s="5"/>
      <c r="G137" s="548" t="s">
        <v>146</v>
      </c>
      <c r="H137" s="13">
        <f>DEK_WS_Alloc</f>
        <v>3.3360000000000001E-2</v>
      </c>
      <c r="I137" s="5"/>
      <c r="J137" s="204">
        <f>ROUND(H137*E137,0)</f>
        <v>41</v>
      </c>
      <c r="K137" s="5"/>
      <c r="L137" s="17"/>
      <c r="M137" s="5"/>
      <c r="O137" s="1182"/>
    </row>
    <row r="138" spans="1:15">
      <c r="A138" s="685">
        <v>15</v>
      </c>
      <c r="C138" s="531" t="str">
        <f>DEO!C138</f>
        <v xml:space="preserve">  PLANT RELATED</v>
      </c>
      <c r="D138" s="842" t="s">
        <v>7</v>
      </c>
      <c r="E138" s="321"/>
      <c r="F138" s="5"/>
      <c r="G138" s="5"/>
      <c r="I138" s="5"/>
      <c r="J138" s="204"/>
      <c r="K138" s="5"/>
      <c r="L138" s="17"/>
      <c r="M138" s="5"/>
      <c r="O138" s="1182"/>
    </row>
    <row r="139" spans="1:15">
      <c r="A139" s="685">
        <v>16</v>
      </c>
      <c r="C139" s="535" t="str">
        <f>DEO!C139</f>
        <v>Property</v>
      </c>
      <c r="D139" s="840" t="str">
        <f>DEO!D139</f>
        <v>263.i</v>
      </c>
      <c r="E139" s="321">
        <f>INPUT!D78</f>
        <v>9562575</v>
      </c>
      <c r="F139" s="5"/>
      <c r="G139" s="5" t="s">
        <v>44</v>
      </c>
      <c r="H139" s="18">
        <f>DEK_GP_Alloc</f>
        <v>2.4240000000000001E-2</v>
      </c>
      <c r="I139" s="5"/>
      <c r="J139" s="204">
        <f>ROUND(H139*E139,0)</f>
        <v>231797</v>
      </c>
      <c r="K139" s="5"/>
      <c r="L139" s="17"/>
      <c r="M139" s="5"/>
      <c r="O139" s="1182"/>
    </row>
    <row r="140" spans="1:15">
      <c r="A140" s="685">
        <v>17</v>
      </c>
      <c r="C140" s="535" t="str">
        <f>DEO!C140</f>
        <v>Gross Receipts</v>
      </c>
      <c r="D140" s="840" t="str">
        <f>DEO!D140</f>
        <v>263.i</v>
      </c>
      <c r="E140" s="321">
        <f>INPUT!D79</f>
        <v>0</v>
      </c>
      <c r="F140" s="5"/>
      <c r="G140" s="34" t="str">
        <f>G77</f>
        <v>NA</v>
      </c>
      <c r="H140" s="77" t="s">
        <v>152</v>
      </c>
      <c r="I140" s="5"/>
      <c r="J140" s="206">
        <v>0</v>
      </c>
      <c r="K140" s="5"/>
      <c r="L140" s="17"/>
      <c r="M140" s="5"/>
      <c r="O140" s="1182"/>
    </row>
    <row r="141" spans="1:15">
      <c r="A141" s="685">
        <v>18</v>
      </c>
      <c r="C141" s="535" t="str">
        <f>DEO!C141</f>
        <v>Other</v>
      </c>
      <c r="D141" s="840" t="str">
        <f>DEO!D141</f>
        <v>263.i</v>
      </c>
      <c r="E141" s="321">
        <f>INPUT!D80</f>
        <v>0</v>
      </c>
      <c r="F141" s="5"/>
      <c r="G141" s="5" t="str">
        <f>G139</f>
        <v>GP</v>
      </c>
      <c r="H141" s="18">
        <f>DEK_GP_Alloc</f>
        <v>2.4240000000000001E-2</v>
      </c>
      <c r="I141" s="5"/>
      <c r="J141" s="204">
        <f>ROUND(H141*E141,0)</f>
        <v>0</v>
      </c>
      <c r="K141" s="5"/>
      <c r="L141" s="17"/>
      <c r="M141" s="5"/>
      <c r="O141" s="1182"/>
    </row>
    <row r="142" spans="1:15" ht="15.6" thickBot="1">
      <c r="A142" s="685">
        <v>19</v>
      </c>
      <c r="C142" s="535" t="str">
        <f>DEO!C142</f>
        <v>Payments in lieu of taxes</v>
      </c>
      <c r="D142" s="669"/>
      <c r="E142" s="385">
        <f>INPUT!D81</f>
        <v>0</v>
      </c>
      <c r="F142" s="5"/>
      <c r="G142" s="5" t="s">
        <v>44</v>
      </c>
      <c r="H142" s="18">
        <f>DEK_GP_Alloc</f>
        <v>2.4240000000000001E-2</v>
      </c>
      <c r="I142" s="5"/>
      <c r="J142" s="205">
        <f>ROUND(H142*E142,0)</f>
        <v>0</v>
      </c>
      <c r="K142" s="5"/>
      <c r="L142" s="17"/>
      <c r="M142" s="5"/>
      <c r="O142" s="1182"/>
    </row>
    <row r="143" spans="1:15">
      <c r="A143" s="685">
        <v>20</v>
      </c>
      <c r="C143" s="531" t="str">
        <f>DEO!C143</f>
        <v>TOTAL OTHER TAXES  (sum lines 13 - 19)</v>
      </c>
      <c r="D143" s="669"/>
      <c r="E143" s="319">
        <f>E136+E137+E139+E140+E141+E142</f>
        <v>11445394</v>
      </c>
      <c r="F143" s="5"/>
      <c r="G143" s="5"/>
      <c r="H143" s="18"/>
      <c r="I143" s="5"/>
      <c r="J143" s="319">
        <f>J136+J137+J139+J140+J141+J142</f>
        <v>294608</v>
      </c>
      <c r="K143" s="5"/>
      <c r="L143" s="5"/>
      <c r="M143" s="5"/>
      <c r="O143" s="1182"/>
    </row>
    <row r="144" spans="1:15">
      <c r="A144" s="685"/>
      <c r="C144" s="531"/>
      <c r="D144" s="669"/>
      <c r="E144" s="204"/>
      <c r="F144" s="5"/>
      <c r="G144" s="5"/>
      <c r="H144" s="18"/>
      <c r="I144" s="5"/>
      <c r="J144" s="5"/>
      <c r="K144" s="5"/>
      <c r="L144" s="5"/>
      <c r="M144" s="5"/>
      <c r="O144" s="1182"/>
    </row>
    <row r="145" spans="1:15">
      <c r="A145" s="685" t="s">
        <v>58</v>
      </c>
      <c r="C145" s="531"/>
      <c r="D145" s="669"/>
      <c r="E145" s="5"/>
      <c r="F145" s="5"/>
      <c r="G145" s="5"/>
      <c r="H145" s="18"/>
      <c r="I145" s="5"/>
      <c r="J145" s="5"/>
      <c r="K145" s="5"/>
      <c r="L145" s="5"/>
      <c r="M145" s="5"/>
      <c r="O145" s="1182"/>
    </row>
    <row r="146" spans="1:15">
      <c r="A146" s="685" t="s">
        <v>7</v>
      </c>
      <c r="C146" s="531" t="str">
        <f>DEO!C146</f>
        <v>INCOME TAXES           (Note K)</v>
      </c>
      <c r="D146" s="669"/>
      <c r="E146" s="5"/>
      <c r="F146" s="5"/>
      <c r="H146" s="15"/>
      <c r="I146" s="5"/>
      <c r="K146" s="5"/>
      <c r="M146" s="5"/>
      <c r="O146" s="1182"/>
    </row>
    <row r="147" spans="1:15">
      <c r="A147" s="685">
        <v>21</v>
      </c>
      <c r="C147" s="531" t="str">
        <f>DEO!C147</f>
        <v xml:space="preserve">     T=1 - {[(1 - SIT) * (1 - FIT)] / (1 - SIT * FIT * p)} =</v>
      </c>
      <c r="D147" s="669"/>
      <c r="E147" s="438">
        <f>IF(FIT&gt;0,1-(((1-SIT_DEK)*(1-FIT))/(1-SIT_DEK*FIT*E284)),0)</f>
        <v>0.24950000000000006</v>
      </c>
      <c r="F147" s="5"/>
      <c r="H147" s="15"/>
      <c r="I147" s="5"/>
      <c r="K147" s="5"/>
      <c r="M147" s="5"/>
      <c r="O147" s="1182"/>
    </row>
    <row r="148" spans="1:15">
      <c r="A148" s="685">
        <v>22</v>
      </c>
      <c r="C148" s="531" t="str">
        <f>DEO!C148</f>
        <v xml:space="preserve">     CIT=(T/1-T) * (1-(WCLTD/R)) =</v>
      </c>
      <c r="D148" s="669"/>
      <c r="E148" s="350">
        <f>IF(J227&gt;0,(E147/(1-E147))*(1-WCLTD_DEK/R_DEK),0)</f>
        <v>0.25818004816762552</v>
      </c>
      <c r="F148" s="5"/>
      <c r="H148" s="15"/>
      <c r="I148" s="5"/>
      <c r="K148" s="5"/>
      <c r="M148" s="5"/>
      <c r="O148" s="1182"/>
    </row>
    <row r="149" spans="1:15">
      <c r="A149" s="685"/>
      <c r="C149" s="531" t="str">
        <f>DEO!C149</f>
        <v xml:space="preserve">       where WCLTD=(page 4, line 27) and R= (page 4, line 30)</v>
      </c>
      <c r="D149" s="669"/>
      <c r="E149" s="5"/>
      <c r="F149" s="5"/>
      <c r="H149" s="15"/>
      <c r="I149" s="5"/>
      <c r="K149" s="5"/>
      <c r="M149" s="5"/>
      <c r="O149" s="1182"/>
    </row>
    <row r="150" spans="1:15">
      <c r="A150" s="685"/>
      <c r="C150" s="531" t="str">
        <f>DEO!C150</f>
        <v xml:space="preserve">       and FIT, SIT &amp; p are as given in footnote K.</v>
      </c>
      <c r="D150" s="669"/>
      <c r="E150" s="5"/>
      <c r="F150" s="5"/>
      <c r="H150" s="15"/>
      <c r="I150" s="5"/>
      <c r="K150" s="5"/>
      <c r="M150" s="5"/>
      <c r="O150" s="1182"/>
    </row>
    <row r="151" spans="1:15">
      <c r="A151" s="685">
        <v>23</v>
      </c>
      <c r="C151" s="531" t="str">
        <f>DEO!C151</f>
        <v xml:space="preserve">      1 / (1 - T)  = (from line 21)</v>
      </c>
      <c r="D151" s="669"/>
      <c r="E151" s="522">
        <f>IF(E147&gt;0,1/(1-E147),0)</f>
        <v>1.3324450366422387</v>
      </c>
      <c r="F151" s="5"/>
      <c r="H151" s="15"/>
      <c r="I151" s="5"/>
      <c r="J151" s="204"/>
      <c r="K151" s="5"/>
      <c r="M151" s="5"/>
      <c r="O151" s="1182"/>
    </row>
    <row r="152" spans="1:15">
      <c r="A152" s="685">
        <v>24</v>
      </c>
      <c r="C152" s="531" t="str">
        <f>DEO!C152</f>
        <v>Amortized Investment Tax Credit</v>
      </c>
      <c r="D152" s="840" t="str">
        <f>DEO!D152</f>
        <v>266.8.f (enter negative)</v>
      </c>
      <c r="E152" s="448">
        <f>INPUT!D91</f>
        <v>-11335</v>
      </c>
      <c r="F152" s="5"/>
      <c r="H152" s="15"/>
      <c r="I152" s="5"/>
      <c r="J152" s="204"/>
      <c r="K152" s="5"/>
      <c r="M152" s="5"/>
      <c r="O152" s="1182"/>
    </row>
    <row r="153" spans="1:15">
      <c r="A153" s="685"/>
      <c r="C153" s="531"/>
      <c r="D153" s="669"/>
      <c r="E153" s="204"/>
      <c r="F153" s="5"/>
      <c r="H153" s="15"/>
      <c r="I153" s="5"/>
      <c r="J153" s="204"/>
      <c r="K153" s="5"/>
      <c r="M153" s="5"/>
      <c r="O153" s="1182"/>
    </row>
    <row r="154" spans="1:15">
      <c r="A154" s="685">
        <v>25</v>
      </c>
      <c r="C154" s="531" t="str">
        <f>DEO!C154</f>
        <v>Income Tax Calculation (line 22 * line 28)</v>
      </c>
      <c r="D154" s="845"/>
      <c r="E154" s="319">
        <f>ROUND(E148*E158,0)</f>
        <v>14513566</v>
      </c>
      <c r="F154" s="5"/>
      <c r="G154" s="5" t="s">
        <v>30</v>
      </c>
      <c r="H154" s="18"/>
      <c r="I154" s="5"/>
      <c r="J154" s="319">
        <f>ROUND(E148*J158,0)</f>
        <v>419391</v>
      </c>
      <c r="K154" s="5"/>
      <c r="L154" s="14" t="s">
        <v>7</v>
      </c>
      <c r="M154" s="5"/>
      <c r="O154" s="1182"/>
    </row>
    <row r="155" spans="1:15" ht="15.6" thickBot="1">
      <c r="A155" s="685">
        <v>26</v>
      </c>
      <c r="C155" s="531" t="str">
        <f>DEO!C155</f>
        <v>ITC adjustment (line 23 * line 24)</v>
      </c>
      <c r="D155" s="845"/>
      <c r="E155" s="205">
        <f>ROUND(E151*E152,0)</f>
        <v>-15103</v>
      </c>
      <c r="F155" s="5"/>
      <c r="G155" s="11" t="s">
        <v>42</v>
      </c>
      <c r="H155" s="18">
        <f>DEK_NP_Alloc</f>
        <v>2.8670000000000001E-2</v>
      </c>
      <c r="I155" s="5"/>
      <c r="J155" s="205">
        <f>ROUND(H155*E155,0)</f>
        <v>-433</v>
      </c>
      <c r="K155" s="5"/>
      <c r="L155" s="14"/>
      <c r="M155" s="5"/>
      <c r="O155" s="1182"/>
    </row>
    <row r="156" spans="1:15">
      <c r="A156" s="685">
        <v>27</v>
      </c>
      <c r="C156" s="531" t="str">
        <f>DEO!C156</f>
        <v>Total Income Taxes</v>
      </c>
      <c r="D156" s="840" t="str">
        <f>DEO!D156</f>
        <v>(line 25 plus line 26)</v>
      </c>
      <c r="E156" s="322">
        <f>E154+E155</f>
        <v>14498463</v>
      </c>
      <c r="F156" s="5"/>
      <c r="G156" s="5" t="s">
        <v>7</v>
      </c>
      <c r="H156" s="18" t="s">
        <v>7</v>
      </c>
      <c r="I156" s="5"/>
      <c r="J156" s="322">
        <f>J154+J155</f>
        <v>418958</v>
      </c>
      <c r="K156" s="5"/>
      <c r="L156" s="5"/>
      <c r="M156" s="5"/>
      <c r="O156" s="1182"/>
    </row>
    <row r="157" spans="1:15">
      <c r="A157" s="685" t="s">
        <v>7</v>
      </c>
      <c r="C157" s="561"/>
      <c r="D157" s="846"/>
      <c r="E157" s="204"/>
      <c r="F157" s="5"/>
      <c r="G157" s="5"/>
      <c r="H157" s="18"/>
      <c r="I157" s="5"/>
      <c r="J157" s="204"/>
      <c r="K157" s="5"/>
      <c r="L157" s="5"/>
      <c r="M157" s="5"/>
      <c r="O157" s="1182"/>
    </row>
    <row r="158" spans="1:15">
      <c r="A158" s="685">
        <v>28</v>
      </c>
      <c r="C158" s="531" t="str">
        <f>DEO!C158</f>
        <v xml:space="preserve">RETURN </v>
      </c>
      <c r="D158" s="847"/>
      <c r="E158" s="319">
        <f>ROUND($J227*E92,0)</f>
        <v>56214901</v>
      </c>
      <c r="F158" s="5"/>
      <c r="G158" s="5" t="s">
        <v>30</v>
      </c>
      <c r="H158" s="15"/>
      <c r="I158" s="5"/>
      <c r="J158" s="319">
        <f>ROUND($J227*J92,0)</f>
        <v>1624411</v>
      </c>
      <c r="K158" s="5"/>
      <c r="M158" s="5"/>
      <c r="O158" s="1182"/>
    </row>
    <row r="159" spans="1:15">
      <c r="A159" s="685"/>
      <c r="C159" s="750" t="str">
        <f>DEO!C159</f>
        <v xml:space="preserve">  [Rate Base (page 2, line 30) * Rate of Return (page 4, line 30)]</v>
      </c>
      <c r="D159" s="841"/>
      <c r="E159" s="204"/>
      <c r="F159" s="5"/>
      <c r="G159" s="5"/>
      <c r="H159" s="15"/>
      <c r="I159" s="5"/>
      <c r="J159" s="204"/>
      <c r="K159" s="5"/>
      <c r="L159" s="17"/>
      <c r="M159" s="5"/>
      <c r="O159" s="1182"/>
    </row>
    <row r="160" spans="1:15">
      <c r="A160" s="685"/>
      <c r="C160" s="531"/>
      <c r="D160" s="841"/>
      <c r="E160" s="207"/>
      <c r="F160" s="5"/>
      <c r="G160" s="5"/>
      <c r="H160" s="15"/>
      <c r="I160" s="5"/>
      <c r="J160" s="207"/>
      <c r="K160" s="5"/>
      <c r="L160" s="17"/>
      <c r="M160" s="5"/>
      <c r="O160" s="1182"/>
    </row>
    <row r="161" spans="1:15" ht="15.6" thickBot="1">
      <c r="A161" s="685">
        <v>29</v>
      </c>
      <c r="C161" s="531" t="str">
        <f>DEO!C161</f>
        <v>REV. REQUIREMENT  (sum lines 8, 12, 20, 27, 28)</v>
      </c>
      <c r="D161" s="669"/>
      <c r="E161" s="323">
        <f>E158+E156+E143+E132+E126</f>
        <v>106520615</v>
      </c>
      <c r="F161" s="86"/>
      <c r="G161" s="86"/>
      <c r="H161" s="86"/>
      <c r="I161" s="86"/>
      <c r="J161" s="323">
        <f>J158+J156+J143+J132+J126</f>
        <v>5235941</v>
      </c>
      <c r="K161" s="1"/>
      <c r="L161" s="1"/>
      <c r="M161" s="1"/>
      <c r="O161" s="1182"/>
    </row>
    <row r="162" spans="1:15" ht="15.6" thickTop="1">
      <c r="A162" s="685"/>
      <c r="C162" s="3"/>
      <c r="D162" s="5"/>
      <c r="E162" s="86"/>
      <c r="F162" s="5"/>
      <c r="G162" s="5"/>
      <c r="H162" s="5"/>
      <c r="I162" s="5"/>
      <c r="J162" s="86"/>
      <c r="K162" s="1"/>
      <c r="L162" s="1"/>
      <c r="M162" s="1"/>
      <c r="O162" s="1182"/>
    </row>
    <row r="163" spans="1:15">
      <c r="A163" s="685"/>
      <c r="C163" s="3"/>
      <c r="D163" s="5"/>
      <c r="E163" s="86"/>
      <c r="F163" s="5"/>
      <c r="G163" s="5"/>
      <c r="H163" s="5"/>
      <c r="I163" s="5"/>
      <c r="J163" s="86"/>
      <c r="K163" s="1"/>
      <c r="L163" s="1"/>
      <c r="M163" s="1"/>
      <c r="O163" s="1182"/>
    </row>
    <row r="164" spans="1:15">
      <c r="A164" s="685"/>
      <c r="C164" s="26"/>
      <c r="D164" s="26"/>
      <c r="E164" s="27"/>
      <c r="F164" s="26"/>
      <c r="G164" s="26"/>
      <c r="H164" s="26"/>
      <c r="I164" s="28"/>
      <c r="K164" s="29"/>
      <c r="L164" s="85"/>
      <c r="M164" s="29"/>
      <c r="O164" s="1182"/>
    </row>
    <row r="165" spans="1:15" ht="17.399999999999999">
      <c r="A165" s="688"/>
      <c r="C165" s="26"/>
      <c r="D165" s="26"/>
      <c r="E165" s="27"/>
      <c r="F165" s="26"/>
      <c r="G165" s="26"/>
      <c r="H165" s="26"/>
      <c r="I165" s="28"/>
      <c r="J165" s="73" t="s">
        <v>306</v>
      </c>
      <c r="M165" s="84"/>
      <c r="O165" s="1182"/>
    </row>
    <row r="166" spans="1:15">
      <c r="C166" s="26"/>
      <c r="D166" s="26"/>
      <c r="E166" s="27"/>
      <c r="F166" s="26"/>
      <c r="G166" s="26"/>
      <c r="H166" s="26"/>
      <c r="I166" s="28"/>
      <c r="J166" s="73" t="s">
        <v>421</v>
      </c>
      <c r="M166" s="73"/>
      <c r="O166" s="1182"/>
    </row>
    <row r="167" spans="1:15">
      <c r="C167" s="26"/>
      <c r="D167" s="26"/>
      <c r="E167" s="27"/>
      <c r="F167" s="26"/>
      <c r="G167" s="26"/>
      <c r="H167" s="26"/>
      <c r="I167" s="28"/>
      <c r="M167" s="73"/>
      <c r="O167" s="1182"/>
    </row>
    <row r="168" spans="1:15">
      <c r="C168" s="26"/>
      <c r="D168" s="26"/>
      <c r="E168" s="27"/>
      <c r="F168" s="26"/>
      <c r="G168" s="26"/>
      <c r="H168" s="26"/>
      <c r="I168" s="28"/>
      <c r="M168" s="73"/>
      <c r="O168" s="1182"/>
    </row>
    <row r="169" spans="1:15">
      <c r="C169" s="26"/>
      <c r="D169" s="26"/>
      <c r="E169" s="27"/>
      <c r="F169" s="26"/>
      <c r="G169" s="26"/>
      <c r="H169" s="26"/>
      <c r="I169" s="28"/>
      <c r="M169" s="73"/>
      <c r="O169" s="1182"/>
    </row>
    <row r="170" spans="1:15">
      <c r="C170" s="26"/>
      <c r="D170" s="26"/>
      <c r="E170" s="27"/>
      <c r="F170" s="26"/>
      <c r="G170" s="26"/>
      <c r="H170" s="26"/>
      <c r="I170" s="28"/>
      <c r="J170" s="73"/>
      <c r="M170" s="73"/>
      <c r="O170" s="1182"/>
    </row>
    <row r="171" spans="1:15">
      <c r="C171" s="26" t="s">
        <v>6</v>
      </c>
      <c r="D171" s="26"/>
      <c r="E171" s="27"/>
      <c r="F171" s="26"/>
      <c r="G171" s="26"/>
      <c r="H171" s="26"/>
      <c r="I171" s="28"/>
      <c r="J171" s="85" t="str">
        <f>J7</f>
        <v>For the 12 months ended: 12/31/2018</v>
      </c>
      <c r="M171" s="73"/>
      <c r="O171" s="1182"/>
    </row>
    <row r="172" spans="1:15">
      <c r="A172" s="689" t="str">
        <f>A8</f>
        <v>Rate Formula Template</v>
      </c>
      <c r="B172" s="246"/>
      <c r="C172" s="246"/>
      <c r="D172" s="244"/>
      <c r="E172" s="246"/>
      <c r="F172" s="244"/>
      <c r="G172" s="244"/>
      <c r="H172" s="244"/>
      <c r="I172" s="244"/>
      <c r="J172" s="246"/>
      <c r="K172" s="241"/>
      <c r="L172" s="246"/>
      <c r="M172" s="1"/>
      <c r="O172" s="1182"/>
    </row>
    <row r="173" spans="1:15">
      <c r="A173" s="690" t="s">
        <v>277</v>
      </c>
      <c r="B173" s="246"/>
      <c r="C173" s="244"/>
      <c r="D173" s="247"/>
      <c r="E173" s="246"/>
      <c r="F173" s="247"/>
      <c r="G173" s="247"/>
      <c r="H173" s="247"/>
      <c r="I173" s="244"/>
      <c r="J173" s="244"/>
      <c r="K173" s="241"/>
      <c r="L173" s="241"/>
      <c r="M173" s="1"/>
      <c r="O173" s="1182"/>
    </row>
    <row r="174" spans="1:15">
      <c r="A174" s="690"/>
      <c r="B174" s="246"/>
      <c r="C174" s="241"/>
      <c r="D174" s="241"/>
      <c r="E174" s="246"/>
      <c r="F174" s="241"/>
      <c r="G174" s="241"/>
      <c r="H174" s="241"/>
      <c r="I174" s="241"/>
      <c r="J174" s="241"/>
      <c r="K174" s="241"/>
      <c r="L174" s="241"/>
      <c r="M174" s="5"/>
      <c r="O174" s="1182"/>
    </row>
    <row r="175" spans="1:15" ht="15.6">
      <c r="A175" s="851" t="str">
        <f>$A$11</f>
        <v>DUKE ENERGY KENTUCKY (DEK)</v>
      </c>
      <c r="B175" s="246"/>
      <c r="C175" s="241"/>
      <c r="D175" s="241"/>
      <c r="E175" s="246"/>
      <c r="F175" s="241"/>
      <c r="G175" s="241"/>
      <c r="H175" s="241"/>
      <c r="I175" s="241"/>
      <c r="J175" s="241"/>
      <c r="K175" s="241"/>
      <c r="L175" s="241"/>
      <c r="M175" s="5"/>
      <c r="O175" s="1182"/>
    </row>
    <row r="176" spans="1:15" ht="15.6">
      <c r="A176" s="691" t="s">
        <v>278</v>
      </c>
      <c r="B176" s="105"/>
      <c r="C176" s="105"/>
      <c r="D176" s="105"/>
      <c r="E176" s="105"/>
      <c r="F176" s="243"/>
      <c r="G176" s="243"/>
      <c r="H176" s="243"/>
      <c r="I176" s="243"/>
      <c r="J176" s="243"/>
      <c r="K176" s="242"/>
      <c r="L176" s="242"/>
      <c r="M176" s="5"/>
      <c r="O176" s="1182"/>
    </row>
    <row r="177" spans="1:15" ht="15.6">
      <c r="A177" s="685" t="s">
        <v>8</v>
      </c>
      <c r="C177" s="12"/>
      <c r="D177" s="1"/>
      <c r="E177" s="1"/>
      <c r="F177" s="1"/>
      <c r="G177" s="1"/>
      <c r="H177" s="1"/>
      <c r="I177" s="1"/>
      <c r="J177" s="1"/>
      <c r="K177" s="5"/>
      <c r="L177" s="5"/>
      <c r="M177" s="5"/>
      <c r="O177" s="1182"/>
    </row>
    <row r="178" spans="1:15" ht="15.6">
      <c r="A178" s="694" t="s">
        <v>10</v>
      </c>
      <c r="B178" s="257"/>
      <c r="C178" s="336" t="str">
        <f>DEO!C178</f>
        <v>TRANSMISSION PLANT INCLUDED IN ISO RATES</v>
      </c>
      <c r="D178" s="62"/>
      <c r="E178" s="62"/>
      <c r="F178" s="62"/>
      <c r="G178" s="62"/>
      <c r="H178" s="62"/>
      <c r="I178" s="63"/>
      <c r="J178" s="63"/>
      <c r="K178" s="34"/>
      <c r="L178" s="5"/>
      <c r="M178" s="5"/>
      <c r="O178" s="1182"/>
    </row>
    <row r="179" spans="1:15">
      <c r="A179" s="685"/>
      <c r="C179" s="570"/>
      <c r="D179" s="62"/>
      <c r="E179" s="62"/>
      <c r="F179" s="62"/>
      <c r="G179" s="62"/>
      <c r="H179" s="62"/>
      <c r="I179" s="62"/>
      <c r="J179" s="62"/>
      <c r="K179" s="34"/>
      <c r="L179" s="5"/>
      <c r="M179" s="5"/>
      <c r="O179" s="1182"/>
    </row>
    <row r="180" spans="1:15">
      <c r="A180" s="685">
        <v>1</v>
      </c>
      <c r="C180" s="547" t="str">
        <f>DEO!C180</f>
        <v>Total transmission plant (page 2, line 2, column 3)</v>
      </c>
      <c r="D180" s="62"/>
      <c r="E180" s="34"/>
      <c r="F180" s="34"/>
      <c r="G180" s="34"/>
      <c r="H180" s="34"/>
      <c r="I180" s="34"/>
      <c r="J180" s="440">
        <f>E54</f>
        <v>58283428</v>
      </c>
      <c r="K180" s="34"/>
      <c r="L180" s="5"/>
      <c r="M180" s="5"/>
      <c r="O180" s="1182"/>
    </row>
    <row r="181" spans="1:15">
      <c r="A181" s="685">
        <v>2</v>
      </c>
      <c r="C181" s="367" t="str">
        <f>DEO!C181</f>
        <v>Less transmission plant excluded from ISO rates  (Note M)</v>
      </c>
      <c r="D181" s="63"/>
      <c r="E181" s="63"/>
      <c r="F181" s="63"/>
      <c r="G181" s="63"/>
      <c r="H181" s="63"/>
      <c r="I181" s="63"/>
      <c r="J181" s="210">
        <f>INPUT!D95</f>
        <v>0</v>
      </c>
      <c r="K181" s="34"/>
      <c r="L181" s="5"/>
      <c r="M181" s="5"/>
      <c r="O181" s="1182"/>
    </row>
    <row r="182" spans="1:15" ht="15.6" thickBot="1">
      <c r="A182" s="685">
        <v>3</v>
      </c>
      <c r="C182" s="368" t="str">
        <f>DEO!C182</f>
        <v>Less transmission plant included in OATT Ancillary Services  (Note N)</v>
      </c>
      <c r="D182" s="64"/>
      <c r="E182" s="65"/>
      <c r="F182" s="34"/>
      <c r="G182" s="34"/>
      <c r="H182" s="66"/>
      <c r="I182" s="34"/>
      <c r="J182" s="211">
        <f>INPUT!D96</f>
        <v>16503955</v>
      </c>
      <c r="K182" s="34"/>
      <c r="L182" s="5"/>
      <c r="M182" s="5"/>
      <c r="O182" s="1182"/>
    </row>
    <row r="183" spans="1:15">
      <c r="A183" s="685">
        <v>4</v>
      </c>
      <c r="C183" s="547" t="str">
        <f>DEO!C183</f>
        <v>Transmission plant included in ISO Rates  (line 1 less lines 2 &amp; 3)</v>
      </c>
      <c r="D183" s="62"/>
      <c r="E183" s="34"/>
      <c r="F183" s="34"/>
      <c r="G183" s="34"/>
      <c r="H183" s="66"/>
      <c r="I183" s="34"/>
      <c r="J183" s="440">
        <f>J180-J181-J182</f>
        <v>41779473</v>
      </c>
      <c r="K183" s="34"/>
      <c r="L183" s="5"/>
      <c r="M183" s="5"/>
      <c r="O183" s="1182"/>
    </row>
    <row r="184" spans="1:15">
      <c r="A184" s="685"/>
      <c r="C184" s="550"/>
      <c r="D184" s="62"/>
      <c r="E184" s="34"/>
      <c r="F184" s="34"/>
      <c r="G184" s="34"/>
      <c r="H184" s="66"/>
      <c r="I184" s="34"/>
      <c r="J184" s="63"/>
      <c r="K184" s="34"/>
      <c r="L184" s="5"/>
      <c r="M184" s="5"/>
      <c r="O184" s="1182"/>
    </row>
    <row r="185" spans="1:15">
      <c r="A185" s="685">
        <v>5</v>
      </c>
      <c r="C185" s="547" t="str">
        <f>DEO!C185</f>
        <v>Percentage of transmission plant included in ISO Rates (line 4 divided by line 1)</v>
      </c>
      <c r="D185" s="67"/>
      <c r="E185" s="68"/>
      <c r="F185" s="68"/>
      <c r="G185" s="68"/>
      <c r="H185" s="69"/>
      <c r="I185" s="34" t="s">
        <v>63</v>
      </c>
      <c r="J185" s="58">
        <f>IF(J180&gt;0,ROUND(J183/J180,5),0)</f>
        <v>0.71682999999999997</v>
      </c>
      <c r="K185" s="34"/>
      <c r="L185" s="5"/>
      <c r="M185" s="5"/>
      <c r="O185" s="1182"/>
    </row>
    <row r="186" spans="1:15">
      <c r="A186" s="685"/>
      <c r="C186" s="550"/>
      <c r="D186" s="63"/>
      <c r="E186" s="63"/>
      <c r="F186" s="63"/>
      <c r="G186" s="63"/>
      <c r="H186" s="63"/>
      <c r="I186" s="63"/>
      <c r="J186" s="63"/>
      <c r="K186" s="34"/>
      <c r="L186" s="5"/>
      <c r="M186" s="5"/>
      <c r="N186" s="212"/>
      <c r="O186" s="1182"/>
    </row>
    <row r="187" spans="1:15" ht="15.6">
      <c r="A187" s="685"/>
      <c r="C187" s="335" t="str">
        <f>DEO!C187</f>
        <v xml:space="preserve">TRANSMISSION EXPENSES </v>
      </c>
      <c r="D187" s="63"/>
      <c r="E187" s="63"/>
      <c r="F187" s="63"/>
      <c r="G187" s="63"/>
      <c r="H187" s="63"/>
      <c r="I187" s="63"/>
      <c r="J187" s="63"/>
      <c r="K187" s="34"/>
      <c r="L187" s="5"/>
      <c r="M187" s="5"/>
      <c r="N187" s="212"/>
      <c r="O187" s="1182"/>
    </row>
    <row r="188" spans="1:15">
      <c r="A188" s="685"/>
      <c r="C188" s="550"/>
      <c r="D188" s="63"/>
      <c r="E188" s="63"/>
      <c r="F188" s="63"/>
      <c r="G188" s="63"/>
      <c r="H188" s="63"/>
      <c r="I188" s="63"/>
      <c r="J188" s="63"/>
      <c r="K188" s="34"/>
      <c r="L188" s="5"/>
      <c r="M188" s="5"/>
      <c r="N188" s="212"/>
      <c r="O188" s="1182"/>
    </row>
    <row r="189" spans="1:15">
      <c r="A189" s="685">
        <v>6</v>
      </c>
      <c r="C189" s="550" t="str">
        <f>DEO!C189</f>
        <v>Total transmission expenses    (page 3, line 1, column 3)</v>
      </c>
      <c r="D189" s="63"/>
      <c r="E189" s="62"/>
      <c r="F189" s="62"/>
      <c r="G189" s="62"/>
      <c r="H189" s="70"/>
      <c r="I189" s="62"/>
      <c r="J189" s="440">
        <f>E112</f>
        <v>12673766</v>
      </c>
      <c r="K189" s="34"/>
      <c r="L189" s="5"/>
      <c r="M189" s="5"/>
      <c r="N189" s="212"/>
      <c r="O189" s="1182"/>
    </row>
    <row r="190" spans="1:15" ht="15.6" thickBot="1">
      <c r="A190" s="685">
        <v>7</v>
      </c>
      <c r="C190" s="368" t="str">
        <f>DEO!C190</f>
        <v>Less transmission expenses included in OATT Ancillary Services  (Note L)</v>
      </c>
      <c r="D190" s="64"/>
      <c r="E190" s="65"/>
      <c r="F190" s="65"/>
      <c r="G190" s="34"/>
      <c r="H190" s="34"/>
      <c r="I190" s="34"/>
      <c r="J190" s="211">
        <f>INPUT!D103</f>
        <v>588328</v>
      </c>
      <c r="K190" s="34"/>
      <c r="L190" s="5"/>
      <c r="M190" s="5"/>
      <c r="N190" s="212"/>
      <c r="O190" s="1182"/>
    </row>
    <row r="191" spans="1:15">
      <c r="A191" s="685">
        <v>8</v>
      </c>
      <c r="C191" s="547" t="str">
        <f>DEO!C191</f>
        <v>Included transmission expenses (line 6 less line 7)</v>
      </c>
      <c r="D191" s="67"/>
      <c r="E191" s="68"/>
      <c r="F191" s="68"/>
      <c r="G191" s="68"/>
      <c r="H191" s="69"/>
      <c r="I191" s="68"/>
      <c r="J191" s="440">
        <f>J189-J190</f>
        <v>12085438</v>
      </c>
      <c r="K191" s="63"/>
      <c r="M191" s="5"/>
      <c r="N191" s="212"/>
      <c r="O191" s="1182"/>
    </row>
    <row r="192" spans="1:15">
      <c r="A192" s="685"/>
      <c r="C192" s="547"/>
      <c r="D192" s="62"/>
      <c r="E192" s="34"/>
      <c r="F192" s="34"/>
      <c r="G192" s="34"/>
      <c r="H192" s="34"/>
      <c r="I192" s="63"/>
      <c r="J192" s="63"/>
      <c r="K192" s="63"/>
      <c r="M192" s="5"/>
      <c r="N192" s="212"/>
      <c r="O192" s="1182"/>
    </row>
    <row r="193" spans="1:15">
      <c r="A193" s="685">
        <v>9</v>
      </c>
      <c r="C193" s="547" t="str">
        <f>DEO!C193</f>
        <v>Percentage of transmission expenses after adjustment (line 8 divided by line 6)</v>
      </c>
      <c r="D193" s="62"/>
      <c r="E193" s="34"/>
      <c r="F193" s="34"/>
      <c r="G193" s="34"/>
      <c r="H193" s="34"/>
      <c r="I193" s="34"/>
      <c r="J193" s="60">
        <f>IF(J189&gt;0,ROUND(J191/J189,5),0)</f>
        <v>0.95357999999999998</v>
      </c>
      <c r="K193" s="63"/>
      <c r="M193" s="5"/>
      <c r="N193" s="212"/>
      <c r="O193" s="1182"/>
    </row>
    <row r="194" spans="1:15">
      <c r="A194" s="685">
        <v>10</v>
      </c>
      <c r="C194" s="547" t="str">
        <f>DEO!C194</f>
        <v>Percentage of transmission plant included in ISO Rates (line 5)</v>
      </c>
      <c r="D194" s="62"/>
      <c r="E194" s="34"/>
      <c r="F194" s="34"/>
      <c r="G194" s="34"/>
      <c r="H194" s="34"/>
      <c r="I194" s="62" t="s">
        <v>14</v>
      </c>
      <c r="J194" s="18">
        <f>DEK_TP_Alloc</f>
        <v>0.71682999999999997</v>
      </c>
      <c r="K194" s="63"/>
      <c r="M194" s="5"/>
      <c r="N194" s="212"/>
      <c r="O194" s="1182"/>
    </row>
    <row r="195" spans="1:15">
      <c r="A195" s="685">
        <v>11</v>
      </c>
      <c r="C195" s="547" t="str">
        <f>DEO!C195</f>
        <v>Percentage of transmission expenses included in ISO Rates (line 9 times line 10)</v>
      </c>
      <c r="D195" s="62"/>
      <c r="E195" s="62"/>
      <c r="F195" s="62"/>
      <c r="G195" s="62"/>
      <c r="H195" s="62"/>
      <c r="I195" s="62" t="s">
        <v>62</v>
      </c>
      <c r="J195" s="72">
        <f>ROUND(J194*J193,5)</f>
        <v>0.68354999999999999</v>
      </c>
      <c r="K195" s="63"/>
      <c r="M195" s="5"/>
      <c r="N195" s="212"/>
      <c r="O195" s="1182"/>
    </row>
    <row r="196" spans="1:15">
      <c r="A196" s="685"/>
      <c r="C196" s="596"/>
      <c r="D196" s="1"/>
      <c r="E196" s="5"/>
      <c r="F196" s="5"/>
      <c r="G196" s="5"/>
      <c r="H196" s="6"/>
      <c r="I196" s="5"/>
      <c r="M196" s="5"/>
      <c r="N196" s="212"/>
      <c r="O196" s="1182"/>
    </row>
    <row r="197" spans="1:15" ht="15.6">
      <c r="A197" s="685" t="s">
        <v>7</v>
      </c>
      <c r="C197" s="12" t="str">
        <f>DEO!C197</f>
        <v>WAGES &amp; SALARY ALLOCATOR   (WS)</v>
      </c>
      <c r="D197" s="5"/>
      <c r="E197" s="5"/>
      <c r="F197" s="5"/>
      <c r="G197" s="5"/>
      <c r="H197" s="5"/>
      <c r="I197" s="5"/>
      <c r="J197" s="5"/>
      <c r="K197" s="5"/>
      <c r="L197" s="5"/>
      <c r="M197" s="5"/>
      <c r="N197" s="212"/>
      <c r="O197" s="1182"/>
    </row>
    <row r="198" spans="1:15" ht="15.6" thickBot="1">
      <c r="A198" s="685" t="s">
        <v>7</v>
      </c>
      <c r="C198" s="531"/>
      <c r="D198" s="41" t="s">
        <v>65</v>
      </c>
      <c r="E198" s="42" t="s">
        <v>66</v>
      </c>
      <c r="F198" s="42" t="s">
        <v>14</v>
      </c>
      <c r="G198" s="5"/>
      <c r="H198" s="42" t="s">
        <v>67</v>
      </c>
      <c r="I198" s="5"/>
      <c r="J198" s="5"/>
      <c r="K198" s="5"/>
      <c r="L198" s="5"/>
      <c r="M198" s="5"/>
      <c r="N198" s="212"/>
      <c r="O198" s="1182"/>
    </row>
    <row r="199" spans="1:15">
      <c r="A199" s="685">
        <v>12</v>
      </c>
      <c r="C199" s="531" t="str">
        <f>DEO!C199</f>
        <v xml:space="preserve">  Production</v>
      </c>
      <c r="D199" s="566" t="str">
        <f>DEO!D199</f>
        <v>354.20.b</v>
      </c>
      <c r="E199" s="448">
        <f>INPUT!D108</f>
        <v>13293182</v>
      </c>
      <c r="F199" s="78">
        <v>0</v>
      </c>
      <c r="G199" s="20"/>
      <c r="H199" s="204">
        <f>E199*F199</f>
        <v>0</v>
      </c>
      <c r="I199" s="5"/>
      <c r="J199" s="5"/>
      <c r="K199" s="5"/>
      <c r="L199" s="5"/>
      <c r="M199" s="5"/>
      <c r="N199" s="212"/>
      <c r="O199" s="1182"/>
    </row>
    <row r="200" spans="1:15">
      <c r="A200" s="685">
        <v>13</v>
      </c>
      <c r="C200" s="531" t="str">
        <f>DEO!C200</f>
        <v xml:space="preserve">  Transmission</v>
      </c>
      <c r="D200" s="566" t="str">
        <f>DEO!D200</f>
        <v>354.21.b</v>
      </c>
      <c r="E200" s="448">
        <f>INPUT!D109</f>
        <v>968723</v>
      </c>
      <c r="F200" s="13">
        <f>J185</f>
        <v>0.71682999999999997</v>
      </c>
      <c r="G200" s="20"/>
      <c r="H200" s="204">
        <f>E200*F200</f>
        <v>694409.70808999997</v>
      </c>
      <c r="I200" s="5"/>
      <c r="J200" s="5"/>
      <c r="K200" s="5"/>
      <c r="L200" s="5"/>
      <c r="M200" s="1"/>
      <c r="N200" s="212"/>
      <c r="O200" s="1182"/>
    </row>
    <row r="201" spans="1:15">
      <c r="A201" s="685">
        <v>14</v>
      </c>
      <c r="C201" s="531" t="str">
        <f>DEO!C201</f>
        <v xml:space="preserve">  Distribution</v>
      </c>
      <c r="D201" s="566" t="str">
        <f>DEO!D201</f>
        <v>354.23.b</v>
      </c>
      <c r="E201" s="448">
        <f>INPUT!D110</f>
        <v>3967747</v>
      </c>
      <c r="F201" s="78">
        <v>0</v>
      </c>
      <c r="G201" s="20"/>
      <c r="H201" s="204">
        <f>E201*F201</f>
        <v>0</v>
      </c>
      <c r="I201" s="5"/>
      <c r="J201" s="6" t="str">
        <f>DEO!J201</f>
        <v>WS Allocator</v>
      </c>
      <c r="K201" s="5"/>
      <c r="L201" s="5"/>
      <c r="M201" s="5"/>
      <c r="N201" s="212"/>
      <c r="O201" s="1182"/>
    </row>
    <row r="202" spans="1:15" ht="15.6" thickBot="1">
      <c r="A202" s="685">
        <v>15</v>
      </c>
      <c r="C202" s="531" t="str">
        <f>DEO!C202</f>
        <v xml:space="preserve">  Other</v>
      </c>
      <c r="D202" s="566" t="str">
        <f>DEO!D202</f>
        <v>354.24,25,26.b</v>
      </c>
      <c r="E202" s="447">
        <f>INPUT!D111</f>
        <v>2586535</v>
      </c>
      <c r="F202" s="78">
        <v>0</v>
      </c>
      <c r="G202" s="20"/>
      <c r="H202" s="205">
        <f>E202*F202</f>
        <v>0</v>
      </c>
      <c r="I202" s="5"/>
      <c r="J202" s="37" t="s">
        <v>70</v>
      </c>
      <c r="K202" s="5"/>
      <c r="L202" s="5"/>
      <c r="M202" s="5"/>
      <c r="O202" s="1182"/>
    </row>
    <row r="203" spans="1:15">
      <c r="A203" s="685">
        <v>16</v>
      </c>
      <c r="C203" s="531" t="str">
        <f>DEO!C203</f>
        <v xml:space="preserve">  Total Electric (sum lines 12-15)</v>
      </c>
      <c r="D203" s="5"/>
      <c r="E203" s="446">
        <f>SUM(E199:E202)</f>
        <v>20816187</v>
      </c>
      <c r="F203" s="5"/>
      <c r="G203" s="5"/>
      <c r="H203" s="204">
        <f>SUM(H199:H202)</f>
        <v>694409.70808999997</v>
      </c>
      <c r="I203" s="4" t="s">
        <v>71</v>
      </c>
      <c r="J203" s="13">
        <f>IF(H203&gt;0,ROUND(H203/E203,5),0)</f>
        <v>3.3360000000000001E-2</v>
      </c>
      <c r="K203" s="6" t="s">
        <v>71</v>
      </c>
      <c r="L203" s="5" t="s">
        <v>146</v>
      </c>
      <c r="M203" s="5"/>
      <c r="O203" s="1182"/>
    </row>
    <row r="204" spans="1:15">
      <c r="A204" s="685"/>
      <c r="C204" s="531"/>
      <c r="D204" s="5"/>
      <c r="E204" s="443"/>
      <c r="F204" s="5"/>
      <c r="G204" s="5"/>
      <c r="H204" s="5"/>
      <c r="I204" s="5"/>
      <c r="J204" s="5"/>
      <c r="K204" s="5"/>
      <c r="L204" s="5"/>
      <c r="M204" s="5" t="s">
        <v>7</v>
      </c>
      <c r="O204" s="1182"/>
    </row>
    <row r="205" spans="1:15" ht="15.6">
      <c r="A205" s="685"/>
      <c r="C205" s="369" t="str">
        <f>DEO!C205</f>
        <v>COMMON PLANT ALLOCATOR  (CE)</v>
      </c>
      <c r="D205" s="5"/>
      <c r="E205" s="443"/>
      <c r="F205" s="5"/>
      <c r="G205" s="5"/>
      <c r="M205" s="5"/>
      <c r="O205" s="1182"/>
    </row>
    <row r="206" spans="1:15" ht="15.6" thickBot="1">
      <c r="A206" s="685"/>
      <c r="C206" s="531"/>
      <c r="D206" s="5"/>
      <c r="E206" s="444" t="s">
        <v>66</v>
      </c>
      <c r="F206" s="5"/>
      <c r="G206" s="5"/>
      <c r="H206" s="6" t="str">
        <f>DEO!H206</f>
        <v>% Electric</v>
      </c>
      <c r="I206" s="15" t="s">
        <v>7</v>
      </c>
      <c r="J206" s="6" t="str">
        <f>DEO!J206</f>
        <v>WS Allocator</v>
      </c>
      <c r="M206" s="5"/>
      <c r="O206" s="1182"/>
    </row>
    <row r="207" spans="1:15">
      <c r="A207" s="685">
        <v>17</v>
      </c>
      <c r="C207" s="531" t="str">
        <f>DEO!C207</f>
        <v xml:space="preserve">  Electric</v>
      </c>
      <c r="D207" s="566" t="str">
        <f>DEO!D207</f>
        <v>200.3.c</v>
      </c>
      <c r="E207" s="448">
        <f>INPUT!D116</f>
        <v>1434470606</v>
      </c>
      <c r="F207" s="5"/>
      <c r="H207" s="6" t="str">
        <f>DEO!H207</f>
        <v>(line 17 / line 20)</v>
      </c>
      <c r="I207" s="31"/>
      <c r="J207" s="6" t="str">
        <f>DEO!J207</f>
        <v>(line 16)</v>
      </c>
      <c r="K207" s="5"/>
      <c r="L207" s="398" t="s">
        <v>76</v>
      </c>
      <c r="M207" s="5"/>
      <c r="O207" s="1182"/>
    </row>
    <row r="208" spans="1:15">
      <c r="A208" s="685">
        <v>18</v>
      </c>
      <c r="C208" s="531" t="str">
        <f>DEO!C208</f>
        <v xml:space="preserve">  Gas</v>
      </c>
      <c r="D208" s="566" t="str">
        <f>DEO!D208</f>
        <v>201.3.d</v>
      </c>
      <c r="E208" s="448">
        <f>INPUT!D117</f>
        <v>367448615</v>
      </c>
      <c r="F208" s="5"/>
      <c r="H208" s="18">
        <f>IF(E210&gt;0,ROUND(E207/E210,5),0)</f>
        <v>0.79608000000000001</v>
      </c>
      <c r="I208" s="6" t="s">
        <v>78</v>
      </c>
      <c r="J208" s="18">
        <f>DEK_WS_Alloc</f>
        <v>3.3360000000000001E-2</v>
      </c>
      <c r="K208" s="15" t="s">
        <v>71</v>
      </c>
      <c r="L208" s="399">
        <f>ROUND(J208*H208,5)</f>
        <v>2.656E-2</v>
      </c>
      <c r="M208" s="5"/>
      <c r="O208" s="1182"/>
    </row>
    <row r="209" spans="1:15" ht="15.6" thickBot="1">
      <c r="A209" s="685">
        <v>19</v>
      </c>
      <c r="C209" s="50" t="str">
        <f>DEO!C209</f>
        <v xml:space="preserve">  Water</v>
      </c>
      <c r="D209" s="50" t="str">
        <f>DEO!D209</f>
        <v>201.3.e</v>
      </c>
      <c r="E209" s="447">
        <f>INPUT!D118</f>
        <v>0</v>
      </c>
      <c r="F209" s="5"/>
      <c r="G209" s="5"/>
      <c r="H209" s="5" t="s">
        <v>7</v>
      </c>
      <c r="I209" s="5"/>
      <c r="J209" s="5"/>
      <c r="K209" s="5"/>
      <c r="L209" s="5"/>
      <c r="M209" s="5"/>
      <c r="O209" s="1182"/>
    </row>
    <row r="210" spans="1:15">
      <c r="A210" s="685">
        <v>20</v>
      </c>
      <c r="C210" s="531" t="str">
        <f>DEO!C210</f>
        <v xml:space="preserve">  Total  (sum lines 17 - 19)</v>
      </c>
      <c r="D210" s="5"/>
      <c r="E210" s="204">
        <f>E207+E208+E209</f>
        <v>1801919221</v>
      </c>
      <c r="F210" s="5"/>
      <c r="G210" s="5"/>
      <c r="H210" s="5"/>
      <c r="I210" s="5"/>
      <c r="J210" s="5"/>
      <c r="K210" s="5"/>
      <c r="L210" s="5"/>
      <c r="M210" s="5"/>
      <c r="O210" s="1182"/>
    </row>
    <row r="211" spans="1:15">
      <c r="A211" s="685"/>
      <c r="C211" s="531"/>
      <c r="D211" s="5"/>
      <c r="F211" s="5"/>
      <c r="G211" s="5"/>
      <c r="H211" s="5"/>
      <c r="I211" s="5"/>
      <c r="J211" s="5"/>
      <c r="K211" s="5"/>
      <c r="L211" s="5"/>
      <c r="M211" s="5"/>
      <c r="O211" s="1182"/>
    </row>
    <row r="212" spans="1:15" ht="16.2" thickBot="1">
      <c r="A212" s="685"/>
      <c r="B212" s="28"/>
      <c r="C212" s="334" t="str">
        <f>DEO!C212</f>
        <v>RETURN (R)</v>
      </c>
      <c r="D212" s="5"/>
      <c r="E212" s="5"/>
      <c r="F212" s="5"/>
      <c r="G212" s="5"/>
      <c r="H212" s="5"/>
      <c r="I212" s="5"/>
      <c r="J212" s="42" t="s">
        <v>66</v>
      </c>
      <c r="K212" s="5"/>
      <c r="L212" s="5"/>
      <c r="M212" s="5"/>
      <c r="O212" s="1182"/>
    </row>
    <row r="213" spans="1:15">
      <c r="A213" s="685">
        <v>21</v>
      </c>
      <c r="B213" s="28"/>
      <c r="C213" s="541"/>
      <c r="D213" s="566" t="str">
        <f>DEO!D213</f>
        <v>Long Term Interest (117, sum of 62.c through 67.c)</v>
      </c>
      <c r="E213" s="5"/>
      <c r="F213" s="5"/>
      <c r="G213" s="5"/>
      <c r="H213" s="5"/>
      <c r="I213" s="5"/>
      <c r="J213" s="437">
        <f>INPUT!D128</f>
        <v>19490389</v>
      </c>
      <c r="K213" s="5"/>
      <c r="L213" s="5"/>
      <c r="M213" s="5"/>
      <c r="O213" s="1182"/>
    </row>
    <row r="214" spans="1:15">
      <c r="A214" s="685"/>
      <c r="C214" s="531"/>
      <c r="D214" s="5"/>
      <c r="E214" s="5"/>
      <c r="F214" s="5"/>
      <c r="G214" s="5"/>
      <c r="H214" s="5"/>
      <c r="I214" s="5"/>
      <c r="J214" s="446"/>
      <c r="K214" s="5"/>
      <c r="L214" s="5"/>
      <c r="M214" s="5"/>
      <c r="O214" s="1182"/>
    </row>
    <row r="215" spans="1:15">
      <c r="A215" s="685">
        <v>22</v>
      </c>
      <c r="B215" s="28"/>
      <c r="C215" s="529"/>
      <c r="D215" s="566" t="str">
        <f>DEO!D215</f>
        <v>Preferred Dividends (118.29.c) (positive number)</v>
      </c>
      <c r="E215" s="5"/>
      <c r="F215" s="5"/>
      <c r="G215" s="5"/>
      <c r="H215" s="5"/>
      <c r="I215" s="34"/>
      <c r="J215" s="436">
        <f>INPUT!D130</f>
        <v>0</v>
      </c>
      <c r="K215" s="5"/>
      <c r="L215" s="5"/>
      <c r="M215" s="5"/>
      <c r="O215" s="1182"/>
    </row>
    <row r="216" spans="1:15">
      <c r="A216" s="685"/>
      <c r="B216" s="28"/>
      <c r="C216" s="529"/>
      <c r="D216" s="5"/>
      <c r="E216" s="5"/>
      <c r="F216" s="5"/>
      <c r="G216" s="5"/>
      <c r="H216" s="5"/>
      <c r="I216" s="5"/>
      <c r="J216" s="446"/>
      <c r="K216" s="5"/>
      <c r="L216" s="5"/>
      <c r="M216" s="5"/>
      <c r="O216" s="1182"/>
    </row>
    <row r="217" spans="1:15">
      <c r="A217" s="685"/>
      <c r="B217" s="28"/>
      <c r="C217" s="529" t="str">
        <f>DEO!C217</f>
        <v xml:space="preserve">                                          Development of Common Stock:</v>
      </c>
      <c r="D217" s="5"/>
      <c r="E217" s="5"/>
      <c r="F217" s="5"/>
      <c r="G217" s="5"/>
      <c r="H217" s="5"/>
      <c r="I217" s="5"/>
      <c r="J217" s="446"/>
      <c r="K217" s="5"/>
      <c r="L217" s="5"/>
      <c r="M217" s="5"/>
      <c r="O217" s="1182"/>
    </row>
    <row r="218" spans="1:15">
      <c r="A218" s="685">
        <v>23</v>
      </c>
      <c r="B218" s="28"/>
      <c r="C218" s="529"/>
      <c r="D218" s="566" t="str">
        <f>DEO!D218</f>
        <v>Proprietary Capital (112.16.c)</v>
      </c>
      <c r="E218" s="28"/>
      <c r="F218" s="5"/>
      <c r="G218" s="5"/>
      <c r="H218" s="5"/>
      <c r="I218" s="5"/>
      <c r="J218" s="448">
        <f>INPUT!D133</f>
        <v>596223648</v>
      </c>
      <c r="K218" s="5"/>
      <c r="L218" s="5"/>
      <c r="M218" s="5"/>
      <c r="O218" s="1182"/>
    </row>
    <row r="219" spans="1:15">
      <c r="A219" s="685">
        <v>24</v>
      </c>
      <c r="B219" s="28"/>
      <c r="C219" s="529"/>
      <c r="D219" s="566" t="str">
        <f>DEO!D219</f>
        <v xml:space="preserve">Less Preferred Stock (line 28) </v>
      </c>
      <c r="E219" s="5"/>
      <c r="F219" s="5"/>
      <c r="G219" s="5"/>
      <c r="H219" s="5"/>
      <c r="I219" s="5"/>
      <c r="J219" s="442">
        <f>INPUT!D134</f>
        <v>0</v>
      </c>
      <c r="K219" s="5"/>
      <c r="L219" s="5"/>
      <c r="M219" s="5"/>
      <c r="O219" s="1182"/>
    </row>
    <row r="220" spans="1:15" ht="15.6" thickBot="1">
      <c r="A220" s="685">
        <v>25</v>
      </c>
      <c r="B220" s="28"/>
      <c r="C220" s="529"/>
      <c r="D220" s="566" t="str">
        <f>DEO!D220</f>
        <v>Less Account 216.1 (112.12.c)  (enter negative)</v>
      </c>
      <c r="E220" s="5"/>
      <c r="F220" s="5"/>
      <c r="G220" s="5"/>
      <c r="H220" s="5"/>
      <c r="I220" s="5"/>
      <c r="J220" s="447">
        <f>INPUT!D135</f>
        <v>0</v>
      </c>
      <c r="K220" s="5"/>
      <c r="L220" s="5"/>
      <c r="M220" s="5"/>
      <c r="O220" s="1182"/>
    </row>
    <row r="221" spans="1:15">
      <c r="A221" s="685">
        <v>26</v>
      </c>
      <c r="B221" s="28"/>
      <c r="C221" s="541"/>
      <c r="D221" s="566" t="str">
        <f>DEO!D221</f>
        <v>Common Stock (sum lines 23-25)</v>
      </c>
      <c r="E221" s="28"/>
      <c r="F221" s="28"/>
      <c r="G221" s="28"/>
      <c r="H221" s="28"/>
      <c r="I221" s="28"/>
      <c r="J221" s="204">
        <f>J218+J219+J220</f>
        <v>596223648</v>
      </c>
      <c r="K221" s="5"/>
      <c r="L221" s="5"/>
      <c r="M221" s="5"/>
      <c r="O221" s="1182"/>
    </row>
    <row r="222" spans="1:15">
      <c r="A222" s="685"/>
      <c r="C222" s="531"/>
      <c r="D222" s="5"/>
      <c r="E222" s="5"/>
      <c r="F222" s="5"/>
      <c r="G222" s="5"/>
      <c r="H222" s="6"/>
      <c r="I222" s="5"/>
      <c r="J222" s="5"/>
      <c r="K222" s="5"/>
      <c r="L222" s="5"/>
      <c r="M222" s="5"/>
      <c r="O222" s="1182"/>
    </row>
    <row r="223" spans="1:15" ht="15.6" thickBot="1">
      <c r="A223" s="685"/>
      <c r="C223" s="531"/>
      <c r="D223" s="566" t="str">
        <f>DEO!D223</f>
        <v>(Note P)</v>
      </c>
      <c r="E223" s="37" t="s">
        <v>66</v>
      </c>
      <c r="F223" s="37" t="s">
        <v>84</v>
      </c>
      <c r="G223" s="5"/>
      <c r="H223" s="37" t="s">
        <v>83</v>
      </c>
      <c r="I223" s="5"/>
      <c r="J223" s="37" t="s">
        <v>85</v>
      </c>
      <c r="K223" s="5"/>
      <c r="L223" s="5"/>
      <c r="M223" s="5"/>
      <c r="O223" s="1182"/>
    </row>
    <row r="224" spans="1:15">
      <c r="A224" s="685">
        <v>27</v>
      </c>
      <c r="C224" s="570" t="str">
        <f>DEO!C224</f>
        <v xml:space="preserve">  Long Term Debt (112, sum of 18.c through 21.c)</v>
      </c>
      <c r="E224" s="448">
        <f>INPUT!D143</f>
        <v>551720000</v>
      </c>
      <c r="F224" s="51">
        <f>IF($E$227&gt;0,E224/$E$227,0)</f>
        <v>0.48061592654067287</v>
      </c>
      <c r="G224" s="21"/>
      <c r="H224" s="21">
        <f>IF(E224&gt;0,J213/E224,0)</f>
        <v>3.5326595011962593E-2</v>
      </c>
      <c r="J224" s="21">
        <f>ROUND(H224*F224,4)</f>
        <v>1.7000000000000001E-2</v>
      </c>
      <c r="K224" s="22" t="s">
        <v>86</v>
      </c>
      <c r="M224" s="5"/>
      <c r="O224" s="1182"/>
    </row>
    <row r="225" spans="1:15">
      <c r="A225" s="685">
        <v>28</v>
      </c>
      <c r="C225" s="570" t="str">
        <f>DEO!C225</f>
        <v xml:space="preserve">  Preferred Stock  (112.3.c)</v>
      </c>
      <c r="E225" s="448">
        <f>INPUT!D144</f>
        <v>0</v>
      </c>
      <c r="F225" s="51">
        <f>IF($E$227&gt;0,E225/$E$227,0)</f>
        <v>0</v>
      </c>
      <c r="G225" s="21"/>
      <c r="H225" s="21">
        <f>IF(E225&gt;0,J215/E225,0)</f>
        <v>0</v>
      </c>
      <c r="J225" s="21">
        <f>ROUND(H225*F225,4)</f>
        <v>0</v>
      </c>
      <c r="K225" s="5"/>
      <c r="M225" s="5"/>
      <c r="O225" s="1182"/>
    </row>
    <row r="226" spans="1:15" ht="16.2" thickBot="1">
      <c r="A226" s="685">
        <v>29</v>
      </c>
      <c r="C226" s="529" t="str">
        <f>DEO!C226</f>
        <v xml:space="preserve">  Common Stock  (line 26)</v>
      </c>
      <c r="E226" s="205">
        <f>J221</f>
        <v>596223648</v>
      </c>
      <c r="F226" s="51">
        <f>IF($E$227&gt;0,E226/$E$227,0)</f>
        <v>0.51938407345932713</v>
      </c>
      <c r="G226" s="21"/>
      <c r="H226" s="190">
        <f>ROE</f>
        <v>0.1138</v>
      </c>
      <c r="J226" s="57">
        <f>ROUND(H226*F226,4)</f>
        <v>5.91E-2</v>
      </c>
      <c r="K226" s="5"/>
      <c r="M226" s="5"/>
      <c r="O226" s="1182"/>
    </row>
    <row r="227" spans="1:15">
      <c r="A227" s="685">
        <v>30</v>
      </c>
      <c r="C227" s="531" t="str">
        <f>DEO!C227</f>
        <v>Total  (sum lines 27-29)</v>
      </c>
      <c r="E227" s="204">
        <f>E226+E225+E224</f>
        <v>1147943648</v>
      </c>
      <c r="F227" s="5" t="s">
        <v>7</v>
      </c>
      <c r="G227" s="5"/>
      <c r="H227" s="5"/>
      <c r="I227" s="5"/>
      <c r="J227" s="21">
        <f>SUM(J224:J226)</f>
        <v>7.6100000000000001E-2</v>
      </c>
      <c r="K227" s="22" t="s">
        <v>88</v>
      </c>
      <c r="M227" s="5"/>
      <c r="O227" s="1182"/>
    </row>
    <row r="228" spans="1:15">
      <c r="C228" s="596"/>
      <c r="F228" s="5"/>
      <c r="G228" s="5"/>
      <c r="H228" s="5"/>
      <c r="I228" s="5"/>
      <c r="M228" s="5"/>
      <c r="O228" s="1182"/>
    </row>
    <row r="229" spans="1:15">
      <c r="C229" s="596"/>
      <c r="L229" s="5"/>
      <c r="M229" s="5"/>
      <c r="O229" s="1182"/>
    </row>
    <row r="230" spans="1:15" ht="15.6">
      <c r="A230" s="685"/>
      <c r="C230" s="334" t="str">
        <f>DEO!C230</f>
        <v>REVENUE CREDITS</v>
      </c>
      <c r="D230" s="28"/>
      <c r="E230" s="28"/>
      <c r="F230" s="28"/>
      <c r="G230" s="28"/>
      <c r="H230" s="28"/>
      <c r="I230" s="28"/>
      <c r="J230" s="28"/>
      <c r="K230" s="28"/>
      <c r="L230" s="28"/>
      <c r="M230" s="5"/>
      <c r="O230" s="1182"/>
    </row>
    <row r="231" spans="1:15" ht="15.6" thickBot="1">
      <c r="A231" s="685"/>
      <c r="C231" s="529"/>
      <c r="D231" s="26"/>
      <c r="E231" s="26"/>
      <c r="F231" s="26"/>
      <c r="G231" s="26"/>
      <c r="H231" s="26"/>
      <c r="I231" s="26"/>
      <c r="J231" s="37" t="s">
        <v>129</v>
      </c>
      <c r="K231" s="54"/>
      <c r="O231" s="1182"/>
    </row>
    <row r="232" spans="1:15">
      <c r="A232" s="685"/>
      <c r="C232" s="530" t="str">
        <f>DEO!C232</f>
        <v>ACCOUNT 447 (SALES FOR RESALE)  (Note Q)</v>
      </c>
      <c r="D232" s="28"/>
      <c r="E232" s="28" t="str">
        <f>DEO!E232</f>
        <v>(310-311)</v>
      </c>
      <c r="F232" s="28"/>
      <c r="G232" s="28"/>
      <c r="H232" s="32" t="s">
        <v>7</v>
      </c>
      <c r="I232" s="25"/>
      <c r="J232" s="213"/>
      <c r="K232" s="213"/>
      <c r="O232" s="1182"/>
    </row>
    <row r="233" spans="1:15">
      <c r="A233" s="685">
        <v>31</v>
      </c>
      <c r="C233" s="596" t="str">
        <f>DEO!C233</f>
        <v xml:space="preserve">  a. Bundled Non-RQ Sales for Resale (311.x.h)</v>
      </c>
      <c r="D233" s="28"/>
      <c r="E233" s="28"/>
      <c r="G233" s="28"/>
      <c r="I233" s="25"/>
      <c r="J233" s="352">
        <v>0</v>
      </c>
      <c r="K233" s="214"/>
      <c r="O233" s="1182"/>
    </row>
    <row r="234" spans="1:15" ht="15.6" thickBot="1">
      <c r="A234" s="685">
        <v>32</v>
      </c>
      <c r="C234" s="52" t="str">
        <f>DEO!C234</f>
        <v xml:space="preserve">  b. Bundled Sales for Resale included in Divisor on page 1</v>
      </c>
      <c r="D234" s="49"/>
      <c r="E234" s="52"/>
      <c r="F234" s="48"/>
      <c r="G234" s="48"/>
      <c r="H234" s="48"/>
      <c r="I234" s="28"/>
      <c r="J234" s="353">
        <v>0</v>
      </c>
      <c r="K234" s="215"/>
      <c r="O234" s="1182"/>
    </row>
    <row r="235" spans="1:15">
      <c r="A235" s="685">
        <v>33</v>
      </c>
      <c r="C235" s="596" t="str">
        <f>DEO!C235</f>
        <v xml:space="preserve">  Total of (a)-(b)</v>
      </c>
      <c r="D235" s="1"/>
      <c r="F235" s="28"/>
      <c r="G235" s="28"/>
      <c r="H235" s="28"/>
      <c r="I235" s="28"/>
      <c r="J235" s="224">
        <f>J233-J234</f>
        <v>0</v>
      </c>
      <c r="K235" s="214"/>
      <c r="O235" s="1182"/>
    </row>
    <row r="236" spans="1:15">
      <c r="A236" s="685"/>
      <c r="C236" s="596" t="s">
        <v>7</v>
      </c>
      <c r="D236" s="1"/>
      <c r="F236" s="28"/>
      <c r="G236" s="28"/>
      <c r="H236" s="43"/>
      <c r="I236" s="28"/>
      <c r="J236" s="38" t="s">
        <v>7</v>
      </c>
      <c r="K236" s="213"/>
      <c r="L236" s="39"/>
      <c r="M236" s="5"/>
      <c r="O236" s="1182"/>
    </row>
    <row r="237" spans="1:15">
      <c r="A237" s="685">
        <v>34</v>
      </c>
      <c r="C237" s="530" t="str">
        <f>DEO!C237</f>
        <v>ACCOUNT 454 (RENT FROM ELECTRIC PROPERTY)    (Note R)</v>
      </c>
      <c r="D237" s="1"/>
      <c r="F237" s="28"/>
      <c r="G237" s="28"/>
      <c r="H237" s="53"/>
      <c r="I237" s="28"/>
      <c r="J237" s="103">
        <f>ROUND('P8 Rev Cred Support'!G22,0)</f>
        <v>14039</v>
      </c>
      <c r="K237" s="213"/>
      <c r="L237" s="39"/>
      <c r="M237" s="5"/>
      <c r="O237" s="1182"/>
    </row>
    <row r="238" spans="1:15">
      <c r="A238" s="685"/>
      <c r="C238" s="596"/>
      <c r="D238" s="28"/>
      <c r="E238" s="28"/>
      <c r="F238" s="28"/>
      <c r="G238" s="28"/>
      <c r="H238" s="28"/>
      <c r="I238" s="28"/>
      <c r="J238" s="74"/>
      <c r="K238" s="213"/>
      <c r="L238" s="39"/>
      <c r="M238" s="5"/>
      <c r="O238" s="1182"/>
    </row>
    <row r="239" spans="1:15">
      <c r="A239" s="686">
        <v>35</v>
      </c>
      <c r="B239" s="550"/>
      <c r="C239" s="367" t="str">
        <f>DEO!C239</f>
        <v>ACCOUNT 456.1 (OTHER ELECTRIC REVENUES)        (Note U)</v>
      </c>
      <c r="D239" s="547"/>
      <c r="E239" s="547" t="str">
        <f>DEO!E239</f>
        <v>(330.x.n)</v>
      </c>
      <c r="F239" s="28"/>
      <c r="G239" s="28"/>
      <c r="H239" s="28"/>
      <c r="I239" s="28"/>
      <c r="J239" s="103">
        <f>'P8 Rev Cred Support'!G42</f>
        <v>29155</v>
      </c>
      <c r="L239" s="40"/>
      <c r="M239" s="5"/>
      <c r="O239" s="1182"/>
    </row>
    <row r="240" spans="1:15">
      <c r="A240" s="686">
        <v>36</v>
      </c>
      <c r="B240" s="550"/>
      <c r="C240" s="367" t="str">
        <f>DEO!C240</f>
        <v>ACCOUNT 456.1 (OTHER ELECTRIC REVENUES)        (Note W)</v>
      </c>
      <c r="D240" s="547"/>
      <c r="E240" s="547" t="str">
        <f>DEO!E240</f>
        <v>(330.x.n)</v>
      </c>
      <c r="F240" s="541"/>
      <c r="G240" s="541"/>
      <c r="H240" s="541"/>
      <c r="I240" s="541"/>
      <c r="J240" s="103">
        <f>'P8 Rev Cred Support'!G35</f>
        <v>0</v>
      </c>
      <c r="K240" s="29"/>
      <c r="L240" s="85"/>
      <c r="M240" s="29"/>
      <c r="O240" s="1182"/>
    </row>
    <row r="241" spans="1:13" s="596" customFormat="1">
      <c r="A241" s="685"/>
      <c r="C241" s="529"/>
      <c r="D241" s="529"/>
      <c r="E241" s="27"/>
      <c r="F241" s="529"/>
      <c r="G241" s="529"/>
      <c r="H241" s="529"/>
      <c r="I241" s="541"/>
      <c r="K241" s="542"/>
      <c r="L241" s="85"/>
      <c r="M241" s="542"/>
    </row>
    <row r="242" spans="1:13" ht="17.399999999999999">
      <c r="A242" s="688"/>
      <c r="C242" s="26"/>
      <c r="D242" s="26"/>
      <c r="E242" s="27"/>
      <c r="F242" s="26"/>
      <c r="G242" s="26"/>
      <c r="H242" s="26"/>
      <c r="I242" s="28"/>
      <c r="J242" s="73" t="s">
        <v>306</v>
      </c>
      <c r="K242" s="84"/>
      <c r="M242" s="84"/>
    </row>
    <row r="243" spans="1:13">
      <c r="C243" s="26"/>
      <c r="D243" s="26"/>
      <c r="E243" s="27"/>
      <c r="F243" s="26"/>
      <c r="G243" s="26"/>
      <c r="H243" s="26"/>
      <c r="I243" s="28"/>
      <c r="J243" s="73" t="s">
        <v>420</v>
      </c>
      <c r="M243" s="73"/>
    </row>
    <row r="244" spans="1:13">
      <c r="C244" s="26"/>
      <c r="D244" s="26"/>
      <c r="E244" s="27"/>
      <c r="F244" s="26"/>
      <c r="G244" s="26"/>
      <c r="H244" s="26"/>
      <c r="I244" s="28"/>
      <c r="J244" s="73"/>
      <c r="M244" s="73"/>
    </row>
    <row r="245" spans="1:13">
      <c r="C245" s="26"/>
      <c r="D245" s="26"/>
      <c r="E245" s="27"/>
      <c r="F245" s="26"/>
      <c r="G245" s="26"/>
      <c r="H245" s="26"/>
      <c r="I245" s="28"/>
      <c r="M245" s="73"/>
    </row>
    <row r="246" spans="1:13">
      <c r="C246" s="26"/>
      <c r="D246" s="26"/>
      <c r="E246" s="27"/>
      <c r="F246" s="26"/>
      <c r="G246" s="26"/>
      <c r="H246" s="26"/>
      <c r="I246" s="28"/>
      <c r="K246" s="1"/>
      <c r="M246" s="73"/>
    </row>
    <row r="247" spans="1:13">
      <c r="C247" s="26" t="s">
        <v>6</v>
      </c>
      <c r="D247" s="26"/>
      <c r="E247" s="27"/>
      <c r="F247" s="26"/>
      <c r="G247" s="26"/>
      <c r="H247" s="26"/>
      <c r="I247" s="28"/>
      <c r="J247" s="73"/>
      <c r="K247" s="1"/>
      <c r="M247" s="73"/>
    </row>
    <row r="248" spans="1:13">
      <c r="C248" s="26"/>
      <c r="D248" s="26"/>
      <c r="E248" s="27"/>
      <c r="F248" s="26"/>
      <c r="G248" s="26"/>
      <c r="H248" s="26"/>
      <c r="I248" s="28"/>
      <c r="J248" s="85" t="str">
        <f>$J$7</f>
        <v>For the 12 months ended: 12/31/2018</v>
      </c>
      <c r="K248" s="1"/>
      <c r="M248" s="73"/>
    </row>
    <row r="249" spans="1:13">
      <c r="A249" s="702" t="str">
        <f>$A$8</f>
        <v>Rate Formula Template</v>
      </c>
      <c r="B249" s="246"/>
      <c r="C249" s="246"/>
      <c r="D249" s="244"/>
      <c r="E249" s="246"/>
      <c r="F249" s="244"/>
      <c r="G249" s="244"/>
      <c r="H249" s="244"/>
      <c r="I249" s="244"/>
      <c r="J249" s="246"/>
      <c r="K249" s="56"/>
      <c r="L249" s="246"/>
      <c r="M249" s="1"/>
    </row>
    <row r="250" spans="1:13">
      <c r="A250" s="697" t="s">
        <v>277</v>
      </c>
      <c r="B250" s="246"/>
      <c r="C250" s="244"/>
      <c r="D250" s="247"/>
      <c r="E250" s="246"/>
      <c r="F250" s="247"/>
      <c r="G250" s="247"/>
      <c r="H250" s="247"/>
      <c r="I250" s="244"/>
      <c r="J250" s="244"/>
      <c r="K250" s="56"/>
      <c r="L250" s="241"/>
      <c r="M250" s="1"/>
    </row>
    <row r="251" spans="1:13">
      <c r="A251" s="690"/>
      <c r="B251" s="246"/>
      <c r="C251" s="241"/>
      <c r="D251" s="241"/>
      <c r="E251" s="246"/>
      <c r="F251" s="241"/>
      <c r="G251" s="241"/>
      <c r="H251" s="241"/>
      <c r="I251" s="241"/>
      <c r="J251" s="241"/>
      <c r="K251" s="56"/>
      <c r="L251" s="241"/>
      <c r="M251" s="28"/>
    </row>
    <row r="252" spans="1:13" ht="15.6">
      <c r="A252" s="851" t="str">
        <f>$A$11</f>
        <v>DUKE ENERGY KENTUCKY (DEK)</v>
      </c>
      <c r="B252" s="246"/>
      <c r="C252" s="241"/>
      <c r="D252" s="241"/>
      <c r="E252" s="246"/>
      <c r="F252" s="241"/>
      <c r="G252" s="241"/>
      <c r="H252" s="241"/>
      <c r="I252" s="241"/>
      <c r="J252" s="241"/>
      <c r="K252" s="56"/>
      <c r="L252" s="241"/>
      <c r="M252" s="28"/>
    </row>
    <row r="253" spans="1:13" ht="15.6">
      <c r="A253" s="699"/>
      <c r="B253" s="28"/>
      <c r="C253" s="36"/>
      <c r="D253" s="29"/>
      <c r="E253" s="5"/>
      <c r="F253" s="5"/>
      <c r="G253" s="5"/>
      <c r="H253" s="5"/>
      <c r="I253" s="28"/>
      <c r="J253" s="217"/>
      <c r="K253" s="56"/>
      <c r="L253" s="216"/>
      <c r="M253" s="28"/>
    </row>
    <row r="254" spans="1:13" ht="20.399999999999999">
      <c r="A254" s="685"/>
      <c r="B254" s="28"/>
      <c r="C254" s="26" t="s">
        <v>93</v>
      </c>
      <c r="D254" s="29"/>
      <c r="E254" s="5"/>
      <c r="F254" s="5"/>
      <c r="G254" s="5"/>
      <c r="H254" s="5"/>
      <c r="I254" s="28"/>
      <c r="J254" s="5"/>
      <c r="K254" s="56"/>
      <c r="L254" s="5"/>
      <c r="M254" s="218"/>
    </row>
    <row r="255" spans="1:13" ht="20.399999999999999">
      <c r="A255" s="685"/>
      <c r="B255" s="28"/>
      <c r="C255" s="26" t="s">
        <v>611</v>
      </c>
      <c r="D255" s="28"/>
      <c r="E255" s="5"/>
      <c r="F255" s="5"/>
      <c r="G255" s="5"/>
      <c r="H255" s="5"/>
      <c r="I255" s="28"/>
      <c r="J255" s="5"/>
      <c r="K255" s="56"/>
      <c r="L255" s="5"/>
      <c r="M255" s="218"/>
    </row>
    <row r="256" spans="1:13" ht="20.399999999999999">
      <c r="A256" s="694" t="s">
        <v>610</v>
      </c>
      <c r="B256" s="28"/>
      <c r="C256" s="26"/>
      <c r="D256" s="28"/>
      <c r="E256" s="5"/>
      <c r="F256" s="5"/>
      <c r="G256" s="5"/>
      <c r="H256" s="5"/>
      <c r="I256" s="28"/>
      <c r="J256" s="5"/>
      <c r="K256" s="56"/>
      <c r="L256" s="5"/>
      <c r="M256" s="218"/>
    </row>
    <row r="257" spans="1:14" ht="22.8">
      <c r="A257" s="685" t="s">
        <v>96</v>
      </c>
      <c r="B257" s="541"/>
      <c r="C257" s="753" t="s">
        <v>617</v>
      </c>
      <c r="D257" s="56"/>
      <c r="E257" s="34"/>
      <c r="F257" s="34"/>
      <c r="G257" s="34"/>
      <c r="H257" s="34"/>
      <c r="I257" s="56"/>
      <c r="J257" s="34"/>
      <c r="K257" s="56"/>
      <c r="L257" s="34"/>
      <c r="M257" s="219"/>
      <c r="N257" s="83"/>
    </row>
    <row r="258" spans="1:14" ht="20.399999999999999">
      <c r="A258" s="686" t="s">
        <v>97</v>
      </c>
      <c r="B258" s="547"/>
      <c r="C258" s="753" t="s">
        <v>697</v>
      </c>
      <c r="D258" s="56"/>
      <c r="E258" s="34"/>
      <c r="F258" s="34"/>
      <c r="G258" s="34"/>
      <c r="H258" s="34"/>
      <c r="I258" s="56"/>
      <c r="J258" s="34"/>
      <c r="K258" s="56"/>
      <c r="L258" s="34"/>
      <c r="M258" s="219"/>
    </row>
    <row r="259" spans="1:14" ht="20.399999999999999">
      <c r="A259" s="686" t="s">
        <v>98</v>
      </c>
      <c r="B259" s="547"/>
      <c r="C259" s="574" t="str">
        <f>DEO!C259</f>
        <v>Reserved</v>
      </c>
      <c r="D259" s="56"/>
      <c r="E259" s="56"/>
      <c r="F259" s="56"/>
      <c r="G259" s="56"/>
      <c r="H259" s="56"/>
      <c r="I259" s="56"/>
      <c r="J259" s="34"/>
      <c r="K259" s="56"/>
      <c r="L259" s="56"/>
      <c r="M259" s="219"/>
    </row>
    <row r="260" spans="1:14" s="540" customFormat="1" ht="20.399999999999999">
      <c r="A260" s="686" t="s">
        <v>99</v>
      </c>
      <c r="B260" s="547"/>
      <c r="C260" s="574" t="str">
        <f>DEO!C260</f>
        <v>Reserved</v>
      </c>
      <c r="D260" s="544"/>
      <c r="E260" s="544"/>
      <c r="F260" s="544"/>
      <c r="G260" s="544"/>
      <c r="H260" s="544"/>
      <c r="I260" s="544"/>
      <c r="J260" s="543"/>
      <c r="K260" s="544"/>
      <c r="L260" s="544"/>
      <c r="M260" s="545"/>
    </row>
    <row r="261" spans="1:14" s="540" customFormat="1" ht="20.399999999999999">
      <c r="A261" s="686" t="s">
        <v>100</v>
      </c>
      <c r="B261" s="547"/>
      <c r="C261" s="574" t="str">
        <f>DEO!C261</f>
        <v xml:space="preserve">DEOK will provide, in connection with each Annual Update, a copy of the entire annual actuarial valuation report supporting the derivation of the annual Postretirement Benefits </v>
      </c>
      <c r="D261" s="544"/>
      <c r="E261" s="544"/>
      <c r="F261" s="544"/>
      <c r="G261" s="544"/>
      <c r="H261" s="544"/>
      <c r="I261" s="544"/>
      <c r="J261" s="543"/>
      <c r="K261" s="544"/>
      <c r="L261" s="544"/>
      <c r="M261" s="545"/>
    </row>
    <row r="262" spans="1:14" ht="20.399999999999999">
      <c r="A262" s="686"/>
      <c r="B262" s="547"/>
      <c r="C262" s="574" t="str">
        <f>DEO!C262</f>
        <v>Other than Pensions (“PBOP”) expense as charged to FERC account 926, and the amount of such expense included in Total Admin and General Expenses provided on</v>
      </c>
      <c r="D262" s="56"/>
      <c r="E262" s="56"/>
      <c r="F262" s="56"/>
      <c r="G262" s="56"/>
      <c r="H262" s="56"/>
      <c r="I262" s="56"/>
      <c r="J262" s="34"/>
      <c r="K262" s="56"/>
      <c r="L262" s="56"/>
      <c r="M262" s="219"/>
    </row>
    <row r="263" spans="1:14" s="596" customFormat="1" ht="20.399999999999999">
      <c r="A263" s="686"/>
      <c r="B263" s="547"/>
      <c r="C263" s="574" t="str">
        <f>DEO!C263</f>
        <v xml:space="preserve">Attachment H-22A, page 3 of 6, line 3 of the Formula Rate.  DEOK will provide, in connection with each Annual Update, a worksheet that shows the actual PBOP expense </v>
      </c>
      <c r="D263" s="547"/>
      <c r="E263" s="547"/>
      <c r="F263" s="547"/>
      <c r="G263" s="547"/>
      <c r="H263" s="547"/>
      <c r="I263" s="547"/>
      <c r="J263" s="543"/>
      <c r="K263" s="547"/>
      <c r="L263" s="547"/>
      <c r="M263" s="545"/>
    </row>
    <row r="264" spans="1:14" s="596" customFormat="1" ht="20.399999999999999">
      <c r="A264" s="686"/>
      <c r="B264" s="547"/>
      <c r="C264" s="574" t="str">
        <f>DEO!C264</f>
        <v xml:space="preserve">components and calculation derivation (including, for each account to which PBOP expense is recorded, the account number, expense amount, description, calculation </v>
      </c>
      <c r="D264" s="547"/>
      <c r="E264" s="547"/>
      <c r="F264" s="547"/>
      <c r="G264" s="547"/>
      <c r="H264" s="547"/>
      <c r="I264" s="547"/>
      <c r="J264" s="543"/>
      <c r="K264" s="547"/>
      <c r="L264" s="547"/>
      <c r="M264" s="545"/>
    </row>
    <row r="265" spans="1:14" s="596" customFormat="1" ht="20.399999999999999">
      <c r="A265" s="686"/>
      <c r="B265" s="547"/>
      <c r="C265" s="574" t="str">
        <f>DEO!C265</f>
        <v>derivation and source).</v>
      </c>
      <c r="D265" s="547"/>
      <c r="E265" s="547"/>
      <c r="F265" s="547"/>
      <c r="G265" s="547"/>
      <c r="H265" s="547"/>
      <c r="I265" s="547"/>
      <c r="J265" s="543"/>
      <c r="K265" s="547"/>
      <c r="L265" s="547"/>
      <c r="M265" s="545"/>
    </row>
    <row r="266" spans="1:14" ht="20.399999999999999">
      <c r="A266" s="685" t="s">
        <v>101</v>
      </c>
      <c r="B266" s="541"/>
      <c r="C266" s="574" t="str">
        <f>DEO!C266</f>
        <v>The balances in Accounts 190, 281, 282 and 283, as adjusted by any amounts in contra accounts identified as regulatory assets or liabilities related to FASB 106 or 109.</v>
      </c>
      <c r="D266" s="56"/>
      <c r="E266" s="56"/>
      <c r="F266" s="56"/>
      <c r="G266" s="56"/>
      <c r="H266" s="56"/>
      <c r="I266" s="56"/>
      <c r="J266" s="34"/>
      <c r="K266" s="56"/>
      <c r="L266" s="56"/>
      <c r="M266" s="219"/>
    </row>
    <row r="267" spans="1:14" ht="20.399999999999999">
      <c r="A267" s="685"/>
      <c r="B267" s="541"/>
      <c r="C267" s="574" t="str">
        <f>DEO!C267</f>
        <v>Balance of Account 255 is reduced by prior flow throughs and excluded if the utility chose to utilize amortization of tax credits against taxable income as discussed</v>
      </c>
      <c r="D267" s="56"/>
      <c r="E267" s="56"/>
      <c r="F267" s="56"/>
      <c r="G267" s="56"/>
      <c r="H267" s="56"/>
      <c r="I267" s="56"/>
      <c r="J267" s="34"/>
      <c r="K267" s="56"/>
      <c r="L267" s="56"/>
      <c r="M267" s="219"/>
    </row>
    <row r="268" spans="1:14" ht="20.399999999999999">
      <c r="A268" s="685"/>
      <c r="B268" s="541"/>
      <c r="C268" s="574" t="str">
        <f>DEO!C268</f>
        <v>in Note K.  Account 281 is not allocated.</v>
      </c>
      <c r="D268" s="56"/>
      <c r="E268" s="56"/>
      <c r="F268" s="56"/>
      <c r="G268" s="56"/>
      <c r="H268" s="56"/>
      <c r="I268" s="56"/>
      <c r="J268" s="56"/>
      <c r="K268" s="56"/>
      <c r="L268" s="56"/>
      <c r="M268" s="219"/>
    </row>
    <row r="269" spans="1:14" ht="20.399999999999999">
      <c r="A269" s="685" t="s">
        <v>102</v>
      </c>
      <c r="B269" s="541"/>
      <c r="C269" s="574" t="str">
        <f>DEO!C269</f>
        <v>Identified in Form 1 as being only transmission related.</v>
      </c>
      <c r="D269" s="56"/>
      <c r="E269" s="56"/>
      <c r="F269" s="56"/>
      <c r="G269" s="56"/>
      <c r="H269" s="56"/>
      <c r="I269" s="56"/>
      <c r="J269" s="56"/>
      <c r="K269" s="56"/>
      <c r="L269" s="56"/>
      <c r="M269" s="219"/>
    </row>
    <row r="270" spans="1:14" ht="20.399999999999999">
      <c r="A270" s="685" t="s">
        <v>104</v>
      </c>
      <c r="B270" s="541"/>
      <c r="C270" s="574" t="str">
        <f>DEO!C270</f>
        <v>Cash Working Capital assigned to transmission is one-eighth of O&amp;M allocated to transmission at page 3, line 8, column 5.</v>
      </c>
      <c r="D270" s="56"/>
      <c r="E270" s="56"/>
      <c r="F270" s="56"/>
      <c r="G270" s="56"/>
      <c r="H270" s="56"/>
      <c r="I270" s="56"/>
      <c r="J270" s="56"/>
      <c r="K270" s="56"/>
      <c r="L270" s="56"/>
      <c r="M270" s="219"/>
    </row>
    <row r="271" spans="1:14" ht="20.399999999999999">
      <c r="A271" s="685"/>
      <c r="B271" s="541"/>
      <c r="C271" s="574" t="str">
        <f>DEO!C271</f>
        <v>Prepayments are the electric related prepayments booked to Account No. 165 and reported on Page 111 line 57 in the Form 1.</v>
      </c>
      <c r="D271" s="56"/>
      <c r="E271" s="56"/>
      <c r="F271" s="56"/>
      <c r="G271" s="56"/>
      <c r="H271" s="56"/>
      <c r="I271" s="56"/>
      <c r="J271" s="56"/>
      <c r="K271" s="56"/>
      <c r="L271" s="56"/>
      <c r="M271" s="219"/>
    </row>
    <row r="272" spans="1:14" ht="20.399999999999999">
      <c r="A272" s="685" t="s">
        <v>106</v>
      </c>
      <c r="B272" s="541"/>
      <c r="C272" s="574" t="str">
        <f>DEO!C272</f>
        <v xml:space="preserve">Line 5 - EPRI Annual Membership Dues listed in Form 1 at 353.f, all Regulatory Commission Expenses itemized at 351.h, and non-safety related advertising included </v>
      </c>
      <c r="D272" s="56"/>
      <c r="E272" s="56"/>
      <c r="F272" s="56"/>
      <c r="G272" s="56"/>
      <c r="H272" s="56"/>
      <c r="I272" s="56"/>
      <c r="J272" s="56"/>
      <c r="K272" s="56"/>
      <c r="L272" s="56"/>
      <c r="M272" s="219"/>
    </row>
    <row r="273" spans="1:13" ht="20.399999999999999">
      <c r="A273" s="685"/>
      <c r="B273" s="541"/>
      <c r="C273" s="574" t="str">
        <f>DEO!C273</f>
        <v xml:space="preserve">in Account 930.1.  Line 5a - Regulatory Commission Expenses directly related to transmission service, ISO filings, or transmission siting itemized at 351.h. </v>
      </c>
      <c r="D273" s="56"/>
      <c r="E273" s="56"/>
      <c r="F273" s="56"/>
      <c r="G273" s="56"/>
      <c r="H273" s="56"/>
      <c r="I273" s="56"/>
      <c r="J273" s="56"/>
      <c r="K273" s="56"/>
      <c r="L273" s="56"/>
      <c r="M273" s="219"/>
    </row>
    <row r="274" spans="1:13" ht="20.399999999999999">
      <c r="A274" s="685" t="s">
        <v>107</v>
      </c>
      <c r="B274" s="541"/>
      <c r="C274" s="574" t="str">
        <f>DEO!C274</f>
        <v>Includes only FICA, unemployment, highway, property, gross receipts, and other assessments charged in the current year.  Taxes related to income are excluded.</v>
      </c>
      <c r="D274" s="56"/>
      <c r="E274" s="56"/>
      <c r="F274" s="56"/>
      <c r="G274" s="56"/>
      <c r="H274" s="56"/>
      <c r="I274" s="56"/>
      <c r="J274" s="56"/>
      <c r="K274" s="56"/>
      <c r="L274" s="56"/>
      <c r="M274" s="219"/>
    </row>
    <row r="275" spans="1:13" ht="20.399999999999999">
      <c r="A275" s="685"/>
      <c r="B275" s="541"/>
      <c r="C275" s="574" t="str">
        <f>DEO!C275</f>
        <v>Gross receipts taxes are not included in transmission revenue requirement in the Rate Formula Template, since they are recovered elsewhere.</v>
      </c>
      <c r="D275" s="56"/>
      <c r="E275" s="56"/>
      <c r="F275" s="56"/>
      <c r="G275" s="56"/>
      <c r="H275" s="56"/>
      <c r="I275" s="56"/>
      <c r="J275" s="56"/>
      <c r="K275" s="56"/>
      <c r="L275" s="56"/>
      <c r="M275" s="219"/>
    </row>
    <row r="276" spans="1:13" ht="20.399999999999999">
      <c r="A276" s="685" t="s">
        <v>108</v>
      </c>
      <c r="B276" s="541"/>
      <c r="C276" s="574" t="str">
        <f>DEO!C276</f>
        <v>The currently effective income tax rate, where FIT is the Federal income tax rate; SIT is the State income tax rate, and p =</v>
      </c>
      <c r="D276" s="56"/>
      <c r="E276" s="56"/>
      <c r="F276" s="56"/>
      <c r="G276" s="56"/>
      <c r="H276" s="56"/>
      <c r="I276" s="56"/>
      <c r="J276" s="56"/>
      <c r="K276" s="56"/>
      <c r="L276" s="56"/>
      <c r="M276" s="219"/>
    </row>
    <row r="277" spans="1:13" ht="20.399999999999999">
      <c r="A277" s="685"/>
      <c r="B277" s="541"/>
      <c r="C277" s="574" t="str">
        <f>DEO!C277</f>
        <v xml:space="preserve">"the percentage of federal income tax deductible for state income taxes".  If the utility is taxed in more than one state it must attach a work paper showing the name </v>
      </c>
      <c r="D277" s="56"/>
      <c r="E277" s="56"/>
      <c r="F277" s="56"/>
      <c r="G277" s="56"/>
      <c r="H277" s="56"/>
      <c r="I277" s="56"/>
      <c r="J277" s="56"/>
      <c r="K277" s="56"/>
      <c r="L277" s="56"/>
      <c r="M277" s="219"/>
    </row>
    <row r="278" spans="1:13" ht="20.399999999999999">
      <c r="A278" s="685"/>
      <c r="B278" s="541"/>
      <c r="C278" s="574" t="str">
        <f>DEO!C278</f>
        <v>of each state and how the blended or composite SIT was developed.  Furthermore, a utility that elected to utilize amortization of tax credits</v>
      </c>
      <c r="D278" s="56"/>
      <c r="E278" s="56"/>
      <c r="F278" s="56"/>
      <c r="G278" s="56"/>
      <c r="H278" s="56"/>
      <c r="I278" s="56"/>
      <c r="J278" s="56"/>
      <c r="K278" s="56"/>
      <c r="L278" s="56"/>
      <c r="M278" s="219"/>
    </row>
    <row r="279" spans="1:13" ht="20.399999999999999">
      <c r="A279" s="685"/>
      <c r="B279" s="541"/>
      <c r="C279" s="574" t="str">
        <f>DEO!C279</f>
        <v xml:space="preserve">against taxable income, rather than book tax credits to Account No. 255 and reduce rate base, must reduce its income tax expense by </v>
      </c>
      <c r="D279" s="56"/>
      <c r="E279" s="56"/>
      <c r="F279" s="56"/>
      <c r="G279" s="56"/>
      <c r="H279" s="56"/>
      <c r="I279" s="56"/>
      <c r="J279" s="56"/>
      <c r="K279" s="56"/>
      <c r="L279" s="56"/>
      <c r="M279" s="219"/>
    </row>
    <row r="280" spans="1:13" ht="20.399999999999999">
      <c r="A280" s="685"/>
      <c r="B280" s="541"/>
      <c r="C280" s="574" t="str">
        <f>DEO!C280</f>
        <v>the amount of the Amortized Investment Tax Credit (Form 1, 266.8.f) multiplied by (1/1-T) (page 3, line 26).</v>
      </c>
      <c r="D280" s="56"/>
      <c r="E280" s="56"/>
      <c r="F280" s="56"/>
      <c r="G280" s="56"/>
      <c r="H280" s="56"/>
      <c r="I280" s="56"/>
      <c r="J280" s="56"/>
      <c r="K280" s="56"/>
      <c r="L280" s="56"/>
      <c r="M280" s="219"/>
    </row>
    <row r="281" spans="1:13" ht="20.399999999999999">
      <c r="A281" s="685"/>
      <c r="B281" s="28"/>
      <c r="C281" s="546"/>
      <c r="D281" s="56"/>
      <c r="E281" s="56"/>
      <c r="F281" s="56"/>
      <c r="G281" s="56"/>
      <c r="H281" s="56"/>
      <c r="I281" s="56"/>
      <c r="J281" s="56"/>
      <c r="K281" s="56"/>
      <c r="L281" s="56"/>
      <c r="M281" s="219"/>
    </row>
    <row r="282" spans="1:13" ht="20.399999999999999">
      <c r="A282" s="685" t="s">
        <v>7</v>
      </c>
      <c r="B282" s="28"/>
      <c r="C282" s="56" t="s">
        <v>142</v>
      </c>
      <c r="D282" s="56" t="s">
        <v>132</v>
      </c>
      <c r="E282" s="451">
        <f>FIT</f>
        <v>0.21</v>
      </c>
      <c r="F282" s="56"/>
      <c r="H282" s="56"/>
      <c r="I282" s="56"/>
      <c r="J282" s="56"/>
      <c r="K282" s="56"/>
      <c r="L282" s="56"/>
      <c r="M282" s="219"/>
    </row>
    <row r="283" spans="1:13" ht="20.399999999999999">
      <c r="A283" s="685"/>
      <c r="B283" s="28"/>
      <c r="C283" s="56"/>
      <c r="D283" s="56" t="s">
        <v>133</v>
      </c>
      <c r="E283" s="355">
        <f>INPUT!D87</f>
        <v>0.05</v>
      </c>
      <c r="F283" s="56" t="s">
        <v>134</v>
      </c>
      <c r="H283" s="56"/>
      <c r="I283" s="56"/>
      <c r="J283" s="56"/>
      <c r="K283" s="56"/>
      <c r="L283" s="56"/>
      <c r="M283" s="219"/>
    </row>
    <row r="284" spans="1:13" ht="20.399999999999999">
      <c r="A284" s="685"/>
      <c r="B284" s="28"/>
      <c r="C284" s="56"/>
      <c r="D284" s="56" t="s">
        <v>135</v>
      </c>
      <c r="E284" s="354">
        <v>0</v>
      </c>
      <c r="F284" s="56" t="s">
        <v>136</v>
      </c>
      <c r="H284" s="56"/>
      <c r="I284" s="56"/>
      <c r="J284" s="56"/>
      <c r="K284" s="56"/>
      <c r="L284" s="56"/>
      <c r="M284" s="219"/>
    </row>
    <row r="285" spans="1:13" ht="20.399999999999999">
      <c r="A285" s="685" t="s">
        <v>109</v>
      </c>
      <c r="B285" s="28"/>
      <c r="C285" s="574" t="str">
        <f>DEO!C285</f>
        <v>Removes dollar amount of transmission expenses included in the OATT ancillary services rates, including Account Nos. 561.1, 561.2 and 561.3.</v>
      </c>
      <c r="D285" s="56"/>
      <c r="E285" s="56"/>
      <c r="F285" s="56"/>
      <c r="G285" s="56"/>
      <c r="H285" s="56"/>
      <c r="I285" s="56"/>
      <c r="J285" s="56"/>
      <c r="K285" s="56"/>
      <c r="L285" s="56"/>
      <c r="M285" s="219"/>
    </row>
    <row r="286" spans="1:13" ht="20.399999999999999">
      <c r="A286" s="685" t="s">
        <v>110</v>
      </c>
      <c r="B286" s="28"/>
      <c r="C286" s="574" t="str">
        <f>DEO!C286</f>
        <v>Removes transmission plant determined by Commission order to be state-jurisdictional according to the seven-factor test (until Form 1</v>
      </c>
      <c r="D286" s="56"/>
      <c r="E286" s="56"/>
      <c r="F286" s="56"/>
      <c r="G286" s="56"/>
      <c r="H286" s="56"/>
      <c r="I286" s="56"/>
      <c r="J286" s="56"/>
      <c r="K286" s="56"/>
      <c r="L286" s="56"/>
      <c r="M286" s="219"/>
    </row>
    <row r="287" spans="1:13" ht="20.399999999999999">
      <c r="A287" s="685"/>
      <c r="B287" s="28"/>
      <c r="C287" s="574" t="str">
        <f>DEO!C287</f>
        <v xml:space="preserve">balances are adjusted to reflect application of seven-factor test).  </v>
      </c>
      <c r="D287" s="56"/>
      <c r="E287" s="56"/>
      <c r="F287" s="56"/>
      <c r="G287" s="56"/>
      <c r="H287" s="56"/>
      <c r="I287" s="56"/>
      <c r="J287" s="56"/>
      <c r="K287" s="56"/>
      <c r="L287" s="56"/>
      <c r="M287" s="219"/>
    </row>
    <row r="288" spans="1:13" ht="20.399999999999999">
      <c r="A288" s="685" t="s">
        <v>112</v>
      </c>
      <c r="B288" s="28"/>
      <c r="C288" s="574" t="str">
        <f>DEO!C288</f>
        <v>Removes dollar amount of transmission plant included in the development of OATT ancillary services rates and generation</v>
      </c>
      <c r="D288" s="56"/>
      <c r="E288" s="56"/>
      <c r="F288" s="56"/>
      <c r="G288" s="56"/>
      <c r="H288" s="56"/>
      <c r="I288" s="56"/>
      <c r="J288" s="56"/>
      <c r="K288" s="56"/>
      <c r="L288" s="56"/>
      <c r="M288" s="219"/>
    </row>
    <row r="289" spans="1:13" ht="20.399999999999999">
      <c r="A289" s="685"/>
      <c r="B289" s="28"/>
      <c r="C289" s="574" t="str">
        <f>DEO!C289</f>
        <v>step-up facilities, which are deemed to be included in OATT ancillary services.  For these purposes, generation step-up</v>
      </c>
      <c r="D289" s="56"/>
      <c r="E289" s="56"/>
      <c r="F289" s="56"/>
      <c r="G289" s="56"/>
      <c r="H289" s="56"/>
      <c r="I289" s="56"/>
      <c r="J289" s="56"/>
      <c r="K289" s="56"/>
      <c r="L289" s="56"/>
      <c r="M289" s="219"/>
    </row>
    <row r="290" spans="1:13" ht="20.399999999999999">
      <c r="A290" s="685"/>
      <c r="B290" s="28"/>
      <c r="C290" s="574" t="str">
        <f>DEO!C290</f>
        <v>facilities are those facilities at a generator substation on which there is no through-flow when the generator is shut down.</v>
      </c>
      <c r="D290" s="56"/>
      <c r="E290" s="56"/>
      <c r="F290" s="56"/>
      <c r="G290" s="56"/>
      <c r="H290" s="56"/>
      <c r="I290" s="56"/>
      <c r="J290" s="56"/>
      <c r="K290" s="56"/>
      <c r="L290" s="56"/>
      <c r="M290" s="219"/>
    </row>
    <row r="291" spans="1:13" ht="20.399999999999999">
      <c r="A291" s="685" t="s">
        <v>113</v>
      </c>
      <c r="B291" s="28"/>
      <c r="C291" s="574" t="str">
        <f>DEO!C291</f>
        <v>Reserved</v>
      </c>
      <c r="D291" s="56"/>
      <c r="E291" s="56"/>
      <c r="F291" s="56"/>
      <c r="G291" s="56"/>
      <c r="H291" s="56"/>
      <c r="I291" s="56"/>
      <c r="J291" s="56"/>
      <c r="K291" s="56"/>
      <c r="L291" s="56"/>
      <c r="M291" s="219"/>
    </row>
    <row r="292" spans="1:13" ht="20.399999999999999">
      <c r="A292" s="685" t="s">
        <v>114</v>
      </c>
      <c r="B292" s="28"/>
      <c r="C292" s="574" t="str">
        <f>DEO!C292</f>
        <v>Debt cost rate = long-term interest (line 21) / long term debt (line 27).  Preferred cost rate = preferred dividends (line 22) / preferred outstanding (line 28).</v>
      </c>
      <c r="D292" s="56"/>
      <c r="E292" s="56"/>
      <c r="F292" s="56"/>
      <c r="G292" s="56"/>
      <c r="H292" s="56"/>
      <c r="I292" s="56"/>
      <c r="J292" s="56"/>
      <c r="K292" s="56"/>
      <c r="L292" s="56"/>
      <c r="M292" s="219"/>
    </row>
    <row r="293" spans="1:13" ht="20.399999999999999">
      <c r="A293" s="685"/>
      <c r="B293" s="28"/>
      <c r="C293" s="574" t="str">
        <f>DEO!C293</f>
        <v>ROE will be supported in the original filing and no change in ROE may be made absent a filing with FERC.  Capitalization adjusted to exclude impacts of purchase accounting.</v>
      </c>
      <c r="D293" s="56"/>
      <c r="E293" s="56"/>
      <c r="F293" s="56"/>
      <c r="G293" s="56"/>
      <c r="H293" s="56"/>
      <c r="I293" s="56"/>
      <c r="J293" s="56"/>
      <c r="K293" s="56"/>
      <c r="L293" s="56"/>
      <c r="M293" s="219"/>
    </row>
    <row r="294" spans="1:13" ht="20.399999999999999">
      <c r="A294" s="685" t="s">
        <v>115</v>
      </c>
      <c r="B294" s="28"/>
      <c r="C294" s="574" t="str">
        <f>DEO!C294</f>
        <v>Line 33 must equal zero since all short-term power sales must be unbundled and the transmission component reflected in Account</v>
      </c>
      <c r="D294" s="56"/>
      <c r="E294" s="56"/>
      <c r="F294" s="56"/>
      <c r="G294" s="56"/>
      <c r="H294" s="56"/>
      <c r="I294" s="56"/>
      <c r="J294" s="56"/>
      <c r="K294" s="56"/>
      <c r="L294" s="56"/>
      <c r="M294" s="219"/>
    </row>
    <row r="295" spans="1:13" ht="20.399999999999999">
      <c r="A295" s="685"/>
      <c r="B295" s="28"/>
      <c r="C295" s="574" t="str">
        <f>DEO!C295</f>
        <v>No. 456.1 and all other uses are to be included in the divisor.</v>
      </c>
      <c r="D295" s="56"/>
      <c r="E295" s="56"/>
      <c r="F295" s="56"/>
      <c r="G295" s="56"/>
      <c r="H295" s="56"/>
      <c r="I295" s="56"/>
      <c r="J295" s="56"/>
      <c r="K295" s="56"/>
      <c r="L295" s="56"/>
      <c r="M295" s="219"/>
    </row>
    <row r="296" spans="1:13" ht="20.25" customHeight="1">
      <c r="A296" s="685" t="s">
        <v>116</v>
      </c>
      <c r="B296" s="28"/>
      <c r="C296" s="574" t="str">
        <f>DEO!C296</f>
        <v>Includes income related only to transmission facilities, such as pole attachments, rentals and special use.</v>
      </c>
      <c r="D296" s="56"/>
      <c r="E296" s="56"/>
      <c r="F296" s="56"/>
      <c r="G296" s="56"/>
      <c r="H296" s="56"/>
      <c r="I296" s="56"/>
      <c r="J296" s="56"/>
      <c r="K296" s="56"/>
      <c r="L296" s="56"/>
      <c r="M296" s="56"/>
    </row>
    <row r="297" spans="1:13" ht="20.25" customHeight="1">
      <c r="A297" s="685" t="s">
        <v>153</v>
      </c>
      <c r="C297" s="574" t="str">
        <f>DEO!C297</f>
        <v>Reserved</v>
      </c>
      <c r="D297" s="62"/>
      <c r="E297" s="62"/>
      <c r="F297" s="62"/>
      <c r="G297" s="62"/>
      <c r="H297" s="62"/>
      <c r="I297" s="62"/>
      <c r="J297" s="62"/>
      <c r="K297" s="62"/>
      <c r="L297" s="62"/>
      <c r="M297" s="62"/>
    </row>
    <row r="298" spans="1:13" ht="20.25" customHeight="1">
      <c r="A298" s="700" t="s">
        <v>154</v>
      </c>
      <c r="C298" s="574" t="str">
        <f>DEO!C298</f>
        <v>The revenues credited on page 1 lines 2-5 shall include only the amounts received directly (in the case of grandfathered agreements)</v>
      </c>
      <c r="D298" s="221"/>
      <c r="E298" s="62"/>
      <c r="F298" s="62"/>
      <c r="G298" s="62"/>
      <c r="H298" s="62"/>
      <c r="I298" s="62"/>
      <c r="J298" s="62"/>
      <c r="K298" s="62"/>
      <c r="L298" s="62"/>
      <c r="M298" s="62"/>
    </row>
    <row r="299" spans="1:13" ht="20.25" customHeight="1">
      <c r="C299" s="574" t="str">
        <f>DEO!C299</f>
        <v>from the ISO (for service under this tariff) reflecting the Transmission Owner's integrated transmission facilities.  They do not include</v>
      </c>
      <c r="D299" s="62"/>
      <c r="E299" s="62"/>
      <c r="F299" s="62"/>
      <c r="G299" s="62"/>
      <c r="H299" s="62"/>
      <c r="I299" s="62"/>
      <c r="J299" s="62"/>
      <c r="K299" s="62"/>
      <c r="L299" s="62"/>
      <c r="M299" s="222"/>
    </row>
    <row r="300" spans="1:13" ht="20.25" customHeight="1">
      <c r="C300" s="574" t="str">
        <f>DEO!C300</f>
        <v>revenues associated with FERC annual charges, gross receipts taxes, ancillary services, or facilities not included in this template (e.g., direct</v>
      </c>
      <c r="D300" s="62"/>
      <c r="E300" s="221"/>
      <c r="F300" s="62"/>
      <c r="G300" s="62"/>
      <c r="H300" s="62"/>
      <c r="I300" s="62"/>
      <c r="J300" s="62"/>
      <c r="K300" s="62"/>
      <c r="L300" s="62"/>
      <c r="M300" s="222"/>
    </row>
    <row r="301" spans="1:13" ht="20.25" customHeight="1">
      <c r="C301" s="574" t="str">
        <f>DEO!C301</f>
        <v xml:space="preserve">assignment facilities and GSUs) which are not recovered under this Rate Formula Template. </v>
      </c>
      <c r="D301" s="62"/>
      <c r="E301" s="221"/>
      <c r="F301" s="62"/>
      <c r="G301" s="62"/>
      <c r="H301" s="62"/>
      <c r="I301" s="62"/>
      <c r="J301" s="62"/>
      <c r="K301" s="62"/>
      <c r="L301" s="62"/>
      <c r="M301" s="222"/>
    </row>
    <row r="302" spans="1:13" ht="17.399999999999999">
      <c r="A302" s="688"/>
      <c r="C302" s="26"/>
      <c r="D302" s="26"/>
      <c r="E302" s="27"/>
      <c r="F302" s="26"/>
      <c r="G302" s="26"/>
      <c r="H302" s="26"/>
      <c r="I302" s="28"/>
      <c r="J302" s="73" t="s">
        <v>306</v>
      </c>
      <c r="K302" s="84"/>
      <c r="M302" s="84"/>
    </row>
    <row r="303" spans="1:13">
      <c r="C303" s="26"/>
      <c r="D303" s="26"/>
      <c r="E303" s="27"/>
      <c r="F303" s="26"/>
      <c r="G303" s="26"/>
      <c r="H303" s="26"/>
      <c r="I303" s="28"/>
      <c r="J303" s="73" t="s">
        <v>416</v>
      </c>
      <c r="M303" s="73"/>
    </row>
    <row r="304" spans="1:13">
      <c r="C304" s="26"/>
      <c r="D304" s="26"/>
      <c r="E304" s="27"/>
      <c r="F304" s="26"/>
      <c r="G304" s="26"/>
      <c r="H304" s="26"/>
      <c r="I304" s="28"/>
      <c r="J304" s="73"/>
      <c r="M304" s="73"/>
    </row>
    <row r="305" spans="1:13">
      <c r="C305" s="26"/>
      <c r="D305" s="26"/>
      <c r="E305" s="27"/>
      <c r="F305" s="26"/>
      <c r="G305" s="26"/>
      <c r="H305" s="26"/>
      <c r="I305" s="28"/>
      <c r="M305" s="73"/>
    </row>
    <row r="306" spans="1:13">
      <c r="C306" s="26"/>
      <c r="D306" s="26"/>
      <c r="E306" s="27"/>
      <c r="F306" s="26"/>
      <c r="G306" s="26"/>
      <c r="H306" s="26"/>
      <c r="I306" s="28"/>
      <c r="K306" s="1"/>
      <c r="M306" s="73"/>
    </row>
    <row r="307" spans="1:13">
      <c r="C307" s="26" t="s">
        <v>6</v>
      </c>
      <c r="D307" s="26"/>
      <c r="E307" s="27"/>
      <c r="F307" s="26"/>
      <c r="G307" s="26"/>
      <c r="H307" s="26"/>
      <c r="I307" s="28"/>
      <c r="J307" s="73"/>
      <c r="K307" s="1"/>
      <c r="M307" s="73"/>
    </row>
    <row r="308" spans="1:13">
      <c r="C308" s="26"/>
      <c r="D308" s="26"/>
      <c r="E308" s="27"/>
      <c r="F308" s="26"/>
      <c r="G308" s="26"/>
      <c r="H308" s="26"/>
      <c r="I308" s="28"/>
      <c r="J308" s="85" t="str">
        <f>$J$7</f>
        <v>For the 12 months ended: 12/31/2018</v>
      </c>
      <c r="K308" s="1"/>
      <c r="M308" s="73"/>
    </row>
    <row r="309" spans="1:13">
      <c r="A309" s="702" t="str">
        <f>$A$8</f>
        <v>Rate Formula Template</v>
      </c>
      <c r="B309" s="246"/>
      <c r="C309" s="246"/>
      <c r="D309" s="244"/>
      <c r="E309" s="246"/>
      <c r="F309" s="244"/>
      <c r="G309" s="244"/>
      <c r="H309" s="244"/>
      <c r="I309" s="244"/>
      <c r="J309" s="246"/>
      <c r="K309" s="56"/>
      <c r="L309" s="246"/>
      <c r="M309" s="1"/>
    </row>
    <row r="310" spans="1:13">
      <c r="A310" s="697" t="s">
        <v>277</v>
      </c>
      <c r="B310" s="246"/>
      <c r="C310" s="244"/>
      <c r="D310" s="247"/>
      <c r="E310" s="246"/>
      <c r="F310" s="247"/>
      <c r="G310" s="247"/>
      <c r="H310" s="247"/>
      <c r="I310" s="244"/>
      <c r="J310" s="244"/>
      <c r="K310" s="56"/>
      <c r="L310" s="241"/>
      <c r="M310" s="1"/>
    </row>
    <row r="311" spans="1:13">
      <c r="A311" s="690"/>
      <c r="B311" s="246"/>
      <c r="C311" s="241"/>
      <c r="D311" s="241"/>
      <c r="E311" s="246"/>
      <c r="F311" s="241"/>
      <c r="G311" s="241"/>
      <c r="H311" s="241"/>
      <c r="I311" s="241"/>
      <c r="J311" s="241"/>
      <c r="K311" s="56"/>
      <c r="L311" s="241"/>
      <c r="M311" s="28"/>
    </row>
    <row r="312" spans="1:13" ht="15.6">
      <c r="A312" s="851" t="str">
        <f>$A$11</f>
        <v>DUKE ENERGY KENTUCKY (DEK)</v>
      </c>
      <c r="B312" s="246"/>
      <c r="C312" s="241"/>
      <c r="D312" s="241"/>
      <c r="E312" s="246"/>
      <c r="F312" s="241"/>
      <c r="G312" s="241"/>
      <c r="H312" s="241"/>
      <c r="I312" s="241"/>
      <c r="J312" s="241"/>
      <c r="K312" s="56"/>
      <c r="L312" s="241"/>
      <c r="M312" s="28"/>
    </row>
    <row r="313" spans="1:13" ht="15.6">
      <c r="A313" s="699"/>
      <c r="B313" s="28"/>
      <c r="C313" s="36"/>
      <c r="D313" s="29"/>
      <c r="E313" s="5"/>
      <c r="F313" s="5"/>
      <c r="G313" s="5"/>
      <c r="H313" s="5"/>
      <c r="I313" s="28"/>
      <c r="J313" s="217"/>
      <c r="K313" s="56"/>
      <c r="L313" s="216"/>
      <c r="M313" s="28"/>
    </row>
    <row r="314" spans="1:13" ht="20.399999999999999">
      <c r="A314" s="685"/>
      <c r="B314" s="28"/>
      <c r="C314" s="26" t="s">
        <v>93</v>
      </c>
      <c r="D314" s="29"/>
      <c r="E314" s="5"/>
      <c r="F314" s="5"/>
      <c r="G314" s="5"/>
      <c r="H314" s="5"/>
      <c r="I314" s="28"/>
      <c r="J314" s="5"/>
      <c r="K314" s="56"/>
      <c r="L314" s="5"/>
      <c r="M314" s="218"/>
    </row>
    <row r="315" spans="1:13" ht="20.399999999999999">
      <c r="A315" s="685"/>
      <c r="B315" s="28"/>
      <c r="C315" s="26" t="s">
        <v>611</v>
      </c>
      <c r="D315" s="28"/>
      <c r="E315" s="5"/>
      <c r="F315" s="5"/>
      <c r="G315" s="5"/>
      <c r="H315" s="5"/>
      <c r="I315" s="28"/>
      <c r="J315" s="5"/>
      <c r="K315" s="56"/>
      <c r="L315" s="5"/>
      <c r="M315" s="218"/>
    </row>
    <row r="316" spans="1:13" ht="20.399999999999999">
      <c r="A316" s="694" t="s">
        <v>610</v>
      </c>
      <c r="B316" s="28"/>
      <c r="C316" s="26"/>
      <c r="D316" s="28"/>
      <c r="E316" s="5"/>
      <c r="F316" s="5"/>
      <c r="G316" s="5"/>
      <c r="H316" s="5"/>
      <c r="I316" s="28"/>
      <c r="J316" s="5"/>
      <c r="K316" s="56"/>
      <c r="L316" s="5"/>
      <c r="M316" s="218"/>
    </row>
    <row r="317" spans="1:13" ht="20.25" customHeight="1">
      <c r="A317" s="700" t="s">
        <v>174</v>
      </c>
      <c r="C317" s="574" t="str">
        <f>DEO!C317</f>
        <v xml:space="preserve">On Line 35, enter revenues from RTO settlements that are associated with firm Point-to-Point Service for which the load is not included in the divisor to derive Duke Energy Ohio's </v>
      </c>
      <c r="D317" s="1"/>
      <c r="E317" s="1"/>
      <c r="F317" s="1"/>
      <c r="G317" s="1"/>
      <c r="H317" s="1"/>
      <c r="I317" s="1"/>
      <c r="J317" s="1"/>
      <c r="K317" s="1"/>
      <c r="L317" s="1"/>
      <c r="M317" s="223"/>
    </row>
    <row r="318" spans="1:13" ht="20.25" customHeight="1">
      <c r="A318" s="700"/>
      <c r="C318" s="574" t="str">
        <f>DEO!C318</f>
        <v xml:space="preserve">and Duke Energy Kentucky's zonal rates.  Exclude NITS, non-firm Point-to-Point revenues, revenues related to MTEP and RTEP projects, revenues from grandfathered interzonal </v>
      </c>
      <c r="D318" s="1"/>
      <c r="E318" s="1"/>
      <c r="F318" s="1"/>
      <c r="G318" s="1"/>
      <c r="H318" s="1"/>
      <c r="I318" s="1"/>
      <c r="J318" s="1"/>
      <c r="K318" s="1"/>
      <c r="L318" s="1"/>
      <c r="M318" s="223"/>
    </row>
    <row r="319" spans="1:13" ht="20.25" customHeight="1">
      <c r="A319" s="700"/>
      <c r="C319" s="574" t="str">
        <f>DEO!C319</f>
        <v>transactions and revenues from service provided by ISO at a discount.</v>
      </c>
      <c r="D319" s="1"/>
      <c r="E319" s="1"/>
      <c r="F319" s="1"/>
      <c r="G319" s="1"/>
      <c r="H319" s="1"/>
      <c r="I319" s="1"/>
      <c r="J319" s="1"/>
      <c r="K319" s="1"/>
      <c r="L319" s="1"/>
      <c r="M319" s="223"/>
    </row>
    <row r="320" spans="1:13" ht="20.25" customHeight="1">
      <c r="A320" s="700" t="s">
        <v>3</v>
      </c>
      <c r="C320" s="574" t="str">
        <f>DEO!C320</f>
        <v>Account Nos. 561.4 and 561.8 consist of RTO expenses billed to load-serving entities and are not included in Transmission Owner revenue requirements.</v>
      </c>
      <c r="D320" s="223"/>
      <c r="E320" s="223"/>
      <c r="F320" s="223"/>
      <c r="G320" s="223"/>
      <c r="H320" s="223"/>
      <c r="I320" s="223"/>
      <c r="J320" s="223"/>
      <c r="K320" s="223"/>
      <c r="L320" s="223"/>
      <c r="M320" s="223"/>
    </row>
    <row r="321" spans="1:10" ht="20.25" customHeight="1">
      <c r="A321" s="700" t="s">
        <v>376</v>
      </c>
      <c r="C321" s="574" t="str">
        <f>DEO!C321</f>
        <v xml:space="preserve">On Line 36, enter revenues from RTO settlements that are associated with MTEP projects.  Exclude NITS, firm Point-to-Point, non-firm Point-to-Point revenues, revenues related to </v>
      </c>
    </row>
    <row r="322" spans="1:10" s="596" customFormat="1" ht="20.25" customHeight="1">
      <c r="A322" s="700"/>
      <c r="C322" s="574" t="str">
        <f>DEO!C322</f>
        <v>RTEP projects, revenues from grandfathered interzonal transactions and revenues from service provided by ISO at a discount.</v>
      </c>
    </row>
    <row r="323" spans="1:10" ht="20.25" customHeight="1">
      <c r="A323" s="700" t="s">
        <v>478</v>
      </c>
      <c r="C323" s="574" t="str">
        <f>DEO!C323</f>
        <v xml:space="preserve">Midcontinent ISO Exit Fees include (1) the charge that DEOK paid to the Midcontinent ISO pursuant to the Settlement Agreement filed on July 29, 2011 in Docket No. ER11-2059 and (2) the exit </v>
      </c>
    </row>
    <row r="324" spans="1:10" ht="20.25" customHeight="1">
      <c r="C324" s="574" t="str">
        <f>DEO!C324</f>
        <v>fees that DEOK paid to the Midcontinent ISO pursuant to the Exit Fee Agreement filed on October 5, 2011 in Docket No. ER12-33.</v>
      </c>
    </row>
    <row r="325" spans="1:10" s="550" customFormat="1" ht="20.25" customHeight="1">
      <c r="A325" s="701" t="s">
        <v>479</v>
      </c>
      <c r="C325" s="574" t="str">
        <f>DEO!C325</f>
        <v>PJM Integration Costs are the fees that PJM assessed DEOK for the costs that PJM incurred in connection with DEOK's move into PJM.  Internal Integration Costs are the internal</v>
      </c>
    </row>
    <row r="326" spans="1:10" s="550" customFormat="1" ht="20.25" customHeight="1">
      <c r="A326" s="701"/>
      <c r="C326" s="574" t="str">
        <f>DEO!C326</f>
        <v>administrative costs incurred by Duke Energy Ohio and Duke Energy Kentucky to accomplish their move from the Midcontinent ISO into PJM.</v>
      </c>
    </row>
    <row r="327" spans="1:10" s="550" customFormat="1" ht="20.25" customHeight="1">
      <c r="A327" s="701" t="s">
        <v>581</v>
      </c>
      <c r="C327" s="574" t="str">
        <f>DEO!C327</f>
        <v xml:space="preserve">This amount reflects corrections to the prior year rate calculation, plus accumulated interest, and is included here in accordance with the formula rate protocols.  </v>
      </c>
    </row>
    <row r="328" spans="1:10" s="550" customFormat="1" ht="20.25" customHeight="1">
      <c r="A328" s="692"/>
      <c r="C328" s="574" t="str">
        <f>DEO!C328</f>
        <v>It is shown on a combined basis, and not separately entered on the DEO and DEK tabs.</v>
      </c>
    </row>
    <row r="329" spans="1:10" s="569" customFormat="1">
      <c r="A329" s="687"/>
    </row>
    <row r="330" spans="1:10" ht="17.399999999999999">
      <c r="C330" s="677" t="s">
        <v>766</v>
      </c>
      <c r="D330" s="550"/>
      <c r="E330" s="550"/>
      <c r="F330" s="550"/>
      <c r="G330" s="550"/>
      <c r="H330" s="550"/>
      <c r="I330" s="550"/>
      <c r="J330" s="550"/>
    </row>
    <row r="331" spans="1:10">
      <c r="C331" s="677" t="s">
        <v>682</v>
      </c>
      <c r="D331" s="550"/>
      <c r="E331" s="550"/>
      <c r="F331" s="550"/>
      <c r="G331" s="550"/>
      <c r="H331" s="550"/>
      <c r="I331" s="550"/>
      <c r="J331" s="550"/>
    </row>
  </sheetData>
  <phoneticPr fontId="0" type="noConversion"/>
  <printOptions horizontalCentered="1"/>
  <pageMargins left="0.75" right="0.75" top="0.75" bottom="0.5" header="0.25" footer="0.25"/>
  <pageSetup scale="12" orientation="portrait" blackAndWhite="1" r:id="rId1"/>
  <headerFooter alignWithMargins="0"/>
  <rowBreaks count="5" manualBreakCount="5">
    <brk id="34" max="11" man="1"/>
    <brk id="94" max="11" man="1"/>
    <brk id="164" max="11" man="1"/>
    <brk id="241" max="11" man="1"/>
    <brk id="301"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rgb="FF663300"/>
    <pageSetUpPr fitToPage="1"/>
  </sheetPr>
  <dimension ref="A1:O959"/>
  <sheetViews>
    <sheetView zoomScale="75" zoomScaleNormal="75" workbookViewId="0"/>
  </sheetViews>
  <sheetFormatPr defaultColWidth="9.36328125" defaultRowHeight="15"/>
  <cols>
    <col min="1" max="1" width="4" style="268" customWidth="1"/>
    <col min="2" max="2" width="4.81640625" style="269" bestFit="1" customWidth="1"/>
    <col min="3" max="3" width="1.6328125" style="268" customWidth="1"/>
    <col min="4" max="4" width="64.08984375" style="268" customWidth="1"/>
    <col min="5" max="5" width="28.54296875" style="268" customWidth="1"/>
    <col min="6" max="6" width="2.08984375" style="268" customWidth="1"/>
    <col min="7" max="7" width="16" style="268" bestFit="1" customWidth="1"/>
    <col min="8" max="8" width="6.54296875" style="268" customWidth="1"/>
    <col min="9" max="9" width="2.1796875" style="268" customWidth="1"/>
    <col min="10" max="10" width="2.36328125" style="268" customWidth="1"/>
    <col min="11" max="16384" width="9.36328125" style="268"/>
  </cols>
  <sheetData>
    <row r="1" spans="1:10">
      <c r="G1" s="268" t="s">
        <v>306</v>
      </c>
    </row>
    <row r="2" spans="1:10">
      <c r="G2" s="268" t="s">
        <v>293</v>
      </c>
    </row>
    <row r="3" spans="1:10">
      <c r="A3" s="274"/>
      <c r="B3" s="274"/>
      <c r="C3" s="274"/>
      <c r="D3" s="274"/>
      <c r="E3" s="274"/>
      <c r="F3" s="274"/>
      <c r="G3" s="268" t="s">
        <v>294</v>
      </c>
      <c r="H3" s="278"/>
      <c r="J3" s="312"/>
    </row>
    <row r="4" spans="1:10">
      <c r="A4" s="274"/>
      <c r="B4" s="274"/>
      <c r="C4" s="274"/>
      <c r="D4" s="274"/>
      <c r="E4" s="274"/>
      <c r="F4" s="274"/>
      <c r="H4" s="278"/>
      <c r="J4" s="312"/>
    </row>
    <row r="5" spans="1:10">
      <c r="A5" s="274"/>
      <c r="B5" s="274"/>
      <c r="C5" s="274"/>
      <c r="D5" s="274"/>
      <c r="E5" s="274"/>
      <c r="F5" s="274"/>
      <c r="G5" s="261" t="str">
        <f>"For the 12 months ended: "&amp;TEXT(INPUT!B1,"mm/dd/yyyy")</f>
        <v>For the 12 months ended: 12/31/2018</v>
      </c>
      <c r="H5" s="278"/>
      <c r="J5" s="312"/>
    </row>
    <row r="6" spans="1:10" ht="15.6">
      <c r="A6" s="309" t="str">
        <f>DEOK!A11</f>
        <v>DUKE ENERGY OHIO AND DUKE ENERGY KENTUCKY (DEOK)</v>
      </c>
      <c r="B6" s="309"/>
      <c r="C6" s="309"/>
      <c r="D6" s="309"/>
      <c r="E6" s="309"/>
      <c r="F6" s="309"/>
      <c r="G6" s="309"/>
      <c r="H6" s="303"/>
      <c r="I6" s="308"/>
    </row>
    <row r="7" spans="1:10" ht="15.6">
      <c r="A7" s="309" t="s">
        <v>291</v>
      </c>
      <c r="B7" s="309"/>
      <c r="C7" s="309"/>
      <c r="D7" s="309"/>
      <c r="E7" s="309"/>
      <c r="F7" s="309"/>
      <c r="G7" s="309"/>
      <c r="H7" s="303"/>
      <c r="I7" s="308"/>
    </row>
    <row r="8" spans="1:10" ht="15.6">
      <c r="A8" s="311" t="s">
        <v>277</v>
      </c>
      <c r="B8" s="311"/>
      <c r="C8" s="311"/>
      <c r="D8" s="311"/>
      <c r="E8" s="311"/>
      <c r="F8" s="311"/>
      <c r="G8" s="311"/>
      <c r="H8" s="303"/>
      <c r="I8" s="310"/>
    </row>
    <row r="9" spans="1:10" ht="15.6">
      <c r="A9" s="309" t="str">
        <f>"For Rates Effective "&amp;TEXT(INPUT!B2,"mmmm d, yyyy")</f>
        <v>For Rates Effective June 1, 2019</v>
      </c>
      <c r="B9" s="309"/>
      <c r="C9" s="309"/>
      <c r="D9" s="309"/>
      <c r="E9" s="309"/>
      <c r="F9" s="309"/>
      <c r="G9" s="309"/>
      <c r="H9" s="303"/>
      <c r="I9" s="308"/>
    </row>
    <row r="10" spans="1:10" ht="15.6">
      <c r="B10" s="289"/>
      <c r="C10" s="288"/>
      <c r="D10" s="285"/>
      <c r="H10" s="303"/>
    </row>
    <row r="11" spans="1:10" ht="15.6">
      <c r="A11" s="307" t="s">
        <v>303</v>
      </c>
      <c r="B11" s="307"/>
      <c r="C11" s="307"/>
      <c r="D11" s="307"/>
      <c r="E11" s="307"/>
      <c r="F11" s="307"/>
      <c r="G11" s="307"/>
      <c r="H11" s="303"/>
      <c r="I11" s="306"/>
    </row>
    <row r="12" spans="1:10" ht="15.6">
      <c r="A12" s="305"/>
      <c r="B12" s="289"/>
      <c r="C12" s="288"/>
      <c r="D12" s="285"/>
      <c r="H12" s="303"/>
    </row>
    <row r="13" spans="1:10" ht="15.6">
      <c r="B13" s="289"/>
      <c r="C13" s="288"/>
      <c r="D13" s="285"/>
      <c r="E13" s="285"/>
      <c r="F13" s="304"/>
      <c r="G13" s="291"/>
      <c r="H13" s="303"/>
    </row>
    <row r="14" spans="1:10" ht="15.6">
      <c r="B14" s="289" t="s">
        <v>8</v>
      </c>
      <c r="C14" s="288"/>
      <c r="D14" s="285"/>
      <c r="E14" s="285"/>
      <c r="F14" s="285"/>
      <c r="G14" s="317" t="s">
        <v>290</v>
      </c>
      <c r="H14" s="303"/>
    </row>
    <row r="15" spans="1:10" ht="15.6">
      <c r="B15" s="357" t="s">
        <v>10</v>
      </c>
      <c r="C15" s="290"/>
      <c r="D15" s="285"/>
      <c r="E15" s="357" t="s">
        <v>301</v>
      </c>
      <c r="F15" s="285"/>
      <c r="G15" s="357" t="s">
        <v>289</v>
      </c>
      <c r="H15" s="303"/>
    </row>
    <row r="16" spans="1:10">
      <c r="B16" s="302"/>
      <c r="C16" s="290"/>
      <c r="D16" s="293"/>
      <c r="E16" s="290"/>
      <c r="F16" s="285"/>
      <c r="H16" s="285"/>
    </row>
    <row r="17" spans="1:15">
      <c r="A17" s="317" t="s">
        <v>288</v>
      </c>
      <c r="B17" s="356" t="s">
        <v>292</v>
      </c>
      <c r="C17" s="290"/>
      <c r="D17" s="285"/>
      <c r="E17" s="290"/>
      <c r="F17" s="285"/>
      <c r="H17" s="285"/>
    </row>
    <row r="18" spans="1:15">
      <c r="B18" s="741">
        <v>1</v>
      </c>
      <c r="C18" s="288"/>
      <c r="D18" s="293" t="s">
        <v>287</v>
      </c>
      <c r="E18" s="317" t="s">
        <v>295</v>
      </c>
      <c r="F18" s="287"/>
      <c r="G18" s="300">
        <f>DEO!J190+DEK!J190</f>
        <v>4489980</v>
      </c>
      <c r="H18" s="301"/>
    </row>
    <row r="19" spans="1:15">
      <c r="B19" s="741"/>
      <c r="C19" s="288"/>
      <c r="D19" s="293"/>
      <c r="E19" s="288"/>
      <c r="F19" s="287"/>
      <c r="G19" s="294"/>
      <c r="H19" s="301"/>
    </row>
    <row r="20" spans="1:15">
      <c r="B20" s="741">
        <v>2</v>
      </c>
      <c r="C20" s="288"/>
      <c r="D20" s="293" t="s">
        <v>296</v>
      </c>
      <c r="E20" s="287"/>
      <c r="F20" s="278"/>
      <c r="G20" s="755">
        <f>INPUT!E167</f>
        <v>110618</v>
      </c>
      <c r="H20" s="301"/>
    </row>
    <row r="21" spans="1:15" ht="15.6" thickBot="1">
      <c r="B21" s="741"/>
      <c r="C21" s="288"/>
      <c r="D21" s="293"/>
      <c r="E21" s="285"/>
      <c r="F21" s="287"/>
      <c r="G21" s="299"/>
      <c r="H21" s="301"/>
    </row>
    <row r="22" spans="1:15" ht="15.6" thickBot="1">
      <c r="B22" s="741">
        <v>3</v>
      </c>
      <c r="C22" s="288"/>
      <c r="D22" s="298" t="s">
        <v>286</v>
      </c>
      <c r="E22" s="297"/>
      <c r="F22" s="296"/>
      <c r="G22" s="295">
        <f>G18-G20</f>
        <v>4379362</v>
      </c>
      <c r="H22" s="301"/>
    </row>
    <row r="23" spans="1:15">
      <c r="B23" s="741"/>
      <c r="C23" s="288"/>
      <c r="D23" s="293"/>
      <c r="E23" s="285"/>
      <c r="F23" s="287"/>
      <c r="G23" s="292"/>
      <c r="H23" s="301"/>
    </row>
    <row r="24" spans="1:15">
      <c r="A24" s="317" t="s">
        <v>285</v>
      </c>
      <c r="B24" s="742" t="s">
        <v>284</v>
      </c>
      <c r="C24" s="290"/>
      <c r="D24" s="285"/>
      <c r="E24" s="290"/>
      <c r="F24" s="285"/>
      <c r="G24" s="933"/>
      <c r="H24" s="275"/>
    </row>
    <row r="25" spans="1:15">
      <c r="B25" s="741">
        <f>+B22+1</f>
        <v>4</v>
      </c>
      <c r="C25" s="288"/>
      <c r="D25" s="279" t="str">
        <f>TEXT(INPUT!B1,"yyyy")&amp;" Annual MWh - Note B"</f>
        <v>2018 Annual MWh - Note B</v>
      </c>
      <c r="E25" s="608" t="s">
        <v>603</v>
      </c>
      <c r="F25" s="287"/>
      <c r="G25" s="932">
        <f>-'P13 Sch 1A Denominator'!E41</f>
        <v>27859038</v>
      </c>
      <c r="H25" s="275" t="s">
        <v>283</v>
      </c>
    </row>
    <row r="26" spans="1:15">
      <c r="B26" s="741"/>
      <c r="C26" s="288"/>
      <c r="D26" s="279"/>
      <c r="E26" s="285"/>
      <c r="F26" s="287"/>
      <c r="G26" s="286"/>
      <c r="H26" s="285"/>
    </row>
    <row r="27" spans="1:15">
      <c r="A27" s="270"/>
      <c r="B27" s="743">
        <f>+B25+1</f>
        <v>5</v>
      </c>
      <c r="C27" s="280"/>
      <c r="D27" s="279" t="s">
        <v>759</v>
      </c>
      <c r="E27" s="284" t="str">
        <f>"(Line "&amp;B22&amp;" / Line "&amp;B25&amp;")"</f>
        <v>(Line 3 / Line 4)</v>
      </c>
      <c r="F27" s="277"/>
      <c r="G27" s="282">
        <f>+G22/G25</f>
        <v>0.1571971724221059</v>
      </c>
      <c r="H27" s="283" t="s">
        <v>282</v>
      </c>
    </row>
    <row r="28" spans="1:15">
      <c r="A28" s="270"/>
      <c r="B28" s="743"/>
      <c r="C28" s="280"/>
      <c r="D28" s="279"/>
      <c r="E28" s="277"/>
      <c r="F28" s="277"/>
      <c r="H28" s="277"/>
      <c r="K28" s="270"/>
      <c r="L28" s="270"/>
      <c r="M28" s="270"/>
      <c r="N28" s="270"/>
      <c r="O28" s="270"/>
    </row>
    <row r="29" spans="1:15">
      <c r="A29" s="270"/>
      <c r="B29" s="281"/>
      <c r="C29" s="280"/>
      <c r="D29" s="279"/>
      <c r="E29" s="277"/>
      <c r="F29" s="280"/>
      <c r="H29" s="277"/>
      <c r="K29" s="474"/>
      <c r="L29" s="270"/>
      <c r="M29" s="270"/>
      <c r="N29" s="270"/>
      <c r="O29" s="270"/>
    </row>
    <row r="30" spans="1:15">
      <c r="B30" s="281"/>
      <c r="C30" s="280"/>
      <c r="D30" s="279"/>
      <c r="E30" s="277"/>
      <c r="F30" s="277"/>
      <c r="H30" s="277"/>
      <c r="I30" s="272"/>
      <c r="J30" s="272"/>
      <c r="K30" s="933"/>
      <c r="L30" s="270"/>
      <c r="M30" s="270"/>
      <c r="N30" s="270"/>
      <c r="O30" s="270"/>
    </row>
    <row r="31" spans="1:15">
      <c r="B31" s="314" t="s">
        <v>297</v>
      </c>
      <c r="C31" s="280"/>
      <c r="D31" s="279"/>
      <c r="E31" s="277"/>
      <c r="F31" s="277"/>
      <c r="H31" s="277"/>
      <c r="I31" s="272"/>
      <c r="J31" s="272"/>
      <c r="K31" s="270"/>
      <c r="L31" s="270"/>
      <c r="M31" s="270"/>
      <c r="N31" s="270"/>
      <c r="O31" s="270"/>
    </row>
    <row r="32" spans="1:15">
      <c r="B32" s="315" t="s">
        <v>96</v>
      </c>
      <c r="C32" s="277"/>
      <c r="D32" s="277" t="s">
        <v>345</v>
      </c>
      <c r="E32" s="277"/>
      <c r="F32" s="277"/>
      <c r="G32" s="272"/>
      <c r="H32" s="277"/>
      <c r="I32" s="272"/>
      <c r="J32" s="272"/>
    </row>
    <row r="33" spans="1:10">
      <c r="B33" s="316"/>
      <c r="C33" s="277"/>
      <c r="D33" s="277" t="s">
        <v>402</v>
      </c>
      <c r="E33" s="277"/>
      <c r="F33" s="277"/>
      <c r="G33" s="272"/>
      <c r="H33" s="277"/>
      <c r="I33" s="272"/>
      <c r="J33" s="272"/>
    </row>
    <row r="34" spans="1:10">
      <c r="B34" s="316"/>
      <c r="C34" s="277"/>
      <c r="D34" s="277" t="s">
        <v>298</v>
      </c>
      <c r="E34" s="277"/>
      <c r="F34" s="277"/>
      <c r="G34" s="272"/>
      <c r="H34" s="277"/>
      <c r="I34" s="272"/>
      <c r="J34" s="272"/>
    </row>
    <row r="35" spans="1:10">
      <c r="B35" s="281"/>
      <c r="C35" s="275"/>
      <c r="D35" s="274"/>
      <c r="E35" s="274"/>
      <c r="F35" s="274"/>
      <c r="G35" s="274" t="s">
        <v>7</v>
      </c>
      <c r="I35" s="274"/>
      <c r="J35" s="272"/>
    </row>
    <row r="36" spans="1:10">
      <c r="B36" s="313" t="s">
        <v>97</v>
      </c>
      <c r="C36" s="275"/>
      <c r="D36" s="277" t="s">
        <v>636</v>
      </c>
      <c r="E36" s="274"/>
      <c r="F36" s="274"/>
      <c r="G36" s="274"/>
      <c r="H36" s="274"/>
      <c r="I36" s="274"/>
      <c r="J36" s="272"/>
    </row>
    <row r="37" spans="1:10">
      <c r="B37" s="281"/>
      <c r="C37" s="275"/>
      <c r="D37" s="277"/>
      <c r="E37" s="274"/>
      <c r="F37" s="274"/>
      <c r="G37" s="274"/>
      <c r="H37" s="274"/>
      <c r="I37" s="274"/>
      <c r="J37" s="272"/>
    </row>
    <row r="38" spans="1:10">
      <c r="B38" s="281"/>
      <c r="C38" s="275"/>
      <c r="D38" s="277"/>
      <c r="E38" s="274"/>
      <c r="F38" s="274"/>
      <c r="G38" s="274"/>
      <c r="H38" s="274"/>
      <c r="I38" s="274"/>
      <c r="J38" s="272"/>
    </row>
    <row r="39" spans="1:10">
      <c r="A39" s="325"/>
      <c r="B39" s="281"/>
      <c r="C39" s="275"/>
      <c r="D39" s="280"/>
      <c r="E39" s="274"/>
      <c r="F39" s="274"/>
      <c r="G39" s="274"/>
      <c r="H39" s="274"/>
      <c r="I39" s="274"/>
      <c r="J39" s="272"/>
    </row>
    <row r="40" spans="1:10">
      <c r="B40" s="276"/>
      <c r="C40" s="275"/>
      <c r="D40" s="280"/>
      <c r="E40" s="274"/>
      <c r="F40" s="274"/>
      <c r="G40" s="274"/>
      <c r="H40" s="274"/>
      <c r="I40" s="274"/>
      <c r="J40" s="272"/>
    </row>
    <row r="41" spans="1:10">
      <c r="B41" s="276"/>
      <c r="C41" s="275"/>
      <c r="D41" s="274"/>
      <c r="E41" s="274"/>
      <c r="F41" s="274"/>
      <c r="G41" s="274"/>
      <c r="H41" s="274"/>
      <c r="I41" s="274"/>
      <c r="J41" s="272"/>
    </row>
    <row r="42" spans="1:10">
      <c r="B42" s="273"/>
      <c r="C42" s="272"/>
      <c r="D42" s="274"/>
      <c r="E42" s="274"/>
      <c r="F42" s="274"/>
      <c r="G42" s="274"/>
      <c r="H42" s="274"/>
      <c r="I42" s="274"/>
      <c r="J42" s="272"/>
    </row>
    <row r="43" spans="1:10">
      <c r="B43" s="273"/>
      <c r="C43" s="272"/>
      <c r="D43" s="274"/>
      <c r="E43" s="274"/>
      <c r="F43" s="274"/>
      <c r="G43" s="274"/>
      <c r="H43" s="274"/>
      <c r="I43" s="274"/>
      <c r="J43" s="272"/>
    </row>
    <row r="44" spans="1:10">
      <c r="B44" s="273"/>
      <c r="C44" s="272"/>
      <c r="D44" s="274"/>
      <c r="E44" s="274"/>
      <c r="F44" s="274"/>
      <c r="G44" s="274"/>
      <c r="H44" s="274"/>
      <c r="I44" s="274"/>
      <c r="J44" s="272"/>
    </row>
    <row r="45" spans="1:10">
      <c r="B45" s="273"/>
      <c r="C45" s="272"/>
      <c r="D45" s="274"/>
      <c r="E45" s="274"/>
      <c r="F45" s="274"/>
      <c r="G45" s="274"/>
      <c r="H45" s="274"/>
      <c r="I45" s="274"/>
      <c r="J45" s="272"/>
    </row>
    <row r="46" spans="1:10">
      <c r="B46" s="273"/>
      <c r="C46" s="272"/>
      <c r="D46" s="274"/>
      <c r="E46" s="274"/>
      <c r="F46" s="274"/>
      <c r="G46" s="274"/>
      <c r="H46" s="274"/>
      <c r="I46" s="274"/>
      <c r="J46" s="272"/>
    </row>
    <row r="47" spans="1:10">
      <c r="B47" s="273"/>
      <c r="C47" s="272"/>
      <c r="D47" s="274"/>
      <c r="E47" s="274"/>
      <c r="F47" s="274"/>
      <c r="G47" s="274"/>
      <c r="H47" s="274"/>
      <c r="I47" s="274"/>
      <c r="J47" s="272"/>
    </row>
    <row r="48" spans="1:10">
      <c r="B48" s="273"/>
      <c r="C48" s="272"/>
      <c r="D48" s="274"/>
      <c r="E48" s="274"/>
      <c r="F48" s="274"/>
      <c r="G48" s="274"/>
      <c r="H48" s="274"/>
      <c r="I48" s="274"/>
      <c r="J48" s="272"/>
    </row>
    <row r="49" spans="2:10">
      <c r="B49" s="273"/>
      <c r="C49" s="272"/>
      <c r="D49" s="274"/>
      <c r="E49" s="274"/>
      <c r="F49" s="274"/>
      <c r="G49" s="274"/>
      <c r="H49" s="274"/>
      <c r="I49" s="274"/>
      <c r="J49" s="272"/>
    </row>
    <row r="50" spans="2:10">
      <c r="B50" s="273"/>
      <c r="C50" s="272"/>
      <c r="D50" s="274"/>
      <c r="E50" s="274"/>
      <c r="F50" s="274"/>
      <c r="G50" s="274"/>
      <c r="H50" s="274"/>
      <c r="I50" s="274"/>
      <c r="J50" s="272"/>
    </row>
    <row r="51" spans="2:10">
      <c r="B51" s="273"/>
      <c r="C51" s="272"/>
      <c r="D51" s="274"/>
      <c r="E51" s="274"/>
      <c r="F51" s="274"/>
      <c r="G51" s="274"/>
      <c r="H51" s="274"/>
      <c r="I51" s="274"/>
      <c r="J51" s="272"/>
    </row>
    <row r="52" spans="2:10">
      <c r="B52" s="273"/>
      <c r="C52" s="272"/>
      <c r="D52" s="272"/>
      <c r="E52" s="272"/>
      <c r="F52" s="272"/>
      <c r="G52" s="272"/>
      <c r="H52" s="272"/>
      <c r="I52" s="272"/>
      <c r="J52" s="272"/>
    </row>
    <row r="53" spans="2:10">
      <c r="B53" s="273"/>
      <c r="C53" s="272"/>
      <c r="D53" s="272"/>
      <c r="E53" s="272"/>
      <c r="F53" s="272"/>
      <c r="G53" s="272"/>
      <c r="H53" s="272"/>
      <c r="I53" s="272"/>
      <c r="J53" s="272"/>
    </row>
    <row r="54" spans="2:10">
      <c r="B54" s="273"/>
      <c r="C54" s="272"/>
      <c r="D54" s="272"/>
      <c r="E54" s="272"/>
      <c r="F54" s="272"/>
      <c r="G54" s="272"/>
      <c r="H54" s="272"/>
      <c r="I54" s="272"/>
      <c r="J54" s="272"/>
    </row>
    <row r="55" spans="2:10">
      <c r="B55" s="273"/>
      <c r="C55" s="272"/>
      <c r="D55" s="272"/>
      <c r="E55" s="272"/>
      <c r="F55" s="272"/>
      <c r="G55" s="272"/>
      <c r="H55" s="272"/>
      <c r="I55" s="272"/>
      <c r="J55" s="272"/>
    </row>
    <row r="56" spans="2:10">
      <c r="B56" s="273"/>
      <c r="C56" s="272"/>
      <c r="D56" s="272"/>
      <c r="E56" s="272"/>
      <c r="F56" s="272"/>
      <c r="G56" s="272"/>
      <c r="H56" s="272"/>
      <c r="I56" s="272"/>
      <c r="J56" s="272"/>
    </row>
    <row r="57" spans="2:10">
      <c r="B57" s="273"/>
      <c r="C57" s="272"/>
      <c r="D57" s="272"/>
      <c r="E57" s="272"/>
      <c r="F57" s="272"/>
      <c r="G57" s="272"/>
      <c r="H57" s="272"/>
      <c r="I57" s="272"/>
      <c r="J57" s="272"/>
    </row>
    <row r="58" spans="2:10">
      <c r="B58" s="273"/>
      <c r="C58" s="272"/>
      <c r="D58" s="272"/>
      <c r="E58" s="272"/>
      <c r="F58" s="272"/>
      <c r="G58" s="272"/>
      <c r="H58" s="272"/>
      <c r="I58" s="272"/>
      <c r="J58" s="272"/>
    </row>
    <row r="59" spans="2:10">
      <c r="B59" s="273"/>
      <c r="C59" s="272"/>
      <c r="D59" s="272"/>
      <c r="E59" s="272"/>
      <c r="F59" s="272"/>
      <c r="G59" s="272"/>
      <c r="H59" s="272"/>
      <c r="I59" s="272"/>
      <c r="J59" s="272"/>
    </row>
    <row r="60" spans="2:10">
      <c r="B60" s="273"/>
      <c r="C60" s="272"/>
      <c r="D60" s="272"/>
      <c r="E60" s="272"/>
      <c r="F60" s="272"/>
      <c r="G60" s="272"/>
      <c r="H60" s="272"/>
      <c r="I60" s="272"/>
      <c r="J60" s="272"/>
    </row>
    <row r="61" spans="2:10">
      <c r="B61" s="273"/>
      <c r="C61" s="272"/>
      <c r="D61" s="272"/>
      <c r="E61" s="272"/>
      <c r="F61" s="272"/>
      <c r="G61" s="272"/>
      <c r="H61" s="272"/>
      <c r="I61" s="272"/>
      <c r="J61" s="272"/>
    </row>
    <row r="62" spans="2:10">
      <c r="B62" s="273"/>
      <c r="C62" s="272"/>
      <c r="D62" s="272"/>
      <c r="E62" s="272"/>
      <c r="F62" s="272"/>
      <c r="G62" s="272"/>
      <c r="H62" s="272"/>
      <c r="I62" s="272"/>
      <c r="J62" s="272"/>
    </row>
    <row r="63" spans="2:10">
      <c r="B63" s="273"/>
      <c r="C63" s="272"/>
      <c r="D63" s="272"/>
      <c r="E63" s="272"/>
      <c r="F63" s="272"/>
      <c r="G63" s="272"/>
      <c r="H63" s="272"/>
      <c r="I63" s="272"/>
      <c r="J63" s="272"/>
    </row>
    <row r="64" spans="2:10">
      <c r="B64" s="273"/>
      <c r="C64" s="272"/>
      <c r="D64" s="272"/>
      <c r="E64" s="272"/>
      <c r="F64" s="272"/>
      <c r="G64" s="272"/>
      <c r="H64" s="272"/>
      <c r="I64" s="272"/>
      <c r="J64" s="272"/>
    </row>
    <row r="65" spans="2:10">
      <c r="B65" s="273"/>
      <c r="C65" s="272"/>
      <c r="D65" s="272"/>
      <c r="E65" s="272"/>
      <c r="F65" s="272"/>
      <c r="G65" s="272"/>
      <c r="H65" s="272"/>
      <c r="I65" s="272"/>
      <c r="J65" s="272"/>
    </row>
    <row r="66" spans="2:10">
      <c r="B66" s="273"/>
      <c r="C66" s="272"/>
      <c r="D66" s="272"/>
      <c r="E66" s="272"/>
      <c r="F66" s="272"/>
      <c r="G66" s="272"/>
      <c r="H66" s="272"/>
      <c r="I66" s="272"/>
      <c r="J66" s="272"/>
    </row>
    <row r="67" spans="2:10">
      <c r="B67" s="273"/>
      <c r="C67" s="272"/>
      <c r="D67" s="272"/>
      <c r="E67" s="272"/>
      <c r="F67" s="272"/>
      <c r="G67" s="272"/>
      <c r="H67" s="272"/>
      <c r="I67" s="272"/>
      <c r="J67" s="272"/>
    </row>
    <row r="68" spans="2:10">
      <c r="B68" s="273"/>
      <c r="C68" s="272"/>
      <c r="D68" s="272"/>
      <c r="E68" s="272"/>
      <c r="F68" s="272"/>
      <c r="G68" s="272"/>
      <c r="H68" s="272"/>
      <c r="I68" s="272"/>
      <c r="J68" s="272"/>
    </row>
    <row r="69" spans="2:10">
      <c r="B69" s="273"/>
      <c r="C69" s="272"/>
      <c r="D69" s="272"/>
      <c r="E69" s="272"/>
      <c r="F69" s="272"/>
      <c r="G69" s="272"/>
      <c r="H69" s="272"/>
      <c r="I69" s="272"/>
      <c r="J69" s="272"/>
    </row>
    <row r="70" spans="2:10">
      <c r="B70" s="273"/>
      <c r="C70" s="272"/>
      <c r="D70" s="272"/>
      <c r="E70" s="272"/>
      <c r="F70" s="272"/>
      <c r="G70" s="272"/>
      <c r="H70" s="272"/>
      <c r="I70" s="272"/>
      <c r="J70" s="272"/>
    </row>
    <row r="71" spans="2:10">
      <c r="B71" s="273"/>
      <c r="C71" s="272"/>
      <c r="D71" s="272"/>
      <c r="E71" s="272"/>
      <c r="F71" s="272"/>
      <c r="G71" s="272"/>
      <c r="H71" s="272"/>
      <c r="I71" s="272"/>
      <c r="J71" s="272"/>
    </row>
    <row r="72" spans="2:10">
      <c r="B72" s="273"/>
      <c r="C72" s="272"/>
      <c r="D72" s="272"/>
      <c r="E72" s="272"/>
      <c r="F72" s="272"/>
      <c r="G72" s="272"/>
      <c r="H72" s="272"/>
      <c r="I72" s="272"/>
      <c r="J72" s="272"/>
    </row>
    <row r="73" spans="2:10">
      <c r="B73" s="273"/>
      <c r="C73" s="272"/>
      <c r="D73" s="272"/>
      <c r="E73" s="272"/>
      <c r="F73" s="272"/>
      <c r="G73" s="272"/>
      <c r="H73" s="272"/>
      <c r="I73" s="272"/>
      <c r="J73" s="272"/>
    </row>
    <row r="74" spans="2:10">
      <c r="B74" s="273"/>
      <c r="C74" s="272"/>
      <c r="D74" s="272"/>
      <c r="E74" s="272"/>
      <c r="F74" s="272"/>
      <c r="G74" s="272"/>
      <c r="H74" s="272"/>
      <c r="I74" s="272"/>
      <c r="J74" s="272"/>
    </row>
    <row r="75" spans="2:10">
      <c r="B75" s="273"/>
      <c r="C75" s="272"/>
      <c r="D75" s="272"/>
      <c r="E75" s="272"/>
      <c r="F75" s="272"/>
      <c r="G75" s="272"/>
      <c r="H75" s="272"/>
      <c r="I75" s="272"/>
      <c r="J75" s="272"/>
    </row>
    <row r="76" spans="2:10">
      <c r="B76" s="273"/>
      <c r="C76" s="272"/>
      <c r="D76" s="272"/>
      <c r="E76" s="272"/>
      <c r="F76" s="272"/>
      <c r="G76" s="272"/>
      <c r="H76" s="272"/>
      <c r="I76" s="272"/>
      <c r="J76" s="272"/>
    </row>
    <row r="77" spans="2:10">
      <c r="B77" s="273"/>
      <c r="C77" s="272"/>
      <c r="D77" s="272"/>
      <c r="E77" s="272"/>
      <c r="F77" s="272"/>
      <c r="G77" s="272"/>
      <c r="H77" s="272"/>
      <c r="I77" s="272"/>
      <c r="J77" s="272"/>
    </row>
    <row r="78" spans="2:10">
      <c r="B78" s="273"/>
      <c r="C78" s="272"/>
      <c r="D78" s="272"/>
      <c r="E78" s="272"/>
      <c r="F78" s="272"/>
      <c r="G78" s="272"/>
      <c r="H78" s="272"/>
      <c r="I78" s="272"/>
      <c r="J78" s="272"/>
    </row>
    <row r="79" spans="2:10">
      <c r="B79" s="273"/>
      <c r="C79" s="272"/>
      <c r="D79" s="272"/>
      <c r="E79" s="272"/>
      <c r="F79" s="272"/>
      <c r="G79" s="272"/>
      <c r="H79" s="272"/>
      <c r="I79" s="272"/>
      <c r="J79" s="272"/>
    </row>
    <row r="80" spans="2:10">
      <c r="B80" s="273"/>
      <c r="C80" s="272"/>
      <c r="D80" s="272"/>
      <c r="E80" s="272"/>
      <c r="F80" s="272"/>
      <c r="G80" s="272"/>
      <c r="H80" s="272"/>
      <c r="I80" s="272"/>
      <c r="J80" s="272"/>
    </row>
    <row r="81" spans="2:10">
      <c r="B81" s="273"/>
      <c r="C81" s="272"/>
      <c r="D81" s="272"/>
      <c r="E81" s="272"/>
      <c r="F81" s="272"/>
      <c r="G81" s="272"/>
      <c r="H81" s="272"/>
      <c r="I81" s="272"/>
      <c r="J81" s="272"/>
    </row>
    <row r="82" spans="2:10">
      <c r="B82" s="273"/>
      <c r="C82" s="272"/>
      <c r="D82" s="272"/>
      <c r="E82" s="272"/>
      <c r="F82" s="272"/>
      <c r="G82" s="272"/>
      <c r="H82" s="272"/>
      <c r="I82" s="272"/>
      <c r="J82" s="272"/>
    </row>
    <row r="83" spans="2:10">
      <c r="B83" s="273"/>
      <c r="C83" s="272"/>
      <c r="D83" s="272"/>
      <c r="E83" s="272"/>
      <c r="F83" s="272"/>
      <c r="G83" s="272"/>
      <c r="H83" s="272"/>
      <c r="I83" s="272"/>
      <c r="J83" s="272"/>
    </row>
    <row r="84" spans="2:10">
      <c r="B84" s="273"/>
      <c r="C84" s="272"/>
      <c r="D84" s="272"/>
      <c r="E84" s="272"/>
      <c r="F84" s="272"/>
      <c r="G84" s="272"/>
      <c r="H84" s="272"/>
      <c r="I84" s="272"/>
      <c r="J84" s="272"/>
    </row>
    <row r="85" spans="2:10">
      <c r="B85" s="273"/>
      <c r="C85" s="272"/>
      <c r="D85" s="272"/>
      <c r="E85" s="272"/>
      <c r="F85" s="272"/>
      <c r="G85" s="272"/>
      <c r="H85" s="272"/>
      <c r="I85" s="272"/>
      <c r="J85" s="272"/>
    </row>
    <row r="86" spans="2:10">
      <c r="B86" s="273"/>
      <c r="C86" s="272"/>
      <c r="D86" s="272"/>
      <c r="E86" s="272"/>
      <c r="F86" s="272"/>
      <c r="G86" s="272"/>
      <c r="H86" s="272"/>
      <c r="I86" s="272"/>
      <c r="J86" s="272"/>
    </row>
    <row r="87" spans="2:10">
      <c r="B87" s="273"/>
      <c r="C87" s="272"/>
      <c r="D87" s="272"/>
      <c r="E87" s="272"/>
      <c r="F87" s="272"/>
      <c r="G87" s="272"/>
      <c r="H87" s="272"/>
      <c r="I87" s="272"/>
      <c r="J87" s="272"/>
    </row>
    <row r="88" spans="2:10">
      <c r="B88" s="273"/>
      <c r="C88" s="272"/>
      <c r="D88" s="272"/>
      <c r="E88" s="272"/>
      <c r="F88" s="272"/>
      <c r="G88" s="272"/>
      <c r="H88" s="272"/>
      <c r="I88" s="272"/>
      <c r="J88" s="272"/>
    </row>
    <row r="89" spans="2:10">
      <c r="B89" s="273"/>
      <c r="C89" s="272"/>
      <c r="D89" s="272"/>
      <c r="E89" s="272"/>
      <c r="F89" s="272"/>
      <c r="G89" s="272"/>
      <c r="H89" s="272"/>
      <c r="I89" s="272"/>
      <c r="J89" s="272"/>
    </row>
    <row r="90" spans="2:10">
      <c r="B90" s="273"/>
      <c r="C90" s="272"/>
      <c r="D90" s="272"/>
      <c r="E90" s="272"/>
      <c r="F90" s="272"/>
      <c r="G90" s="272"/>
      <c r="H90" s="272"/>
      <c r="I90" s="272"/>
      <c r="J90" s="272"/>
    </row>
    <row r="91" spans="2:10">
      <c r="B91" s="273"/>
      <c r="C91" s="272"/>
      <c r="D91" s="272"/>
      <c r="E91" s="272"/>
      <c r="F91" s="272"/>
      <c r="G91" s="272"/>
      <c r="H91" s="272"/>
      <c r="I91" s="272"/>
      <c r="J91" s="272"/>
    </row>
    <row r="92" spans="2:10">
      <c r="B92" s="273"/>
      <c r="C92" s="272"/>
      <c r="D92" s="272"/>
      <c r="E92" s="272"/>
      <c r="F92" s="272"/>
      <c r="G92" s="272"/>
      <c r="H92" s="272"/>
      <c r="I92" s="272"/>
      <c r="J92" s="272"/>
    </row>
    <row r="93" spans="2:10">
      <c r="B93" s="273"/>
      <c r="C93" s="272"/>
      <c r="D93" s="272"/>
      <c r="E93" s="272"/>
      <c r="F93" s="272"/>
      <c r="G93" s="272"/>
      <c r="H93" s="272"/>
      <c r="I93" s="272"/>
      <c r="J93" s="272"/>
    </row>
    <row r="94" spans="2:10">
      <c r="B94" s="273"/>
      <c r="C94" s="272"/>
      <c r="D94" s="272"/>
      <c r="E94" s="272"/>
      <c r="F94" s="272"/>
      <c r="G94" s="272"/>
      <c r="H94" s="272"/>
      <c r="I94" s="272"/>
      <c r="J94" s="272"/>
    </row>
    <row r="95" spans="2:10">
      <c r="B95" s="273"/>
      <c r="C95" s="272"/>
      <c r="D95" s="272"/>
      <c r="E95" s="272"/>
      <c r="F95" s="272"/>
      <c r="G95" s="272"/>
      <c r="H95" s="272"/>
      <c r="I95" s="272"/>
      <c r="J95" s="272"/>
    </row>
    <row r="96" spans="2:10">
      <c r="B96" s="273"/>
      <c r="C96" s="272"/>
      <c r="D96" s="272"/>
      <c r="E96" s="272"/>
      <c r="F96" s="272"/>
      <c r="G96" s="272"/>
      <c r="H96" s="272"/>
      <c r="I96" s="272"/>
      <c r="J96" s="272"/>
    </row>
    <row r="97" spans="2:10">
      <c r="B97" s="273"/>
      <c r="C97" s="272"/>
      <c r="D97" s="272"/>
      <c r="E97" s="272"/>
      <c r="F97" s="272"/>
      <c r="G97" s="272"/>
      <c r="H97" s="272"/>
      <c r="I97" s="272"/>
      <c r="J97" s="272"/>
    </row>
    <row r="98" spans="2:10">
      <c r="B98" s="273"/>
      <c r="C98" s="272"/>
      <c r="D98" s="272"/>
      <c r="E98" s="272"/>
      <c r="F98" s="272"/>
      <c r="G98" s="272"/>
      <c r="H98" s="272"/>
      <c r="I98" s="272"/>
      <c r="J98" s="272"/>
    </row>
    <row r="99" spans="2:10">
      <c r="B99" s="273"/>
      <c r="C99" s="272"/>
      <c r="D99" s="272"/>
      <c r="E99" s="272"/>
      <c r="F99" s="272"/>
      <c r="G99" s="272"/>
      <c r="H99" s="272"/>
      <c r="I99" s="272"/>
      <c r="J99" s="272"/>
    </row>
    <row r="100" spans="2:10">
      <c r="B100" s="273"/>
      <c r="C100" s="272"/>
      <c r="D100" s="272"/>
      <c r="E100" s="272"/>
      <c r="F100" s="272"/>
      <c r="G100" s="272"/>
      <c r="H100" s="272"/>
      <c r="I100" s="272"/>
      <c r="J100" s="272"/>
    </row>
    <row r="101" spans="2:10">
      <c r="B101" s="273"/>
      <c r="C101" s="272"/>
      <c r="D101" s="272"/>
      <c r="E101" s="272"/>
      <c r="F101" s="272"/>
      <c r="G101" s="272"/>
      <c r="H101" s="272"/>
      <c r="I101" s="272"/>
      <c r="J101" s="272"/>
    </row>
    <row r="102" spans="2:10">
      <c r="B102" s="271"/>
      <c r="C102" s="270"/>
      <c r="D102" s="270"/>
      <c r="E102" s="270"/>
      <c r="F102" s="270"/>
      <c r="H102" s="270"/>
    </row>
    <row r="103" spans="2:10">
      <c r="B103" s="271"/>
      <c r="C103" s="270"/>
      <c r="D103" s="270"/>
      <c r="E103" s="270"/>
      <c r="F103" s="270"/>
      <c r="H103" s="270"/>
    </row>
    <row r="104" spans="2:10">
      <c r="B104" s="271"/>
      <c r="C104" s="270"/>
      <c r="D104" s="270"/>
      <c r="E104" s="270"/>
      <c r="F104" s="270"/>
      <c r="H104" s="270"/>
    </row>
    <row r="105" spans="2:10">
      <c r="B105" s="271"/>
      <c r="C105" s="270"/>
      <c r="D105" s="270"/>
      <c r="E105" s="270"/>
      <c r="F105" s="270"/>
      <c r="H105" s="270"/>
    </row>
    <row r="106" spans="2:10">
      <c r="B106" s="271"/>
      <c r="C106" s="270"/>
      <c r="D106" s="270"/>
      <c r="E106" s="270"/>
      <c r="F106" s="270"/>
      <c r="H106" s="270"/>
    </row>
    <row r="107" spans="2:10">
      <c r="B107" s="271"/>
      <c r="C107" s="270"/>
      <c r="D107" s="270"/>
      <c r="E107" s="270"/>
      <c r="F107" s="270"/>
      <c r="H107" s="270"/>
    </row>
    <row r="108" spans="2:10">
      <c r="B108" s="271"/>
      <c r="C108" s="270"/>
      <c r="D108" s="270"/>
      <c r="E108" s="270"/>
      <c r="F108" s="270"/>
      <c r="H108" s="270"/>
    </row>
    <row r="109" spans="2:10">
      <c r="B109" s="271"/>
      <c r="C109" s="270"/>
      <c r="D109" s="270"/>
      <c r="E109" s="270"/>
      <c r="F109" s="270"/>
      <c r="H109" s="270"/>
    </row>
    <row r="110" spans="2:10">
      <c r="B110" s="271"/>
      <c r="C110" s="270"/>
      <c r="D110" s="270"/>
      <c r="E110" s="270"/>
      <c r="F110" s="270"/>
      <c r="H110" s="270"/>
    </row>
    <row r="111" spans="2:10">
      <c r="B111" s="271"/>
      <c r="C111" s="270"/>
      <c r="D111" s="270"/>
      <c r="E111" s="270"/>
      <c r="F111" s="270"/>
      <c r="H111" s="270"/>
    </row>
    <row r="112" spans="2:10">
      <c r="B112" s="271"/>
      <c r="C112" s="270"/>
      <c r="D112" s="270"/>
      <c r="E112" s="270"/>
      <c r="F112" s="270"/>
      <c r="H112" s="270"/>
    </row>
    <row r="113" spans="2:8">
      <c r="B113" s="271"/>
      <c r="C113" s="270"/>
      <c r="D113" s="270"/>
      <c r="E113" s="270"/>
      <c r="F113" s="270"/>
      <c r="H113" s="270"/>
    </row>
    <row r="114" spans="2:8">
      <c r="B114" s="271"/>
      <c r="C114" s="270"/>
      <c r="D114" s="270"/>
      <c r="E114" s="270"/>
      <c r="F114" s="270"/>
      <c r="H114" s="270"/>
    </row>
    <row r="115" spans="2:8">
      <c r="B115" s="271"/>
      <c r="C115" s="270"/>
      <c r="D115" s="270"/>
      <c r="E115" s="270"/>
      <c r="F115" s="270"/>
      <c r="H115" s="270"/>
    </row>
    <row r="116" spans="2:8">
      <c r="B116" s="271"/>
      <c r="C116" s="270"/>
      <c r="D116" s="270"/>
      <c r="E116" s="270"/>
      <c r="F116" s="270"/>
      <c r="H116" s="270"/>
    </row>
    <row r="117" spans="2:8">
      <c r="B117" s="271"/>
      <c r="C117" s="270"/>
      <c r="D117" s="270"/>
      <c r="E117" s="270"/>
      <c r="F117" s="270"/>
      <c r="H117" s="270"/>
    </row>
    <row r="118" spans="2:8">
      <c r="B118" s="271"/>
      <c r="C118" s="270"/>
      <c r="D118" s="270"/>
      <c r="E118" s="270"/>
      <c r="F118" s="270"/>
      <c r="H118" s="270"/>
    </row>
    <row r="119" spans="2:8">
      <c r="B119" s="271"/>
      <c r="C119" s="270"/>
      <c r="D119" s="270"/>
      <c r="E119" s="270"/>
      <c r="F119" s="270"/>
      <c r="H119" s="270"/>
    </row>
    <row r="120" spans="2:8">
      <c r="B120" s="271"/>
      <c r="C120" s="270"/>
      <c r="D120" s="270"/>
      <c r="E120" s="270"/>
      <c r="F120" s="270"/>
      <c r="H120" s="270"/>
    </row>
    <row r="121" spans="2:8">
      <c r="B121" s="271"/>
      <c r="C121" s="270"/>
      <c r="D121" s="270"/>
      <c r="E121" s="270"/>
      <c r="F121" s="270"/>
      <c r="H121" s="270"/>
    </row>
    <row r="122" spans="2:8">
      <c r="B122" s="271"/>
      <c r="C122" s="270"/>
      <c r="D122" s="270"/>
      <c r="E122" s="270"/>
      <c r="F122" s="270"/>
      <c r="H122" s="270"/>
    </row>
    <row r="123" spans="2:8">
      <c r="B123" s="271"/>
      <c r="C123" s="270"/>
      <c r="D123" s="270"/>
      <c r="E123" s="270"/>
      <c r="F123" s="270"/>
      <c r="H123" s="270"/>
    </row>
    <row r="124" spans="2:8">
      <c r="B124" s="271"/>
      <c r="C124" s="270"/>
      <c r="D124" s="270"/>
      <c r="E124" s="270"/>
      <c r="F124" s="270"/>
      <c r="H124" s="270"/>
    </row>
    <row r="125" spans="2:8">
      <c r="B125" s="271"/>
      <c r="C125" s="270"/>
      <c r="D125" s="270"/>
      <c r="E125" s="270"/>
      <c r="F125" s="270"/>
      <c r="H125" s="270"/>
    </row>
    <row r="126" spans="2:8">
      <c r="B126" s="271"/>
      <c r="C126" s="270"/>
      <c r="D126" s="270"/>
      <c r="E126" s="270"/>
      <c r="F126" s="270"/>
      <c r="H126" s="270"/>
    </row>
    <row r="127" spans="2:8">
      <c r="B127" s="271"/>
      <c r="C127" s="270"/>
      <c r="D127" s="270"/>
      <c r="E127" s="270"/>
      <c r="F127" s="270"/>
      <c r="H127" s="270"/>
    </row>
    <row r="128" spans="2:8">
      <c r="B128" s="271"/>
      <c r="C128" s="270"/>
      <c r="D128" s="270"/>
      <c r="E128" s="270"/>
      <c r="F128" s="270"/>
      <c r="H128" s="270"/>
    </row>
    <row r="129" spans="2:8">
      <c r="B129" s="271"/>
      <c r="C129" s="270"/>
      <c r="D129" s="270"/>
      <c r="E129" s="270"/>
      <c r="F129" s="270"/>
      <c r="H129" s="270"/>
    </row>
    <row r="130" spans="2:8">
      <c r="B130" s="271"/>
      <c r="C130" s="270"/>
      <c r="D130" s="270"/>
      <c r="E130" s="270"/>
      <c r="F130" s="270"/>
      <c r="H130" s="270"/>
    </row>
    <row r="131" spans="2:8">
      <c r="B131" s="271"/>
      <c r="C131" s="270"/>
      <c r="D131" s="270"/>
      <c r="E131" s="270"/>
      <c r="F131" s="270"/>
      <c r="H131" s="270"/>
    </row>
    <row r="132" spans="2:8">
      <c r="B132" s="271"/>
      <c r="C132" s="270"/>
      <c r="D132" s="270"/>
      <c r="E132" s="270"/>
      <c r="F132" s="270"/>
      <c r="H132" s="270"/>
    </row>
    <row r="133" spans="2:8">
      <c r="B133" s="271"/>
      <c r="C133" s="270"/>
      <c r="D133" s="270"/>
      <c r="E133" s="270"/>
      <c r="F133" s="270"/>
      <c r="H133" s="270"/>
    </row>
    <row r="134" spans="2:8">
      <c r="B134" s="271"/>
      <c r="C134" s="270"/>
      <c r="D134" s="270"/>
      <c r="E134" s="270"/>
      <c r="F134" s="270"/>
      <c r="H134" s="270"/>
    </row>
    <row r="135" spans="2:8">
      <c r="B135" s="271"/>
      <c r="C135" s="270"/>
      <c r="D135" s="270"/>
      <c r="E135" s="270"/>
      <c r="F135" s="270"/>
      <c r="H135" s="270"/>
    </row>
    <row r="136" spans="2:8">
      <c r="B136" s="271"/>
      <c r="C136" s="270"/>
      <c r="D136" s="270"/>
      <c r="E136" s="270"/>
      <c r="F136" s="270"/>
      <c r="H136" s="270"/>
    </row>
    <row r="137" spans="2:8">
      <c r="B137" s="271"/>
      <c r="C137" s="270"/>
      <c r="D137" s="270"/>
      <c r="E137" s="270"/>
      <c r="F137" s="270"/>
      <c r="H137" s="270"/>
    </row>
    <row r="138" spans="2:8">
      <c r="B138" s="271"/>
      <c r="C138" s="270"/>
      <c r="D138" s="270"/>
      <c r="E138" s="270"/>
      <c r="F138" s="270"/>
      <c r="H138" s="270"/>
    </row>
    <row r="139" spans="2:8">
      <c r="B139" s="271"/>
      <c r="C139" s="270"/>
      <c r="D139" s="270"/>
      <c r="E139" s="270"/>
      <c r="F139" s="270"/>
      <c r="H139" s="270"/>
    </row>
    <row r="140" spans="2:8">
      <c r="B140" s="271"/>
      <c r="C140" s="270"/>
      <c r="D140" s="270"/>
      <c r="E140" s="270"/>
      <c r="F140" s="270"/>
      <c r="H140" s="270"/>
    </row>
    <row r="141" spans="2:8">
      <c r="B141" s="271"/>
      <c r="C141" s="270"/>
      <c r="D141" s="270"/>
      <c r="E141" s="270"/>
      <c r="F141" s="270"/>
      <c r="H141" s="270"/>
    </row>
    <row r="142" spans="2:8">
      <c r="B142" s="271"/>
      <c r="C142" s="270"/>
      <c r="D142" s="270"/>
      <c r="E142" s="270"/>
      <c r="F142" s="270"/>
      <c r="H142" s="270"/>
    </row>
    <row r="143" spans="2:8">
      <c r="B143" s="271"/>
      <c r="C143" s="270"/>
      <c r="D143" s="270"/>
      <c r="E143" s="270"/>
      <c r="F143" s="270"/>
      <c r="H143" s="270"/>
    </row>
    <row r="144" spans="2:8">
      <c r="B144" s="271"/>
      <c r="C144" s="270"/>
      <c r="D144" s="270"/>
      <c r="E144" s="270"/>
      <c r="F144" s="270"/>
      <c r="H144" s="270"/>
    </row>
    <row r="145" spans="2:8">
      <c r="B145" s="271"/>
      <c r="C145" s="270"/>
      <c r="D145" s="270"/>
      <c r="E145" s="270"/>
      <c r="F145" s="270"/>
      <c r="H145" s="270"/>
    </row>
    <row r="146" spans="2:8">
      <c r="B146" s="271"/>
      <c r="C146" s="270"/>
      <c r="D146" s="270"/>
      <c r="E146" s="270"/>
      <c r="F146" s="270"/>
      <c r="H146" s="270"/>
    </row>
    <row r="147" spans="2:8">
      <c r="B147" s="271"/>
      <c r="C147" s="270"/>
      <c r="D147" s="270"/>
      <c r="E147" s="270"/>
      <c r="F147" s="270"/>
      <c r="H147" s="270"/>
    </row>
    <row r="148" spans="2:8">
      <c r="B148" s="271"/>
      <c r="C148" s="270"/>
      <c r="D148" s="270"/>
      <c r="E148" s="270"/>
      <c r="F148" s="270"/>
      <c r="H148" s="270"/>
    </row>
    <row r="149" spans="2:8">
      <c r="B149" s="271"/>
      <c r="C149" s="270"/>
      <c r="D149" s="270"/>
      <c r="E149" s="270"/>
      <c r="F149" s="270"/>
      <c r="H149" s="270"/>
    </row>
    <row r="150" spans="2:8">
      <c r="B150" s="271"/>
      <c r="C150" s="270"/>
      <c r="D150" s="270"/>
      <c r="E150" s="270"/>
      <c r="F150" s="270"/>
      <c r="H150" s="270"/>
    </row>
    <row r="151" spans="2:8">
      <c r="B151" s="271"/>
      <c r="C151" s="270"/>
      <c r="D151" s="270"/>
      <c r="E151" s="270"/>
      <c r="F151" s="270"/>
      <c r="H151" s="270"/>
    </row>
    <row r="152" spans="2:8">
      <c r="B152" s="271"/>
      <c r="C152" s="270"/>
      <c r="D152" s="270"/>
      <c r="E152" s="270"/>
      <c r="F152" s="270"/>
      <c r="H152" s="270"/>
    </row>
    <row r="153" spans="2:8">
      <c r="B153" s="271"/>
      <c r="C153" s="270"/>
      <c r="D153" s="270"/>
      <c r="E153" s="270"/>
      <c r="F153" s="270"/>
      <c r="H153" s="270"/>
    </row>
    <row r="154" spans="2:8">
      <c r="B154" s="271"/>
      <c r="C154" s="270"/>
      <c r="D154" s="270"/>
      <c r="E154" s="270"/>
      <c r="F154" s="270"/>
      <c r="H154" s="270"/>
    </row>
    <row r="155" spans="2:8">
      <c r="B155" s="271"/>
      <c r="C155" s="270"/>
      <c r="D155" s="270"/>
      <c r="E155" s="270"/>
      <c r="F155" s="270"/>
      <c r="H155" s="270"/>
    </row>
    <row r="156" spans="2:8">
      <c r="B156" s="271"/>
      <c r="C156" s="270"/>
      <c r="D156" s="270"/>
      <c r="E156" s="270"/>
      <c r="F156" s="270"/>
      <c r="H156" s="270"/>
    </row>
    <row r="157" spans="2:8">
      <c r="B157" s="271"/>
      <c r="C157" s="270"/>
      <c r="D157" s="270"/>
      <c r="E157" s="270"/>
      <c r="F157" s="270"/>
      <c r="H157" s="270"/>
    </row>
    <row r="158" spans="2:8">
      <c r="B158" s="271"/>
      <c r="C158" s="270"/>
      <c r="D158" s="270"/>
      <c r="E158" s="270"/>
      <c r="F158" s="270"/>
      <c r="H158" s="270"/>
    </row>
    <row r="159" spans="2:8">
      <c r="B159" s="271"/>
      <c r="C159" s="270"/>
      <c r="D159" s="270"/>
      <c r="E159" s="270"/>
      <c r="F159" s="270"/>
      <c r="H159" s="270"/>
    </row>
    <row r="160" spans="2:8">
      <c r="B160" s="271"/>
      <c r="C160" s="270"/>
      <c r="D160" s="270"/>
      <c r="E160" s="270"/>
      <c r="F160" s="270"/>
      <c r="H160" s="270"/>
    </row>
    <row r="161" spans="2:8">
      <c r="B161" s="271"/>
      <c r="C161" s="270"/>
      <c r="D161" s="270"/>
      <c r="E161" s="270"/>
      <c r="F161" s="270"/>
      <c r="H161" s="270"/>
    </row>
    <row r="162" spans="2:8">
      <c r="B162" s="271"/>
      <c r="C162" s="270"/>
      <c r="D162" s="270"/>
      <c r="E162" s="270"/>
      <c r="F162" s="270"/>
      <c r="H162" s="270"/>
    </row>
    <row r="163" spans="2:8">
      <c r="B163" s="271"/>
      <c r="C163" s="270"/>
      <c r="D163" s="270"/>
      <c r="E163" s="270"/>
      <c r="F163" s="270"/>
      <c r="H163" s="270"/>
    </row>
    <row r="164" spans="2:8">
      <c r="B164" s="271"/>
      <c r="C164" s="270"/>
      <c r="D164" s="270"/>
      <c r="E164" s="270"/>
      <c r="F164" s="270"/>
      <c r="H164" s="270"/>
    </row>
    <row r="165" spans="2:8">
      <c r="B165" s="271"/>
      <c r="C165" s="270"/>
      <c r="D165" s="270"/>
      <c r="E165" s="270"/>
      <c r="F165" s="270"/>
      <c r="H165" s="270"/>
    </row>
    <row r="166" spans="2:8">
      <c r="B166" s="271"/>
      <c r="C166" s="270"/>
      <c r="D166" s="270"/>
      <c r="E166" s="270"/>
      <c r="F166" s="270"/>
      <c r="H166" s="270"/>
    </row>
    <row r="167" spans="2:8">
      <c r="B167" s="271"/>
      <c r="C167" s="270"/>
      <c r="D167" s="270"/>
      <c r="E167" s="270"/>
      <c r="F167" s="270"/>
      <c r="H167" s="270"/>
    </row>
    <row r="168" spans="2:8">
      <c r="B168" s="271"/>
      <c r="C168" s="270"/>
      <c r="D168" s="270"/>
      <c r="E168" s="270"/>
      <c r="F168" s="270"/>
      <c r="H168" s="270"/>
    </row>
    <row r="169" spans="2:8">
      <c r="B169" s="271"/>
      <c r="C169" s="270"/>
      <c r="D169" s="270"/>
      <c r="E169" s="270"/>
      <c r="F169" s="270"/>
      <c r="H169" s="270"/>
    </row>
    <row r="170" spans="2:8">
      <c r="B170" s="271"/>
      <c r="C170" s="270"/>
      <c r="D170" s="270"/>
      <c r="E170" s="270"/>
      <c r="F170" s="270"/>
      <c r="H170" s="270"/>
    </row>
    <row r="171" spans="2:8">
      <c r="B171" s="271"/>
      <c r="C171" s="270"/>
      <c r="D171" s="270"/>
      <c r="E171" s="270"/>
      <c r="F171" s="270"/>
      <c r="H171" s="270"/>
    </row>
    <row r="172" spans="2:8">
      <c r="B172" s="271"/>
      <c r="C172" s="270"/>
      <c r="D172" s="270"/>
      <c r="E172" s="270"/>
      <c r="F172" s="270"/>
      <c r="H172" s="270"/>
    </row>
    <row r="173" spans="2:8">
      <c r="B173" s="271"/>
      <c r="C173" s="270"/>
      <c r="D173" s="270"/>
      <c r="E173" s="270"/>
      <c r="F173" s="270"/>
      <c r="H173" s="270"/>
    </row>
    <row r="174" spans="2:8">
      <c r="B174" s="271"/>
      <c r="C174" s="270"/>
      <c r="D174" s="270"/>
      <c r="E174" s="270"/>
      <c r="F174" s="270"/>
      <c r="H174" s="270"/>
    </row>
    <row r="175" spans="2:8">
      <c r="B175" s="271"/>
      <c r="C175" s="270"/>
      <c r="D175" s="270"/>
      <c r="E175" s="270"/>
      <c r="F175" s="270"/>
      <c r="H175" s="270"/>
    </row>
    <row r="176" spans="2:8">
      <c r="B176" s="271"/>
      <c r="C176" s="270"/>
      <c r="D176" s="270"/>
      <c r="E176" s="270"/>
      <c r="F176" s="270"/>
      <c r="H176" s="270"/>
    </row>
    <row r="177" spans="2:8">
      <c r="B177" s="271"/>
      <c r="C177" s="270"/>
      <c r="D177" s="270"/>
      <c r="E177" s="270"/>
      <c r="F177" s="270"/>
      <c r="H177" s="270"/>
    </row>
    <row r="178" spans="2:8">
      <c r="B178" s="271"/>
      <c r="C178" s="270"/>
      <c r="D178" s="270"/>
      <c r="E178" s="270"/>
      <c r="F178" s="270"/>
      <c r="H178" s="270"/>
    </row>
    <row r="179" spans="2:8">
      <c r="B179" s="271"/>
      <c r="C179" s="270"/>
      <c r="D179" s="270"/>
      <c r="E179" s="270"/>
      <c r="F179" s="270"/>
      <c r="H179" s="270"/>
    </row>
    <row r="180" spans="2:8">
      <c r="B180" s="271"/>
      <c r="C180" s="270"/>
      <c r="D180" s="270"/>
      <c r="E180" s="270"/>
      <c r="F180" s="270"/>
      <c r="H180" s="270"/>
    </row>
    <row r="181" spans="2:8">
      <c r="B181" s="271"/>
      <c r="C181" s="270"/>
      <c r="D181" s="270"/>
      <c r="E181" s="270"/>
      <c r="F181" s="270"/>
      <c r="H181" s="270"/>
    </row>
    <row r="182" spans="2:8">
      <c r="B182" s="271"/>
      <c r="C182" s="270"/>
      <c r="D182" s="270"/>
      <c r="E182" s="270"/>
      <c r="F182" s="270"/>
      <c r="H182" s="270"/>
    </row>
    <row r="183" spans="2:8">
      <c r="B183" s="271"/>
      <c r="C183" s="270"/>
      <c r="D183" s="270"/>
      <c r="E183" s="270"/>
      <c r="F183" s="270"/>
      <c r="H183" s="270"/>
    </row>
    <row r="184" spans="2:8">
      <c r="B184" s="271"/>
      <c r="C184" s="270"/>
      <c r="D184" s="270"/>
      <c r="E184" s="270"/>
      <c r="F184" s="270"/>
      <c r="H184" s="270"/>
    </row>
    <row r="185" spans="2:8">
      <c r="B185" s="271"/>
      <c r="C185" s="270"/>
      <c r="D185" s="270"/>
      <c r="E185" s="270"/>
      <c r="F185" s="270"/>
      <c r="H185" s="270"/>
    </row>
    <row r="186" spans="2:8">
      <c r="B186" s="271"/>
      <c r="C186" s="270"/>
      <c r="D186" s="270"/>
      <c r="E186" s="270"/>
      <c r="F186" s="270"/>
      <c r="H186" s="270"/>
    </row>
    <row r="187" spans="2:8">
      <c r="B187" s="271"/>
      <c r="C187" s="270"/>
      <c r="D187" s="270"/>
      <c r="E187" s="270"/>
      <c r="F187" s="270"/>
      <c r="H187" s="270"/>
    </row>
    <row r="188" spans="2:8">
      <c r="B188" s="271"/>
      <c r="C188" s="270"/>
      <c r="D188" s="270"/>
      <c r="E188" s="270"/>
      <c r="F188" s="270"/>
      <c r="H188" s="270"/>
    </row>
    <row r="189" spans="2:8">
      <c r="B189" s="271"/>
      <c r="C189" s="270"/>
      <c r="D189" s="270"/>
      <c r="E189" s="270"/>
      <c r="F189" s="270"/>
      <c r="H189" s="270"/>
    </row>
    <row r="190" spans="2:8">
      <c r="B190" s="271"/>
      <c r="C190" s="270"/>
      <c r="D190" s="270"/>
      <c r="E190" s="270"/>
      <c r="F190" s="270"/>
      <c r="H190" s="270"/>
    </row>
    <row r="191" spans="2:8">
      <c r="B191" s="271"/>
      <c r="C191" s="270"/>
      <c r="D191" s="270"/>
      <c r="E191" s="270"/>
      <c r="F191" s="270"/>
      <c r="H191" s="270"/>
    </row>
    <row r="192" spans="2:8">
      <c r="B192" s="271"/>
      <c r="C192" s="270"/>
      <c r="D192" s="270"/>
      <c r="E192" s="270"/>
      <c r="F192" s="270"/>
      <c r="H192" s="270"/>
    </row>
    <row r="193" spans="2:8">
      <c r="B193" s="271"/>
      <c r="C193" s="270"/>
      <c r="D193" s="270"/>
      <c r="E193" s="270"/>
      <c r="F193" s="270"/>
      <c r="H193" s="270"/>
    </row>
    <row r="194" spans="2:8">
      <c r="B194" s="271"/>
      <c r="C194" s="270"/>
      <c r="D194" s="270"/>
      <c r="E194" s="270"/>
      <c r="F194" s="270"/>
      <c r="H194" s="270"/>
    </row>
    <row r="195" spans="2:8">
      <c r="B195" s="271"/>
      <c r="C195" s="270"/>
      <c r="D195" s="270"/>
      <c r="E195" s="270"/>
      <c r="F195" s="270"/>
      <c r="H195" s="270"/>
    </row>
    <row r="196" spans="2:8">
      <c r="B196" s="271"/>
      <c r="C196" s="270"/>
      <c r="D196" s="270"/>
      <c r="E196" s="270"/>
      <c r="F196" s="270"/>
      <c r="H196" s="270"/>
    </row>
    <row r="197" spans="2:8">
      <c r="B197" s="271"/>
      <c r="C197" s="270"/>
      <c r="D197" s="270"/>
      <c r="E197" s="270"/>
      <c r="F197" s="270"/>
      <c r="H197" s="270"/>
    </row>
    <row r="198" spans="2:8">
      <c r="B198" s="271"/>
      <c r="C198" s="270"/>
      <c r="D198" s="270"/>
      <c r="E198" s="270"/>
      <c r="F198" s="270"/>
      <c r="H198" s="270"/>
    </row>
    <row r="199" spans="2:8">
      <c r="B199" s="271"/>
      <c r="C199" s="270"/>
      <c r="D199" s="270"/>
      <c r="E199" s="270"/>
      <c r="F199" s="270"/>
      <c r="H199" s="270"/>
    </row>
    <row r="200" spans="2:8">
      <c r="B200" s="271"/>
      <c r="C200" s="270"/>
      <c r="D200" s="270"/>
      <c r="E200" s="270"/>
      <c r="F200" s="270"/>
      <c r="H200" s="270"/>
    </row>
    <row r="201" spans="2:8">
      <c r="B201" s="271"/>
      <c r="C201" s="270"/>
      <c r="D201" s="270"/>
      <c r="E201" s="270"/>
      <c r="F201" s="270"/>
      <c r="H201" s="270"/>
    </row>
    <row r="202" spans="2:8">
      <c r="B202" s="271"/>
      <c r="C202" s="270"/>
      <c r="D202" s="270"/>
      <c r="E202" s="270"/>
      <c r="F202" s="270"/>
      <c r="H202" s="270"/>
    </row>
    <row r="203" spans="2:8">
      <c r="B203" s="271"/>
      <c r="C203" s="270"/>
      <c r="D203" s="270"/>
      <c r="E203" s="270"/>
      <c r="F203" s="270"/>
      <c r="H203" s="270"/>
    </row>
    <row r="204" spans="2:8">
      <c r="B204" s="271"/>
      <c r="C204" s="270"/>
      <c r="D204" s="270"/>
      <c r="E204" s="270"/>
      <c r="F204" s="270"/>
      <c r="H204" s="270"/>
    </row>
    <row r="205" spans="2:8">
      <c r="B205" s="271"/>
      <c r="C205" s="270"/>
      <c r="D205" s="270"/>
      <c r="E205" s="270"/>
      <c r="F205" s="270"/>
      <c r="H205" s="270"/>
    </row>
    <row r="206" spans="2:8">
      <c r="B206" s="271"/>
      <c r="C206" s="270"/>
      <c r="D206" s="270"/>
      <c r="E206" s="270"/>
      <c r="F206" s="270"/>
      <c r="H206" s="270"/>
    </row>
    <row r="207" spans="2:8">
      <c r="B207" s="271"/>
      <c r="C207" s="270"/>
      <c r="D207" s="270"/>
      <c r="E207" s="270"/>
      <c r="F207" s="270"/>
      <c r="H207" s="270"/>
    </row>
    <row r="208" spans="2:8">
      <c r="B208" s="271"/>
      <c r="C208" s="270"/>
      <c r="D208" s="270"/>
      <c r="E208" s="270"/>
      <c r="F208" s="270"/>
      <c r="H208" s="270"/>
    </row>
    <row r="209" spans="2:8">
      <c r="B209" s="271"/>
      <c r="C209" s="270"/>
      <c r="D209" s="270"/>
      <c r="E209" s="270"/>
      <c r="F209" s="270"/>
      <c r="H209" s="270"/>
    </row>
    <row r="210" spans="2:8">
      <c r="B210" s="271"/>
      <c r="C210" s="270"/>
      <c r="D210" s="270"/>
      <c r="E210" s="270"/>
      <c r="F210" s="270"/>
      <c r="H210" s="270"/>
    </row>
    <row r="211" spans="2:8">
      <c r="B211" s="271"/>
      <c r="C211" s="270"/>
      <c r="D211" s="270"/>
      <c r="E211" s="270"/>
      <c r="F211" s="270"/>
      <c r="H211" s="270"/>
    </row>
    <row r="212" spans="2:8">
      <c r="B212" s="271"/>
      <c r="C212" s="270"/>
      <c r="D212" s="270"/>
      <c r="E212" s="270"/>
      <c r="F212" s="270"/>
      <c r="H212" s="270"/>
    </row>
    <row r="213" spans="2:8">
      <c r="B213" s="271"/>
      <c r="C213" s="270"/>
      <c r="D213" s="270"/>
      <c r="E213" s="270"/>
      <c r="F213" s="270"/>
      <c r="H213" s="270"/>
    </row>
    <row r="214" spans="2:8">
      <c r="B214" s="271"/>
      <c r="C214" s="270"/>
      <c r="D214" s="270"/>
      <c r="E214" s="270"/>
      <c r="F214" s="270"/>
      <c r="H214" s="270"/>
    </row>
    <row r="215" spans="2:8">
      <c r="B215" s="271"/>
      <c r="C215" s="270"/>
      <c r="D215" s="270"/>
      <c r="E215" s="270"/>
      <c r="F215" s="270"/>
      <c r="H215" s="270"/>
    </row>
    <row r="216" spans="2:8">
      <c r="B216" s="271"/>
      <c r="C216" s="270"/>
      <c r="D216" s="270"/>
      <c r="E216" s="270"/>
      <c r="F216" s="270"/>
      <c r="H216" s="270"/>
    </row>
    <row r="217" spans="2:8">
      <c r="B217" s="271"/>
      <c r="C217" s="270"/>
      <c r="D217" s="270"/>
      <c r="E217" s="270"/>
      <c r="F217" s="270"/>
      <c r="H217" s="270"/>
    </row>
    <row r="218" spans="2:8">
      <c r="B218" s="271"/>
      <c r="C218" s="270"/>
      <c r="D218" s="270"/>
      <c r="E218" s="270"/>
      <c r="F218" s="270"/>
      <c r="H218" s="270"/>
    </row>
    <row r="219" spans="2:8">
      <c r="B219" s="271"/>
      <c r="C219" s="270"/>
      <c r="D219" s="270"/>
      <c r="E219" s="270"/>
      <c r="F219" s="270"/>
      <c r="H219" s="270"/>
    </row>
    <row r="220" spans="2:8">
      <c r="B220" s="271"/>
      <c r="C220" s="270"/>
      <c r="D220" s="270"/>
      <c r="E220" s="270"/>
      <c r="F220" s="270"/>
      <c r="H220" s="270"/>
    </row>
    <row r="221" spans="2:8">
      <c r="B221" s="271"/>
      <c r="C221" s="270"/>
      <c r="D221" s="270"/>
      <c r="E221" s="270"/>
      <c r="F221" s="270"/>
      <c r="H221" s="270"/>
    </row>
    <row r="222" spans="2:8">
      <c r="B222" s="271"/>
      <c r="C222" s="270"/>
      <c r="D222" s="270"/>
      <c r="E222" s="270"/>
      <c r="F222" s="270"/>
      <c r="H222" s="270"/>
    </row>
    <row r="223" spans="2:8">
      <c r="B223" s="271"/>
      <c r="C223" s="270"/>
      <c r="D223" s="270"/>
      <c r="E223" s="270"/>
      <c r="F223" s="270"/>
      <c r="H223" s="270"/>
    </row>
    <row r="224" spans="2:8">
      <c r="B224" s="271"/>
      <c r="C224" s="270"/>
      <c r="D224" s="270"/>
      <c r="E224" s="270"/>
      <c r="F224" s="270"/>
      <c r="H224" s="270"/>
    </row>
    <row r="225" spans="2:8">
      <c r="B225" s="271"/>
      <c r="C225" s="270"/>
      <c r="D225" s="270"/>
      <c r="E225" s="270"/>
      <c r="F225" s="270"/>
      <c r="H225" s="270"/>
    </row>
    <row r="226" spans="2:8">
      <c r="B226" s="271"/>
      <c r="C226" s="270"/>
      <c r="D226" s="270"/>
      <c r="E226" s="270"/>
      <c r="F226" s="270"/>
      <c r="H226" s="270"/>
    </row>
    <row r="227" spans="2:8">
      <c r="B227" s="271"/>
      <c r="C227" s="270"/>
      <c r="D227" s="270"/>
      <c r="E227" s="270"/>
      <c r="F227" s="270"/>
      <c r="H227" s="270"/>
    </row>
    <row r="228" spans="2:8">
      <c r="B228" s="271"/>
      <c r="C228" s="270"/>
      <c r="D228" s="270"/>
      <c r="E228" s="270"/>
      <c r="F228" s="270"/>
      <c r="H228" s="270"/>
    </row>
    <row r="229" spans="2:8">
      <c r="B229" s="271"/>
      <c r="C229" s="270"/>
      <c r="D229" s="270"/>
      <c r="E229" s="270"/>
      <c r="F229" s="270"/>
      <c r="H229" s="270"/>
    </row>
    <row r="230" spans="2:8">
      <c r="B230" s="271"/>
      <c r="C230" s="270"/>
      <c r="D230" s="270"/>
      <c r="E230" s="270"/>
      <c r="F230" s="270"/>
      <c r="H230" s="270"/>
    </row>
    <row r="231" spans="2:8">
      <c r="B231" s="271"/>
      <c r="C231" s="270"/>
      <c r="D231" s="270"/>
      <c r="E231" s="270"/>
      <c r="F231" s="270"/>
      <c r="H231" s="270"/>
    </row>
    <row r="232" spans="2:8">
      <c r="B232" s="271"/>
      <c r="C232" s="270"/>
      <c r="D232" s="270"/>
      <c r="E232" s="270"/>
      <c r="F232" s="270"/>
      <c r="H232" s="270"/>
    </row>
    <row r="233" spans="2:8">
      <c r="B233" s="271"/>
      <c r="C233" s="270"/>
      <c r="D233" s="270"/>
      <c r="E233" s="270"/>
      <c r="F233" s="270"/>
      <c r="H233" s="270"/>
    </row>
    <row r="234" spans="2:8">
      <c r="B234" s="271"/>
      <c r="C234" s="270"/>
      <c r="D234" s="270"/>
      <c r="E234" s="270"/>
      <c r="F234" s="270"/>
      <c r="H234" s="270"/>
    </row>
    <row r="235" spans="2:8">
      <c r="B235" s="271"/>
      <c r="C235" s="270"/>
      <c r="D235" s="270"/>
      <c r="E235" s="270"/>
      <c r="F235" s="270"/>
      <c r="H235" s="270"/>
    </row>
    <row r="236" spans="2:8">
      <c r="B236" s="271"/>
      <c r="C236" s="270"/>
      <c r="D236" s="270"/>
      <c r="E236" s="270"/>
      <c r="F236" s="270"/>
      <c r="H236" s="270"/>
    </row>
    <row r="237" spans="2:8">
      <c r="B237" s="271"/>
      <c r="C237" s="270"/>
      <c r="D237" s="270"/>
      <c r="E237" s="270"/>
      <c r="F237" s="270"/>
      <c r="H237" s="270"/>
    </row>
    <row r="238" spans="2:8">
      <c r="B238" s="271"/>
      <c r="C238" s="270"/>
      <c r="D238" s="270"/>
      <c r="E238" s="270"/>
      <c r="F238" s="270"/>
      <c r="H238" s="270"/>
    </row>
    <row r="239" spans="2:8">
      <c r="B239" s="271"/>
      <c r="C239" s="270"/>
      <c r="D239" s="270"/>
      <c r="E239" s="270"/>
      <c r="F239" s="270"/>
      <c r="H239" s="270"/>
    </row>
    <row r="240" spans="2:8">
      <c r="B240" s="271"/>
      <c r="C240" s="270"/>
      <c r="D240" s="270"/>
      <c r="E240" s="270"/>
      <c r="F240" s="270"/>
      <c r="H240" s="270"/>
    </row>
    <row r="241" spans="2:8">
      <c r="B241" s="271"/>
      <c r="C241" s="270"/>
      <c r="D241" s="270"/>
      <c r="E241" s="270"/>
      <c r="F241" s="270"/>
      <c r="H241" s="270"/>
    </row>
    <row r="242" spans="2:8">
      <c r="B242" s="271"/>
      <c r="C242" s="270"/>
      <c r="D242" s="270"/>
      <c r="E242" s="270"/>
      <c r="F242" s="270"/>
      <c r="H242" s="270"/>
    </row>
    <row r="243" spans="2:8">
      <c r="B243" s="271"/>
      <c r="C243" s="270"/>
      <c r="D243" s="270"/>
      <c r="E243" s="270"/>
      <c r="F243" s="270"/>
      <c r="H243" s="270"/>
    </row>
    <row r="244" spans="2:8">
      <c r="B244" s="271"/>
      <c r="C244" s="270"/>
      <c r="D244" s="270"/>
      <c r="E244" s="270"/>
      <c r="F244" s="270"/>
      <c r="H244" s="270"/>
    </row>
    <row r="245" spans="2:8">
      <c r="B245" s="271"/>
      <c r="C245" s="270"/>
      <c r="D245" s="270"/>
      <c r="E245" s="270"/>
      <c r="F245" s="270"/>
      <c r="H245" s="270"/>
    </row>
    <row r="246" spans="2:8">
      <c r="B246" s="271"/>
      <c r="C246" s="270"/>
      <c r="D246" s="270"/>
      <c r="E246" s="270"/>
      <c r="F246" s="270"/>
      <c r="H246" s="270"/>
    </row>
    <row r="247" spans="2:8">
      <c r="B247" s="271"/>
      <c r="C247" s="270"/>
      <c r="D247" s="270"/>
      <c r="E247" s="270"/>
      <c r="F247" s="270"/>
      <c r="H247" s="270"/>
    </row>
    <row r="248" spans="2:8">
      <c r="B248" s="271"/>
      <c r="C248" s="270"/>
      <c r="D248" s="270"/>
      <c r="E248" s="270"/>
      <c r="F248" s="270"/>
      <c r="H248" s="270"/>
    </row>
    <row r="249" spans="2:8">
      <c r="B249" s="271"/>
      <c r="C249" s="270"/>
      <c r="D249" s="270"/>
      <c r="E249" s="270"/>
      <c r="F249" s="270"/>
      <c r="H249" s="270"/>
    </row>
    <row r="250" spans="2:8">
      <c r="B250" s="271"/>
      <c r="C250" s="270"/>
      <c r="D250" s="270"/>
      <c r="E250" s="270"/>
      <c r="F250" s="270"/>
      <c r="H250" s="270"/>
    </row>
    <row r="251" spans="2:8">
      <c r="B251" s="271"/>
      <c r="C251" s="270"/>
      <c r="D251" s="270"/>
      <c r="E251" s="270"/>
      <c r="F251" s="270"/>
      <c r="H251" s="270"/>
    </row>
    <row r="252" spans="2:8">
      <c r="B252" s="271"/>
      <c r="C252" s="270"/>
      <c r="D252" s="270"/>
      <c r="E252" s="270"/>
      <c r="F252" s="270"/>
      <c r="H252" s="270"/>
    </row>
    <row r="253" spans="2:8">
      <c r="B253" s="271"/>
      <c r="C253" s="270"/>
      <c r="D253" s="270"/>
      <c r="E253" s="270"/>
      <c r="F253" s="270"/>
      <c r="H253" s="270"/>
    </row>
    <row r="254" spans="2:8">
      <c r="B254" s="271"/>
      <c r="C254" s="270"/>
      <c r="D254" s="270"/>
      <c r="E254" s="270"/>
      <c r="F254" s="270"/>
      <c r="H254" s="270"/>
    </row>
    <row r="255" spans="2:8">
      <c r="B255" s="271"/>
      <c r="C255" s="270"/>
      <c r="D255" s="270"/>
      <c r="E255" s="270"/>
      <c r="F255" s="270"/>
      <c r="H255" s="270"/>
    </row>
    <row r="256" spans="2:8">
      <c r="B256" s="271"/>
      <c r="C256" s="270"/>
      <c r="D256" s="270"/>
      <c r="E256" s="270"/>
      <c r="F256" s="270"/>
      <c r="H256" s="270"/>
    </row>
    <row r="257" spans="2:8">
      <c r="B257" s="271"/>
      <c r="C257" s="270"/>
      <c r="D257" s="270"/>
      <c r="E257" s="270"/>
      <c r="F257" s="270"/>
      <c r="H257" s="270"/>
    </row>
    <row r="258" spans="2:8">
      <c r="B258" s="271"/>
      <c r="C258" s="270"/>
      <c r="D258" s="270"/>
      <c r="E258" s="270"/>
      <c r="F258" s="270"/>
      <c r="H258" s="270"/>
    </row>
    <row r="259" spans="2:8">
      <c r="B259" s="271"/>
      <c r="C259" s="270"/>
      <c r="D259" s="270"/>
      <c r="E259" s="270"/>
      <c r="F259" s="270"/>
      <c r="H259" s="270"/>
    </row>
    <row r="260" spans="2:8">
      <c r="B260" s="271"/>
      <c r="C260" s="270"/>
      <c r="D260" s="270"/>
      <c r="E260" s="270"/>
      <c r="F260" s="270"/>
      <c r="H260" s="270"/>
    </row>
    <row r="261" spans="2:8">
      <c r="B261" s="271"/>
      <c r="C261" s="270"/>
      <c r="D261" s="270"/>
      <c r="E261" s="270"/>
      <c r="F261" s="270"/>
      <c r="H261" s="270"/>
    </row>
    <row r="262" spans="2:8">
      <c r="B262" s="271"/>
      <c r="C262" s="270"/>
      <c r="D262" s="270"/>
      <c r="E262" s="270"/>
      <c r="F262" s="270"/>
      <c r="H262" s="270"/>
    </row>
    <row r="263" spans="2:8">
      <c r="B263" s="271"/>
      <c r="C263" s="270"/>
      <c r="D263" s="270"/>
      <c r="E263" s="270"/>
      <c r="F263" s="270"/>
      <c r="H263" s="270"/>
    </row>
    <row r="264" spans="2:8">
      <c r="B264" s="271"/>
      <c r="C264" s="270"/>
      <c r="D264" s="270"/>
      <c r="E264" s="270"/>
      <c r="F264" s="270"/>
      <c r="H264" s="270"/>
    </row>
    <row r="265" spans="2:8">
      <c r="B265" s="271"/>
      <c r="C265" s="270"/>
      <c r="D265" s="270"/>
      <c r="E265" s="270"/>
      <c r="F265" s="270"/>
      <c r="H265" s="270"/>
    </row>
    <row r="266" spans="2:8">
      <c r="B266" s="271"/>
      <c r="C266" s="270"/>
      <c r="D266" s="270"/>
      <c r="E266" s="270"/>
      <c r="F266" s="270"/>
      <c r="H266" s="270"/>
    </row>
    <row r="267" spans="2:8">
      <c r="B267" s="271"/>
      <c r="C267" s="270"/>
      <c r="D267" s="270"/>
      <c r="E267" s="270"/>
      <c r="F267" s="270"/>
      <c r="H267" s="270"/>
    </row>
    <row r="268" spans="2:8">
      <c r="B268" s="271"/>
      <c r="C268" s="270"/>
      <c r="D268" s="270"/>
      <c r="E268" s="270"/>
      <c r="F268" s="270"/>
      <c r="H268" s="270"/>
    </row>
    <row r="269" spans="2:8">
      <c r="B269" s="271"/>
      <c r="C269" s="270"/>
      <c r="D269" s="270"/>
      <c r="E269" s="270"/>
      <c r="F269" s="270"/>
      <c r="H269" s="270"/>
    </row>
    <row r="270" spans="2:8">
      <c r="B270" s="271"/>
      <c r="C270" s="270"/>
      <c r="D270" s="270"/>
      <c r="E270" s="270"/>
      <c r="F270" s="270"/>
      <c r="H270" s="270"/>
    </row>
    <row r="271" spans="2:8">
      <c r="B271" s="271"/>
      <c r="C271" s="270"/>
      <c r="D271" s="270"/>
      <c r="E271" s="270"/>
      <c r="F271" s="270"/>
      <c r="H271" s="270"/>
    </row>
    <row r="272" spans="2:8">
      <c r="B272" s="271"/>
      <c r="C272" s="270"/>
      <c r="D272" s="270"/>
      <c r="E272" s="270"/>
      <c r="F272" s="270"/>
      <c r="H272" s="270"/>
    </row>
    <row r="273" spans="2:8">
      <c r="B273" s="271"/>
      <c r="C273" s="270"/>
      <c r="D273" s="270"/>
      <c r="E273" s="270"/>
      <c r="F273" s="270"/>
      <c r="H273" s="270"/>
    </row>
    <row r="274" spans="2:8">
      <c r="B274" s="271"/>
      <c r="C274" s="270"/>
      <c r="D274" s="270"/>
      <c r="E274" s="270"/>
      <c r="F274" s="270"/>
      <c r="H274" s="270"/>
    </row>
    <row r="275" spans="2:8">
      <c r="B275" s="271"/>
      <c r="C275" s="270"/>
      <c r="D275" s="270"/>
      <c r="E275" s="270"/>
      <c r="F275" s="270"/>
      <c r="H275" s="270"/>
    </row>
    <row r="276" spans="2:8">
      <c r="B276" s="271"/>
      <c r="C276" s="270"/>
      <c r="D276" s="270"/>
      <c r="E276" s="270"/>
      <c r="F276" s="270"/>
      <c r="H276" s="270"/>
    </row>
    <row r="277" spans="2:8">
      <c r="B277" s="271"/>
      <c r="C277" s="270"/>
      <c r="D277" s="270"/>
      <c r="E277" s="270"/>
      <c r="F277" s="270"/>
      <c r="H277" s="270"/>
    </row>
    <row r="278" spans="2:8">
      <c r="B278" s="271"/>
      <c r="C278" s="270"/>
      <c r="D278" s="270"/>
      <c r="E278" s="270"/>
      <c r="F278" s="270"/>
      <c r="H278" s="270"/>
    </row>
    <row r="279" spans="2:8">
      <c r="B279" s="271"/>
      <c r="C279" s="270"/>
      <c r="D279" s="270"/>
      <c r="E279" s="270"/>
      <c r="F279" s="270"/>
      <c r="H279" s="270"/>
    </row>
    <row r="280" spans="2:8">
      <c r="B280" s="271"/>
      <c r="C280" s="270"/>
      <c r="D280" s="270"/>
      <c r="E280" s="270"/>
      <c r="F280" s="270"/>
      <c r="H280" s="270"/>
    </row>
    <row r="281" spans="2:8">
      <c r="B281" s="271"/>
      <c r="C281" s="270"/>
      <c r="D281" s="270"/>
      <c r="E281" s="270"/>
      <c r="F281" s="270"/>
      <c r="H281" s="270"/>
    </row>
    <row r="282" spans="2:8">
      <c r="B282" s="271"/>
      <c r="C282" s="270"/>
      <c r="D282" s="270"/>
      <c r="E282" s="270"/>
      <c r="F282" s="270"/>
      <c r="H282" s="270"/>
    </row>
    <row r="283" spans="2:8">
      <c r="B283" s="271"/>
      <c r="C283" s="270"/>
      <c r="D283" s="270"/>
      <c r="E283" s="270"/>
      <c r="F283" s="270"/>
      <c r="H283" s="270"/>
    </row>
    <row r="284" spans="2:8">
      <c r="B284" s="271"/>
      <c r="C284" s="270"/>
      <c r="D284" s="270"/>
      <c r="E284" s="270"/>
      <c r="F284" s="270"/>
      <c r="H284" s="270"/>
    </row>
    <row r="285" spans="2:8">
      <c r="B285" s="271"/>
      <c r="C285" s="270"/>
      <c r="D285" s="270"/>
      <c r="E285" s="270"/>
      <c r="F285" s="270"/>
      <c r="H285" s="270"/>
    </row>
    <row r="286" spans="2:8">
      <c r="B286" s="271"/>
      <c r="C286" s="270"/>
      <c r="D286" s="270"/>
      <c r="E286" s="270"/>
      <c r="F286" s="270"/>
      <c r="H286" s="270"/>
    </row>
    <row r="287" spans="2:8">
      <c r="B287" s="271"/>
      <c r="C287" s="270"/>
      <c r="D287" s="270"/>
      <c r="E287" s="270"/>
      <c r="F287" s="270"/>
      <c r="H287" s="270"/>
    </row>
    <row r="288" spans="2:8">
      <c r="B288" s="271"/>
      <c r="C288" s="270"/>
      <c r="D288" s="270"/>
      <c r="E288" s="270"/>
      <c r="F288" s="270"/>
      <c r="H288" s="270"/>
    </row>
    <row r="289" spans="2:8">
      <c r="B289" s="271"/>
      <c r="C289" s="270"/>
      <c r="D289" s="270"/>
      <c r="E289" s="270"/>
      <c r="F289" s="270"/>
      <c r="H289" s="270"/>
    </row>
    <row r="290" spans="2:8">
      <c r="B290" s="271"/>
      <c r="C290" s="270"/>
      <c r="D290" s="270"/>
      <c r="E290" s="270"/>
      <c r="F290" s="270"/>
      <c r="H290" s="270"/>
    </row>
    <row r="291" spans="2:8">
      <c r="B291" s="271"/>
      <c r="C291" s="270"/>
      <c r="D291" s="270"/>
      <c r="E291" s="270"/>
      <c r="F291" s="270"/>
      <c r="H291" s="270"/>
    </row>
    <row r="292" spans="2:8">
      <c r="B292" s="271"/>
      <c r="C292" s="270"/>
      <c r="D292" s="270"/>
      <c r="E292" s="270"/>
      <c r="F292" s="270"/>
      <c r="H292" s="270"/>
    </row>
    <row r="293" spans="2:8">
      <c r="B293" s="271"/>
      <c r="C293" s="270"/>
      <c r="D293" s="270"/>
      <c r="E293" s="270"/>
      <c r="F293" s="270"/>
      <c r="H293" s="270"/>
    </row>
    <row r="294" spans="2:8">
      <c r="B294" s="271"/>
      <c r="C294" s="270"/>
      <c r="D294" s="270"/>
      <c r="E294" s="270"/>
      <c r="F294" s="270"/>
      <c r="H294" s="270"/>
    </row>
    <row r="295" spans="2:8">
      <c r="B295" s="271"/>
      <c r="C295" s="270"/>
      <c r="D295" s="270"/>
      <c r="E295" s="270"/>
      <c r="F295" s="270"/>
      <c r="H295" s="270"/>
    </row>
    <row r="296" spans="2:8">
      <c r="B296" s="271"/>
      <c r="C296" s="270"/>
      <c r="D296" s="270"/>
      <c r="E296" s="270"/>
      <c r="F296" s="270"/>
      <c r="H296" s="270"/>
    </row>
    <row r="297" spans="2:8">
      <c r="B297" s="271"/>
      <c r="C297" s="270"/>
      <c r="D297" s="270"/>
      <c r="E297" s="270"/>
      <c r="F297" s="270"/>
      <c r="H297" s="270"/>
    </row>
    <row r="298" spans="2:8">
      <c r="B298" s="271"/>
      <c r="C298" s="270"/>
      <c r="D298" s="270"/>
      <c r="E298" s="270"/>
      <c r="F298" s="270"/>
      <c r="H298" s="270"/>
    </row>
    <row r="299" spans="2:8">
      <c r="B299" s="271"/>
      <c r="C299" s="270"/>
      <c r="D299" s="270"/>
      <c r="E299" s="270"/>
      <c r="F299" s="270"/>
      <c r="H299" s="270"/>
    </row>
    <row r="300" spans="2:8">
      <c r="B300" s="271"/>
      <c r="C300" s="270"/>
      <c r="D300" s="270"/>
      <c r="E300" s="270"/>
      <c r="F300" s="270"/>
      <c r="H300" s="270"/>
    </row>
    <row r="301" spans="2:8">
      <c r="B301" s="271"/>
      <c r="C301" s="270"/>
      <c r="D301" s="270"/>
      <c r="E301" s="270"/>
      <c r="F301" s="270"/>
      <c r="H301" s="270"/>
    </row>
    <row r="302" spans="2:8">
      <c r="B302" s="271"/>
      <c r="C302" s="270"/>
      <c r="D302" s="270"/>
      <c r="E302" s="270"/>
      <c r="F302" s="270"/>
      <c r="H302" s="270"/>
    </row>
    <row r="303" spans="2:8">
      <c r="B303" s="271"/>
      <c r="C303" s="270"/>
      <c r="D303" s="270"/>
      <c r="E303" s="270"/>
      <c r="F303" s="270"/>
      <c r="H303" s="270"/>
    </row>
    <row r="304" spans="2:8">
      <c r="B304" s="271"/>
      <c r="C304" s="270"/>
      <c r="D304" s="270"/>
      <c r="E304" s="270"/>
      <c r="F304" s="270"/>
      <c r="H304" s="270"/>
    </row>
    <row r="305" spans="2:8">
      <c r="B305" s="271"/>
      <c r="C305" s="270"/>
      <c r="D305" s="270"/>
      <c r="E305" s="270"/>
      <c r="F305" s="270"/>
      <c r="H305" s="270"/>
    </row>
    <row r="306" spans="2:8">
      <c r="B306" s="271"/>
      <c r="C306" s="270"/>
      <c r="D306" s="270"/>
      <c r="E306" s="270"/>
      <c r="F306" s="270"/>
      <c r="H306" s="270"/>
    </row>
    <row r="307" spans="2:8">
      <c r="B307" s="271"/>
      <c r="C307" s="270"/>
      <c r="D307" s="270"/>
      <c r="E307" s="270"/>
      <c r="F307" s="270"/>
      <c r="H307" s="270"/>
    </row>
    <row r="308" spans="2:8">
      <c r="B308" s="271"/>
      <c r="C308" s="270"/>
      <c r="D308" s="270"/>
      <c r="E308" s="270"/>
      <c r="F308" s="270"/>
      <c r="H308" s="270"/>
    </row>
    <row r="309" spans="2:8">
      <c r="B309" s="271"/>
      <c r="C309" s="270"/>
      <c r="D309" s="270"/>
      <c r="E309" s="270"/>
      <c r="F309" s="270"/>
      <c r="H309" s="270"/>
    </row>
    <row r="310" spans="2:8">
      <c r="B310" s="271"/>
      <c r="C310" s="270"/>
      <c r="D310" s="270"/>
      <c r="E310" s="270"/>
      <c r="F310" s="270"/>
      <c r="H310" s="270"/>
    </row>
    <row r="311" spans="2:8">
      <c r="B311" s="271"/>
      <c r="C311" s="270"/>
      <c r="D311" s="270"/>
      <c r="E311" s="270"/>
      <c r="F311" s="270"/>
      <c r="H311" s="270"/>
    </row>
    <row r="312" spans="2:8">
      <c r="B312" s="271"/>
      <c r="C312" s="270"/>
      <c r="D312" s="270"/>
      <c r="E312" s="270"/>
      <c r="F312" s="270"/>
      <c r="H312" s="270"/>
    </row>
    <row r="313" spans="2:8">
      <c r="B313" s="271"/>
      <c r="C313" s="270"/>
      <c r="D313" s="270"/>
      <c r="E313" s="270"/>
      <c r="F313" s="270"/>
      <c r="H313" s="270"/>
    </row>
    <row r="314" spans="2:8">
      <c r="B314" s="271"/>
      <c r="C314" s="270"/>
      <c r="D314" s="270"/>
      <c r="E314" s="270"/>
      <c r="F314" s="270"/>
      <c r="H314" s="270"/>
    </row>
    <row r="315" spans="2:8">
      <c r="B315" s="271"/>
      <c r="C315" s="270"/>
      <c r="D315" s="270"/>
      <c r="E315" s="270"/>
      <c r="F315" s="270"/>
      <c r="H315" s="270"/>
    </row>
    <row r="316" spans="2:8">
      <c r="B316" s="271"/>
      <c r="C316" s="270"/>
      <c r="D316" s="270"/>
      <c r="E316" s="270"/>
      <c r="F316" s="270"/>
      <c r="H316" s="270"/>
    </row>
    <row r="317" spans="2:8">
      <c r="B317" s="271"/>
      <c r="C317" s="270"/>
      <c r="D317" s="270"/>
      <c r="E317" s="270"/>
      <c r="F317" s="270"/>
      <c r="H317" s="270"/>
    </row>
    <row r="318" spans="2:8">
      <c r="B318" s="271"/>
      <c r="C318" s="270"/>
      <c r="D318" s="270"/>
      <c r="E318" s="270"/>
      <c r="F318" s="270"/>
      <c r="H318" s="270"/>
    </row>
    <row r="319" spans="2:8">
      <c r="B319" s="271"/>
      <c r="C319" s="270"/>
      <c r="D319" s="270"/>
      <c r="E319" s="270"/>
      <c r="F319" s="270"/>
      <c r="H319" s="270"/>
    </row>
    <row r="320" spans="2:8">
      <c r="B320" s="271"/>
      <c r="C320" s="270"/>
      <c r="D320" s="270"/>
      <c r="E320" s="270"/>
      <c r="F320" s="270"/>
      <c r="H320" s="270"/>
    </row>
    <row r="321" spans="2:8">
      <c r="B321" s="271"/>
      <c r="C321" s="270"/>
      <c r="D321" s="270"/>
      <c r="E321" s="270"/>
      <c r="F321" s="270"/>
      <c r="H321" s="270"/>
    </row>
    <row r="322" spans="2:8">
      <c r="B322" s="271"/>
      <c r="C322" s="270"/>
      <c r="D322" s="270"/>
      <c r="E322" s="270"/>
      <c r="F322" s="270"/>
      <c r="H322" s="270"/>
    </row>
    <row r="323" spans="2:8">
      <c r="B323" s="271"/>
      <c r="C323" s="270"/>
      <c r="D323" s="270"/>
      <c r="E323" s="270"/>
      <c r="F323" s="270"/>
      <c r="H323" s="270"/>
    </row>
    <row r="324" spans="2:8">
      <c r="B324" s="271"/>
      <c r="C324" s="270"/>
      <c r="D324" s="270"/>
      <c r="E324" s="270"/>
      <c r="F324" s="270"/>
      <c r="H324" s="270"/>
    </row>
    <row r="325" spans="2:8">
      <c r="B325" s="271"/>
      <c r="C325" s="270"/>
      <c r="D325" s="270"/>
      <c r="E325" s="270"/>
      <c r="F325" s="270"/>
      <c r="H325" s="270"/>
    </row>
    <row r="326" spans="2:8">
      <c r="B326" s="271"/>
      <c r="C326" s="270"/>
      <c r="D326" s="270"/>
      <c r="E326" s="270"/>
      <c r="F326" s="270"/>
      <c r="H326" s="270"/>
    </row>
    <row r="327" spans="2:8">
      <c r="B327" s="271"/>
      <c r="C327" s="270"/>
      <c r="D327" s="270"/>
      <c r="E327" s="270"/>
      <c r="F327" s="270"/>
      <c r="H327" s="270"/>
    </row>
    <row r="328" spans="2:8">
      <c r="B328" s="271"/>
      <c r="C328" s="270"/>
      <c r="D328" s="270"/>
      <c r="E328" s="270"/>
      <c r="F328" s="270"/>
      <c r="H328" s="270"/>
    </row>
    <row r="329" spans="2:8">
      <c r="B329" s="271"/>
      <c r="C329" s="270"/>
      <c r="D329" s="270"/>
      <c r="E329" s="270"/>
      <c r="F329" s="270"/>
      <c r="H329" s="270"/>
    </row>
    <row r="330" spans="2:8">
      <c r="B330" s="271"/>
      <c r="C330" s="270"/>
      <c r="D330" s="270"/>
      <c r="E330" s="270"/>
      <c r="F330" s="270"/>
      <c r="H330" s="270"/>
    </row>
    <row r="331" spans="2:8">
      <c r="B331" s="271"/>
      <c r="C331" s="270"/>
      <c r="D331" s="270"/>
      <c r="E331" s="270"/>
      <c r="F331" s="270"/>
      <c r="H331" s="270"/>
    </row>
    <row r="332" spans="2:8">
      <c r="B332" s="271"/>
      <c r="C332" s="270"/>
      <c r="D332" s="270"/>
      <c r="E332" s="270"/>
      <c r="F332" s="270"/>
      <c r="H332" s="270"/>
    </row>
    <row r="333" spans="2:8">
      <c r="B333" s="271"/>
      <c r="C333" s="270"/>
      <c r="D333" s="270"/>
      <c r="E333" s="270"/>
      <c r="F333" s="270"/>
      <c r="H333" s="270"/>
    </row>
    <row r="334" spans="2:8">
      <c r="B334" s="271"/>
      <c r="C334" s="270"/>
      <c r="D334" s="270"/>
      <c r="E334" s="270"/>
      <c r="F334" s="270"/>
      <c r="H334" s="270"/>
    </row>
    <row r="335" spans="2:8">
      <c r="B335" s="271"/>
      <c r="C335" s="270"/>
      <c r="D335" s="270"/>
      <c r="E335" s="270"/>
      <c r="F335" s="270"/>
      <c r="H335" s="270"/>
    </row>
    <row r="336" spans="2:8">
      <c r="B336" s="271"/>
      <c r="C336" s="270"/>
      <c r="D336" s="270"/>
      <c r="E336" s="270"/>
      <c r="F336" s="270"/>
      <c r="H336" s="270"/>
    </row>
    <row r="337" spans="2:8">
      <c r="B337" s="271"/>
      <c r="C337" s="270"/>
      <c r="D337" s="270"/>
      <c r="E337" s="270"/>
      <c r="F337" s="270"/>
      <c r="H337" s="270"/>
    </row>
    <row r="338" spans="2:8">
      <c r="B338" s="271"/>
      <c r="C338" s="270"/>
      <c r="D338" s="270"/>
      <c r="E338" s="270"/>
      <c r="F338" s="270"/>
      <c r="H338" s="270"/>
    </row>
    <row r="339" spans="2:8">
      <c r="B339" s="271"/>
      <c r="C339" s="270"/>
      <c r="D339" s="270"/>
      <c r="E339" s="270"/>
      <c r="F339" s="270"/>
      <c r="H339" s="270"/>
    </row>
    <row r="340" spans="2:8">
      <c r="B340" s="271"/>
      <c r="C340" s="270"/>
      <c r="D340" s="270"/>
      <c r="E340" s="270"/>
      <c r="F340" s="270"/>
      <c r="H340" s="270"/>
    </row>
    <row r="341" spans="2:8">
      <c r="B341" s="271"/>
      <c r="C341" s="270"/>
      <c r="D341" s="270"/>
      <c r="E341" s="270"/>
      <c r="F341" s="270"/>
      <c r="H341" s="270"/>
    </row>
    <row r="342" spans="2:8">
      <c r="B342" s="271"/>
      <c r="C342" s="270"/>
      <c r="D342" s="270"/>
      <c r="E342" s="270"/>
      <c r="F342" s="270"/>
      <c r="H342" s="270"/>
    </row>
    <row r="343" spans="2:8">
      <c r="B343" s="271"/>
      <c r="C343" s="270"/>
      <c r="D343" s="270"/>
      <c r="E343" s="270"/>
      <c r="F343" s="270"/>
      <c r="H343" s="270"/>
    </row>
    <row r="344" spans="2:8">
      <c r="B344" s="271"/>
      <c r="C344" s="270"/>
      <c r="D344" s="270"/>
      <c r="E344" s="270"/>
      <c r="F344" s="270"/>
      <c r="H344" s="270"/>
    </row>
    <row r="345" spans="2:8">
      <c r="B345" s="271"/>
      <c r="C345" s="270"/>
      <c r="D345" s="270"/>
      <c r="E345" s="270"/>
      <c r="F345" s="270"/>
      <c r="H345" s="270"/>
    </row>
    <row r="346" spans="2:8">
      <c r="B346" s="271"/>
      <c r="C346" s="270"/>
      <c r="D346" s="270"/>
      <c r="E346" s="270"/>
      <c r="F346" s="270"/>
      <c r="H346" s="270"/>
    </row>
    <row r="347" spans="2:8">
      <c r="B347" s="271"/>
      <c r="C347" s="270"/>
      <c r="D347" s="270"/>
      <c r="E347" s="270"/>
      <c r="F347" s="270"/>
      <c r="H347" s="270"/>
    </row>
    <row r="348" spans="2:8">
      <c r="B348" s="271"/>
      <c r="C348" s="270"/>
      <c r="D348" s="270"/>
      <c r="E348" s="270"/>
      <c r="F348" s="270"/>
      <c r="H348" s="270"/>
    </row>
    <row r="349" spans="2:8">
      <c r="B349" s="271"/>
      <c r="C349" s="270"/>
      <c r="D349" s="270"/>
      <c r="E349" s="270"/>
      <c r="F349" s="270"/>
      <c r="H349" s="270"/>
    </row>
    <row r="350" spans="2:8">
      <c r="B350" s="271"/>
      <c r="C350" s="270"/>
      <c r="D350" s="270"/>
      <c r="E350" s="270"/>
      <c r="F350" s="270"/>
      <c r="H350" s="270"/>
    </row>
    <row r="351" spans="2:8">
      <c r="B351" s="271"/>
      <c r="C351" s="270"/>
      <c r="D351" s="270"/>
      <c r="E351" s="270"/>
      <c r="F351" s="270"/>
      <c r="H351" s="270"/>
    </row>
    <row r="352" spans="2:8">
      <c r="B352" s="271"/>
      <c r="C352" s="270"/>
      <c r="D352" s="270"/>
      <c r="E352" s="270"/>
      <c r="F352" s="270"/>
      <c r="H352" s="270"/>
    </row>
    <row r="353" spans="2:8">
      <c r="B353" s="271"/>
      <c r="C353" s="270"/>
      <c r="D353" s="270"/>
      <c r="E353" s="270"/>
      <c r="F353" s="270"/>
      <c r="H353" s="270"/>
    </row>
    <row r="354" spans="2:8">
      <c r="B354" s="271"/>
      <c r="C354" s="270"/>
      <c r="D354" s="270"/>
      <c r="E354" s="270"/>
      <c r="F354" s="270"/>
      <c r="H354" s="270"/>
    </row>
    <row r="355" spans="2:8">
      <c r="B355" s="271"/>
      <c r="C355" s="270"/>
      <c r="D355" s="270"/>
      <c r="E355" s="270"/>
      <c r="F355" s="270"/>
      <c r="H355" s="270"/>
    </row>
    <row r="356" spans="2:8">
      <c r="B356" s="271"/>
      <c r="C356" s="270"/>
      <c r="D356" s="270"/>
      <c r="E356" s="270"/>
      <c r="F356" s="270"/>
      <c r="H356" s="270"/>
    </row>
    <row r="357" spans="2:8">
      <c r="B357" s="271"/>
      <c r="C357" s="270"/>
      <c r="D357" s="270"/>
      <c r="E357" s="270"/>
      <c r="F357" s="270"/>
      <c r="H357" s="270"/>
    </row>
    <row r="358" spans="2:8">
      <c r="B358" s="271"/>
      <c r="C358" s="270"/>
      <c r="D358" s="270"/>
      <c r="E358" s="270"/>
      <c r="F358" s="270"/>
      <c r="H358" s="270"/>
    </row>
    <row r="359" spans="2:8">
      <c r="B359" s="271"/>
      <c r="C359" s="270"/>
      <c r="D359" s="270"/>
      <c r="E359" s="270"/>
      <c r="F359" s="270"/>
      <c r="H359" s="270"/>
    </row>
    <row r="360" spans="2:8">
      <c r="B360" s="271"/>
      <c r="C360" s="270"/>
      <c r="D360" s="270"/>
      <c r="E360" s="270"/>
      <c r="F360" s="270"/>
      <c r="H360" s="270"/>
    </row>
    <row r="361" spans="2:8">
      <c r="B361" s="271"/>
      <c r="C361" s="270"/>
      <c r="D361" s="270"/>
      <c r="E361" s="270"/>
      <c r="F361" s="270"/>
      <c r="H361" s="270"/>
    </row>
    <row r="362" spans="2:8">
      <c r="B362" s="271"/>
      <c r="C362" s="270"/>
      <c r="D362" s="270"/>
      <c r="E362" s="270"/>
      <c r="F362" s="270"/>
      <c r="H362" s="270"/>
    </row>
    <row r="363" spans="2:8">
      <c r="B363" s="271"/>
      <c r="C363" s="270"/>
      <c r="D363" s="270"/>
      <c r="E363" s="270"/>
      <c r="F363" s="270"/>
      <c r="H363" s="270"/>
    </row>
    <row r="364" spans="2:8">
      <c r="B364" s="271"/>
      <c r="C364" s="270"/>
      <c r="D364" s="270"/>
      <c r="E364" s="270"/>
      <c r="F364" s="270"/>
      <c r="H364" s="270"/>
    </row>
    <row r="365" spans="2:8">
      <c r="B365" s="271"/>
      <c r="C365" s="270"/>
      <c r="D365" s="270"/>
      <c r="E365" s="270"/>
      <c r="F365" s="270"/>
      <c r="H365" s="270"/>
    </row>
    <row r="366" spans="2:8">
      <c r="B366" s="271"/>
      <c r="C366" s="270"/>
      <c r="D366" s="270"/>
      <c r="E366" s="270"/>
      <c r="F366" s="270"/>
      <c r="H366" s="270"/>
    </row>
    <row r="367" spans="2:8">
      <c r="B367" s="271"/>
      <c r="C367" s="270"/>
      <c r="D367" s="270"/>
      <c r="E367" s="270"/>
      <c r="F367" s="270"/>
      <c r="H367" s="270"/>
    </row>
    <row r="368" spans="2:8">
      <c r="B368" s="271"/>
      <c r="C368" s="270"/>
      <c r="D368" s="270"/>
      <c r="E368" s="270"/>
      <c r="F368" s="270"/>
      <c r="H368" s="270"/>
    </row>
    <row r="369" spans="2:8">
      <c r="B369" s="271"/>
      <c r="C369" s="270"/>
      <c r="D369" s="270"/>
      <c r="E369" s="270"/>
      <c r="F369" s="270"/>
      <c r="H369" s="270"/>
    </row>
    <row r="370" spans="2:8">
      <c r="B370" s="271"/>
      <c r="C370" s="270"/>
      <c r="D370" s="270"/>
      <c r="E370" s="270"/>
      <c r="F370" s="270"/>
      <c r="H370" s="270"/>
    </row>
    <row r="371" spans="2:8">
      <c r="B371" s="271"/>
      <c r="C371" s="270"/>
      <c r="D371" s="270"/>
      <c r="E371" s="270"/>
      <c r="F371" s="270"/>
      <c r="H371" s="270"/>
    </row>
    <row r="372" spans="2:8">
      <c r="B372" s="271"/>
      <c r="C372" s="270"/>
      <c r="D372" s="270"/>
      <c r="E372" s="270"/>
      <c r="F372" s="270"/>
      <c r="H372" s="270"/>
    </row>
    <row r="373" spans="2:8">
      <c r="B373" s="271"/>
      <c r="C373" s="270"/>
      <c r="D373" s="270"/>
      <c r="E373" s="270"/>
      <c r="F373" s="270"/>
      <c r="H373" s="270"/>
    </row>
    <row r="374" spans="2:8">
      <c r="B374" s="271"/>
      <c r="C374" s="270"/>
      <c r="D374" s="270"/>
      <c r="E374" s="270"/>
      <c r="F374" s="270"/>
      <c r="H374" s="270"/>
    </row>
    <row r="375" spans="2:8">
      <c r="B375" s="271"/>
      <c r="C375" s="270"/>
      <c r="D375" s="270"/>
      <c r="E375" s="270"/>
      <c r="F375" s="270"/>
      <c r="H375" s="270"/>
    </row>
    <row r="376" spans="2:8">
      <c r="B376" s="271"/>
      <c r="C376" s="270"/>
      <c r="D376" s="270"/>
      <c r="E376" s="270"/>
      <c r="F376" s="270"/>
      <c r="H376" s="270"/>
    </row>
    <row r="377" spans="2:8">
      <c r="B377" s="271"/>
      <c r="C377" s="270"/>
      <c r="D377" s="270"/>
      <c r="E377" s="270"/>
      <c r="F377" s="270"/>
      <c r="H377" s="270"/>
    </row>
    <row r="378" spans="2:8">
      <c r="B378" s="271"/>
      <c r="C378" s="270"/>
      <c r="D378" s="270"/>
      <c r="E378" s="270"/>
      <c r="F378" s="270"/>
      <c r="H378" s="270"/>
    </row>
    <row r="379" spans="2:8">
      <c r="B379" s="271"/>
      <c r="C379" s="270"/>
      <c r="D379" s="270"/>
      <c r="E379" s="270"/>
      <c r="F379" s="270"/>
      <c r="H379" s="270"/>
    </row>
    <row r="380" spans="2:8">
      <c r="B380" s="271"/>
      <c r="C380" s="270"/>
      <c r="D380" s="270"/>
      <c r="E380" s="270"/>
      <c r="F380" s="270"/>
      <c r="H380" s="270"/>
    </row>
    <row r="381" spans="2:8">
      <c r="B381" s="271"/>
      <c r="C381" s="270"/>
      <c r="D381" s="270"/>
      <c r="E381" s="270"/>
      <c r="F381" s="270"/>
      <c r="H381" s="270"/>
    </row>
    <row r="382" spans="2:8">
      <c r="B382" s="271"/>
      <c r="C382" s="270"/>
      <c r="D382" s="270"/>
      <c r="E382" s="270"/>
      <c r="F382" s="270"/>
      <c r="H382" s="270"/>
    </row>
    <row r="383" spans="2:8">
      <c r="B383" s="271"/>
      <c r="C383" s="270"/>
      <c r="D383" s="270"/>
      <c r="E383" s="270"/>
      <c r="F383" s="270"/>
      <c r="H383" s="270"/>
    </row>
    <row r="384" spans="2:8">
      <c r="B384" s="271"/>
      <c r="C384" s="270"/>
      <c r="D384" s="270"/>
      <c r="E384" s="270"/>
      <c r="F384" s="270"/>
      <c r="H384" s="270"/>
    </row>
    <row r="385" spans="2:8">
      <c r="B385" s="271"/>
      <c r="C385" s="270"/>
      <c r="D385" s="270"/>
      <c r="E385" s="270"/>
      <c r="F385" s="270"/>
      <c r="H385" s="270"/>
    </row>
    <row r="386" spans="2:8">
      <c r="B386" s="271"/>
      <c r="C386" s="270"/>
      <c r="D386" s="270"/>
      <c r="E386" s="270"/>
      <c r="F386" s="270"/>
      <c r="H386" s="270"/>
    </row>
    <row r="387" spans="2:8">
      <c r="B387" s="271"/>
      <c r="C387" s="270"/>
      <c r="D387" s="270"/>
      <c r="E387" s="270"/>
      <c r="F387" s="270"/>
      <c r="H387" s="270"/>
    </row>
    <row r="388" spans="2:8">
      <c r="B388" s="271"/>
      <c r="C388" s="270"/>
      <c r="D388" s="270"/>
      <c r="E388" s="270"/>
      <c r="F388" s="270"/>
      <c r="H388" s="270"/>
    </row>
    <row r="389" spans="2:8">
      <c r="B389" s="271"/>
      <c r="C389" s="270"/>
      <c r="D389" s="270"/>
      <c r="E389" s="270"/>
      <c r="F389" s="270"/>
      <c r="H389" s="270"/>
    </row>
    <row r="390" spans="2:8">
      <c r="B390" s="271"/>
      <c r="C390" s="270"/>
      <c r="D390" s="270"/>
      <c r="E390" s="270"/>
      <c r="F390" s="270"/>
      <c r="H390" s="270"/>
    </row>
    <row r="391" spans="2:8">
      <c r="B391" s="271"/>
      <c r="C391" s="270"/>
      <c r="D391" s="270"/>
      <c r="E391" s="270"/>
      <c r="F391" s="270"/>
      <c r="H391" s="270"/>
    </row>
    <row r="392" spans="2:8">
      <c r="B392" s="271"/>
      <c r="C392" s="270"/>
      <c r="D392" s="270"/>
      <c r="E392" s="270"/>
      <c r="F392" s="270"/>
      <c r="H392" s="270"/>
    </row>
    <row r="393" spans="2:8">
      <c r="B393" s="271"/>
      <c r="C393" s="270"/>
      <c r="D393" s="270"/>
      <c r="E393" s="270"/>
      <c r="F393" s="270"/>
      <c r="H393" s="270"/>
    </row>
    <row r="394" spans="2:8">
      <c r="B394" s="271"/>
      <c r="C394" s="270"/>
      <c r="D394" s="270"/>
      <c r="E394" s="270"/>
      <c r="F394" s="270"/>
      <c r="H394" s="270"/>
    </row>
    <row r="395" spans="2:8">
      <c r="B395" s="271"/>
      <c r="C395" s="270"/>
      <c r="D395" s="270"/>
      <c r="E395" s="270"/>
      <c r="F395" s="270"/>
      <c r="H395" s="270"/>
    </row>
    <row r="396" spans="2:8">
      <c r="B396" s="271"/>
      <c r="C396" s="270"/>
      <c r="D396" s="270"/>
      <c r="E396" s="270"/>
      <c r="F396" s="270"/>
      <c r="H396" s="270"/>
    </row>
    <row r="397" spans="2:8">
      <c r="B397" s="271"/>
      <c r="C397" s="270"/>
      <c r="D397" s="270"/>
      <c r="E397" s="270"/>
      <c r="F397" s="270"/>
      <c r="H397" s="270"/>
    </row>
    <row r="398" spans="2:8">
      <c r="B398" s="271"/>
      <c r="C398" s="270"/>
      <c r="D398" s="270"/>
      <c r="E398" s="270"/>
      <c r="F398" s="270"/>
      <c r="H398" s="270"/>
    </row>
    <row r="399" spans="2:8">
      <c r="B399" s="271"/>
      <c r="C399" s="270"/>
      <c r="D399" s="270"/>
      <c r="E399" s="270"/>
      <c r="F399" s="270"/>
      <c r="H399" s="270"/>
    </row>
    <row r="400" spans="2:8">
      <c r="B400" s="271"/>
      <c r="C400" s="270"/>
      <c r="D400" s="270"/>
      <c r="E400" s="270"/>
      <c r="F400" s="270"/>
      <c r="H400" s="270"/>
    </row>
    <row r="401" spans="2:8">
      <c r="B401" s="271"/>
      <c r="C401" s="270"/>
      <c r="D401" s="270"/>
      <c r="E401" s="270"/>
      <c r="F401" s="270"/>
      <c r="H401" s="270"/>
    </row>
    <row r="402" spans="2:8">
      <c r="B402" s="271"/>
      <c r="C402" s="270"/>
      <c r="D402" s="270"/>
      <c r="E402" s="270"/>
      <c r="F402" s="270"/>
      <c r="H402" s="270"/>
    </row>
    <row r="403" spans="2:8">
      <c r="B403" s="271"/>
      <c r="C403" s="270"/>
      <c r="D403" s="270"/>
      <c r="E403" s="270"/>
      <c r="F403" s="270"/>
      <c r="H403" s="270"/>
    </row>
    <row r="404" spans="2:8">
      <c r="B404" s="271"/>
      <c r="C404" s="270"/>
      <c r="D404" s="270"/>
      <c r="E404" s="270"/>
      <c r="F404" s="270"/>
      <c r="H404" s="270"/>
    </row>
    <row r="405" spans="2:8">
      <c r="B405" s="271"/>
      <c r="C405" s="270"/>
      <c r="D405" s="270"/>
      <c r="E405" s="270"/>
      <c r="F405" s="270"/>
      <c r="H405" s="270"/>
    </row>
    <row r="406" spans="2:8">
      <c r="B406" s="271"/>
      <c r="C406" s="270"/>
      <c r="D406" s="270"/>
      <c r="E406" s="270"/>
      <c r="F406" s="270"/>
      <c r="H406" s="270"/>
    </row>
    <row r="407" spans="2:8">
      <c r="B407" s="271"/>
      <c r="C407" s="270"/>
      <c r="D407" s="270"/>
      <c r="E407" s="270"/>
      <c r="F407" s="270"/>
      <c r="H407" s="270"/>
    </row>
    <row r="408" spans="2:8">
      <c r="B408" s="271"/>
      <c r="C408" s="270"/>
      <c r="D408" s="270"/>
      <c r="E408" s="270"/>
      <c r="F408" s="270"/>
      <c r="H408" s="270"/>
    </row>
    <row r="409" spans="2:8">
      <c r="B409" s="271"/>
      <c r="C409" s="270"/>
      <c r="D409" s="270"/>
      <c r="E409" s="270"/>
      <c r="F409" s="270"/>
      <c r="H409" s="270"/>
    </row>
    <row r="410" spans="2:8">
      <c r="B410" s="271"/>
      <c r="C410" s="270"/>
      <c r="D410" s="270"/>
      <c r="E410" s="270"/>
      <c r="F410" s="270"/>
      <c r="H410" s="270"/>
    </row>
    <row r="411" spans="2:8">
      <c r="B411" s="271"/>
      <c r="C411" s="270"/>
      <c r="D411" s="270"/>
      <c r="E411" s="270"/>
      <c r="F411" s="270"/>
      <c r="H411" s="270"/>
    </row>
    <row r="412" spans="2:8">
      <c r="B412" s="271"/>
      <c r="C412" s="270"/>
      <c r="D412" s="270"/>
      <c r="E412" s="270"/>
      <c r="F412" s="270"/>
      <c r="H412" s="270"/>
    </row>
    <row r="413" spans="2:8">
      <c r="B413" s="271"/>
      <c r="C413" s="270"/>
      <c r="D413" s="270"/>
      <c r="E413" s="270"/>
      <c r="F413" s="270"/>
      <c r="H413" s="270"/>
    </row>
    <row r="414" spans="2:8">
      <c r="B414" s="271"/>
      <c r="C414" s="270"/>
      <c r="D414" s="270"/>
      <c r="E414" s="270"/>
      <c r="F414" s="270"/>
      <c r="H414" s="270"/>
    </row>
    <row r="415" spans="2:8">
      <c r="B415" s="271"/>
      <c r="C415" s="270"/>
      <c r="D415" s="270"/>
      <c r="E415" s="270"/>
      <c r="F415" s="270"/>
      <c r="H415" s="270"/>
    </row>
    <row r="416" spans="2:8">
      <c r="B416" s="271"/>
      <c r="C416" s="270"/>
      <c r="D416" s="270"/>
      <c r="E416" s="270"/>
      <c r="F416" s="270"/>
      <c r="H416" s="270"/>
    </row>
    <row r="417" spans="2:8">
      <c r="B417" s="271"/>
      <c r="C417" s="270"/>
      <c r="D417" s="270"/>
      <c r="E417" s="270"/>
      <c r="F417" s="270"/>
      <c r="H417" s="270"/>
    </row>
    <row r="418" spans="2:8">
      <c r="B418" s="271"/>
      <c r="C418" s="270"/>
      <c r="D418" s="270"/>
      <c r="E418" s="270"/>
      <c r="F418" s="270"/>
      <c r="H418" s="270"/>
    </row>
    <row r="419" spans="2:8">
      <c r="B419" s="271"/>
      <c r="C419" s="270"/>
      <c r="D419" s="270"/>
      <c r="E419" s="270"/>
      <c r="F419" s="270"/>
      <c r="H419" s="270"/>
    </row>
    <row r="420" spans="2:8">
      <c r="B420" s="271"/>
      <c r="C420" s="270"/>
      <c r="D420" s="270"/>
      <c r="E420" s="270"/>
      <c r="F420" s="270"/>
      <c r="H420" s="270"/>
    </row>
    <row r="421" spans="2:8">
      <c r="B421" s="271"/>
      <c r="C421" s="270"/>
      <c r="D421" s="270"/>
      <c r="E421" s="270"/>
      <c r="F421" s="270"/>
      <c r="H421" s="270"/>
    </row>
    <row r="422" spans="2:8">
      <c r="B422" s="271"/>
      <c r="C422" s="270"/>
      <c r="D422" s="270"/>
      <c r="E422" s="270"/>
      <c r="F422" s="270"/>
      <c r="H422" s="270"/>
    </row>
    <row r="423" spans="2:8">
      <c r="B423" s="271"/>
      <c r="C423" s="270"/>
      <c r="D423" s="270"/>
      <c r="E423" s="270"/>
      <c r="F423" s="270"/>
      <c r="H423" s="270"/>
    </row>
    <row r="424" spans="2:8">
      <c r="B424" s="271"/>
      <c r="C424" s="270"/>
      <c r="D424" s="270"/>
      <c r="E424" s="270"/>
      <c r="F424" s="270"/>
      <c r="H424" s="270"/>
    </row>
    <row r="425" spans="2:8">
      <c r="B425" s="271"/>
      <c r="C425" s="270"/>
      <c r="D425" s="270"/>
      <c r="E425" s="270"/>
      <c r="F425" s="270"/>
      <c r="H425" s="270"/>
    </row>
    <row r="426" spans="2:8">
      <c r="B426" s="271"/>
      <c r="C426" s="270"/>
      <c r="D426" s="270"/>
      <c r="E426" s="270"/>
      <c r="F426" s="270"/>
      <c r="H426" s="270"/>
    </row>
    <row r="427" spans="2:8">
      <c r="B427" s="271"/>
      <c r="C427" s="270"/>
      <c r="D427" s="270"/>
      <c r="E427" s="270"/>
      <c r="F427" s="270"/>
      <c r="H427" s="270"/>
    </row>
    <row r="428" spans="2:8">
      <c r="B428" s="271"/>
      <c r="C428" s="270"/>
      <c r="D428" s="270"/>
      <c r="E428" s="270"/>
      <c r="F428" s="270"/>
      <c r="H428" s="270"/>
    </row>
    <row r="429" spans="2:8">
      <c r="B429" s="271"/>
      <c r="C429" s="270"/>
      <c r="D429" s="270"/>
      <c r="E429" s="270"/>
      <c r="F429" s="270"/>
      <c r="H429" s="270"/>
    </row>
    <row r="430" spans="2:8">
      <c r="B430" s="271"/>
      <c r="C430" s="270"/>
      <c r="D430" s="270"/>
      <c r="E430" s="270"/>
      <c r="F430" s="270"/>
      <c r="H430" s="270"/>
    </row>
    <row r="431" spans="2:8">
      <c r="B431" s="271"/>
      <c r="C431" s="270"/>
      <c r="D431" s="270"/>
      <c r="E431" s="270"/>
      <c r="F431" s="270"/>
      <c r="H431" s="270"/>
    </row>
    <row r="432" spans="2:8">
      <c r="B432" s="271"/>
      <c r="C432" s="270"/>
      <c r="D432" s="270"/>
      <c r="E432" s="270"/>
      <c r="F432" s="270"/>
      <c r="H432" s="270"/>
    </row>
    <row r="433" spans="2:8">
      <c r="B433" s="271"/>
      <c r="C433" s="270"/>
      <c r="D433" s="270"/>
      <c r="E433" s="270"/>
      <c r="F433" s="270"/>
      <c r="H433" s="270"/>
    </row>
    <row r="434" spans="2:8">
      <c r="B434" s="271"/>
      <c r="C434" s="270"/>
      <c r="D434" s="270"/>
      <c r="E434" s="270"/>
      <c r="F434" s="270"/>
      <c r="H434" s="270"/>
    </row>
    <row r="435" spans="2:8">
      <c r="B435" s="271"/>
      <c r="C435" s="270"/>
      <c r="D435" s="270"/>
      <c r="E435" s="270"/>
      <c r="F435" s="270"/>
      <c r="H435" s="270"/>
    </row>
    <row r="436" spans="2:8">
      <c r="B436" s="271"/>
      <c r="C436" s="270"/>
      <c r="D436" s="270"/>
      <c r="E436" s="270"/>
      <c r="F436" s="270"/>
      <c r="H436" s="270"/>
    </row>
    <row r="437" spans="2:8">
      <c r="B437" s="271"/>
      <c r="C437" s="270"/>
      <c r="D437" s="270"/>
      <c r="E437" s="270"/>
      <c r="F437" s="270"/>
      <c r="H437" s="270"/>
    </row>
    <row r="438" spans="2:8">
      <c r="B438" s="271"/>
      <c r="C438" s="270"/>
      <c r="D438" s="270"/>
      <c r="E438" s="270"/>
      <c r="F438" s="270"/>
      <c r="H438" s="270"/>
    </row>
    <row r="439" spans="2:8">
      <c r="B439" s="271"/>
      <c r="C439" s="270"/>
      <c r="D439" s="270"/>
      <c r="E439" s="270"/>
      <c r="F439" s="270"/>
      <c r="H439" s="270"/>
    </row>
    <row r="440" spans="2:8">
      <c r="B440" s="271"/>
      <c r="C440" s="270"/>
      <c r="D440" s="270"/>
      <c r="E440" s="270"/>
      <c r="F440" s="270"/>
      <c r="H440" s="270"/>
    </row>
    <row r="441" spans="2:8">
      <c r="B441" s="271"/>
      <c r="C441" s="270"/>
      <c r="D441" s="270"/>
      <c r="E441" s="270"/>
      <c r="F441" s="270"/>
      <c r="H441" s="270"/>
    </row>
    <row r="442" spans="2:8">
      <c r="B442" s="271"/>
      <c r="C442" s="270"/>
      <c r="D442" s="270"/>
      <c r="E442" s="270"/>
      <c r="F442" s="270"/>
      <c r="H442" s="270"/>
    </row>
    <row r="443" spans="2:8">
      <c r="B443" s="271"/>
      <c r="C443" s="270"/>
      <c r="D443" s="270"/>
      <c r="E443" s="270"/>
      <c r="F443" s="270"/>
      <c r="H443" s="270"/>
    </row>
    <row r="444" spans="2:8">
      <c r="B444" s="271"/>
      <c r="C444" s="270"/>
      <c r="D444" s="270"/>
      <c r="E444" s="270"/>
      <c r="F444" s="270"/>
      <c r="H444" s="270"/>
    </row>
    <row r="445" spans="2:8">
      <c r="B445" s="271"/>
      <c r="C445" s="270"/>
      <c r="D445" s="270"/>
      <c r="E445" s="270"/>
      <c r="F445" s="270"/>
      <c r="H445" s="270"/>
    </row>
    <row r="446" spans="2:8">
      <c r="B446" s="271"/>
      <c r="C446" s="270"/>
      <c r="D446" s="270"/>
      <c r="E446" s="270"/>
      <c r="F446" s="270"/>
      <c r="H446" s="270"/>
    </row>
    <row r="447" spans="2:8">
      <c r="B447" s="271"/>
      <c r="C447" s="270"/>
      <c r="D447" s="270"/>
      <c r="E447" s="270"/>
      <c r="F447" s="270"/>
      <c r="H447" s="270"/>
    </row>
    <row r="448" spans="2:8">
      <c r="B448" s="271"/>
      <c r="C448" s="270"/>
      <c r="D448" s="270"/>
      <c r="E448" s="270"/>
      <c r="F448" s="270"/>
      <c r="H448" s="270"/>
    </row>
    <row r="449" spans="2:8">
      <c r="B449" s="271"/>
      <c r="C449" s="270"/>
      <c r="D449" s="270"/>
      <c r="E449" s="270"/>
      <c r="F449" s="270"/>
      <c r="H449" s="270"/>
    </row>
    <row r="450" spans="2:8">
      <c r="B450" s="271"/>
      <c r="C450" s="270"/>
      <c r="D450" s="270"/>
      <c r="E450" s="270"/>
      <c r="F450" s="270"/>
      <c r="H450" s="270"/>
    </row>
    <row r="451" spans="2:8">
      <c r="B451" s="271"/>
      <c r="C451" s="270"/>
      <c r="D451" s="270"/>
      <c r="E451" s="270"/>
      <c r="F451" s="270"/>
      <c r="H451" s="270"/>
    </row>
    <row r="452" spans="2:8">
      <c r="B452" s="271"/>
      <c r="C452" s="270"/>
      <c r="D452" s="270"/>
      <c r="E452" s="270"/>
      <c r="F452" s="270"/>
      <c r="H452" s="270"/>
    </row>
    <row r="453" spans="2:8">
      <c r="B453" s="271"/>
      <c r="C453" s="270"/>
      <c r="D453" s="270"/>
      <c r="E453" s="270"/>
      <c r="F453" s="270"/>
      <c r="H453" s="270"/>
    </row>
    <row r="454" spans="2:8">
      <c r="B454" s="271"/>
      <c r="C454" s="270"/>
      <c r="D454" s="270"/>
      <c r="E454" s="270"/>
      <c r="F454" s="270"/>
      <c r="H454" s="270"/>
    </row>
    <row r="455" spans="2:8">
      <c r="B455" s="271"/>
      <c r="C455" s="270"/>
      <c r="D455" s="270"/>
      <c r="E455" s="270"/>
      <c r="F455" s="270"/>
      <c r="H455" s="270"/>
    </row>
    <row r="456" spans="2:8">
      <c r="B456" s="271"/>
      <c r="C456" s="270"/>
      <c r="D456" s="270"/>
      <c r="E456" s="270"/>
      <c r="F456" s="270"/>
      <c r="H456" s="270"/>
    </row>
    <row r="457" spans="2:8">
      <c r="B457" s="271"/>
      <c r="C457" s="270"/>
      <c r="D457" s="270"/>
      <c r="E457" s="270"/>
      <c r="F457" s="270"/>
      <c r="H457" s="270"/>
    </row>
    <row r="458" spans="2:8">
      <c r="B458" s="271"/>
      <c r="C458" s="270"/>
      <c r="D458" s="270"/>
      <c r="E458" s="270"/>
      <c r="F458" s="270"/>
      <c r="H458" s="270"/>
    </row>
    <row r="459" spans="2:8">
      <c r="B459" s="271"/>
      <c r="C459" s="270"/>
      <c r="D459" s="270"/>
      <c r="E459" s="270"/>
      <c r="F459" s="270"/>
      <c r="H459" s="270"/>
    </row>
    <row r="460" spans="2:8">
      <c r="B460" s="271"/>
      <c r="C460" s="270"/>
      <c r="D460" s="270"/>
      <c r="E460" s="270"/>
      <c r="F460" s="270"/>
      <c r="H460" s="270"/>
    </row>
    <row r="461" spans="2:8">
      <c r="B461" s="271"/>
      <c r="C461" s="270"/>
      <c r="D461" s="270"/>
      <c r="E461" s="270"/>
      <c r="F461" s="270"/>
      <c r="H461" s="270"/>
    </row>
    <row r="462" spans="2:8">
      <c r="B462" s="271"/>
      <c r="C462" s="270"/>
      <c r="D462" s="270"/>
      <c r="E462" s="270"/>
      <c r="F462" s="270"/>
      <c r="H462" s="270"/>
    </row>
    <row r="463" spans="2:8">
      <c r="B463" s="271"/>
      <c r="C463" s="270"/>
      <c r="D463" s="270"/>
      <c r="E463" s="270"/>
      <c r="F463" s="270"/>
      <c r="H463" s="270"/>
    </row>
    <row r="464" spans="2:8">
      <c r="B464" s="271"/>
      <c r="C464" s="270"/>
      <c r="D464" s="270"/>
      <c r="E464" s="270"/>
      <c r="F464" s="270"/>
      <c r="H464" s="270"/>
    </row>
    <row r="465" spans="2:8">
      <c r="B465" s="271"/>
      <c r="C465" s="270"/>
      <c r="D465" s="270"/>
      <c r="E465" s="270"/>
      <c r="F465" s="270"/>
      <c r="H465" s="270"/>
    </row>
    <row r="466" spans="2:8">
      <c r="B466" s="271"/>
      <c r="C466" s="270"/>
      <c r="D466" s="270"/>
      <c r="E466" s="270"/>
      <c r="F466" s="270"/>
      <c r="H466" s="270"/>
    </row>
    <row r="467" spans="2:8">
      <c r="B467" s="271"/>
      <c r="C467" s="270"/>
      <c r="D467" s="270"/>
      <c r="E467" s="270"/>
      <c r="F467" s="270"/>
      <c r="H467" s="270"/>
    </row>
    <row r="468" spans="2:8">
      <c r="B468" s="271"/>
      <c r="C468" s="270"/>
      <c r="D468" s="270"/>
      <c r="E468" s="270"/>
      <c r="F468" s="270"/>
      <c r="H468" s="270"/>
    </row>
    <row r="469" spans="2:8">
      <c r="B469" s="271"/>
      <c r="C469" s="270"/>
      <c r="D469" s="270"/>
      <c r="E469" s="270"/>
      <c r="F469" s="270"/>
      <c r="H469" s="270"/>
    </row>
    <row r="470" spans="2:8">
      <c r="B470" s="271"/>
      <c r="C470" s="270"/>
      <c r="D470" s="270"/>
      <c r="E470" s="270"/>
      <c r="F470" s="270"/>
      <c r="H470" s="270"/>
    </row>
    <row r="471" spans="2:8">
      <c r="B471" s="271"/>
      <c r="C471" s="270"/>
      <c r="D471" s="270"/>
      <c r="E471" s="270"/>
      <c r="F471" s="270"/>
      <c r="H471" s="270"/>
    </row>
    <row r="472" spans="2:8">
      <c r="B472" s="271"/>
      <c r="C472" s="270"/>
      <c r="D472" s="270"/>
      <c r="E472" s="270"/>
      <c r="F472" s="270"/>
      <c r="H472" s="270"/>
    </row>
    <row r="473" spans="2:8">
      <c r="B473" s="271"/>
      <c r="C473" s="270"/>
      <c r="D473" s="270"/>
      <c r="E473" s="270"/>
      <c r="F473" s="270"/>
      <c r="H473" s="270"/>
    </row>
    <row r="474" spans="2:8">
      <c r="B474" s="271"/>
      <c r="C474" s="270"/>
      <c r="D474" s="270"/>
      <c r="E474" s="270"/>
      <c r="F474" s="270"/>
      <c r="H474" s="270"/>
    </row>
    <row r="475" spans="2:8">
      <c r="B475" s="271"/>
      <c r="C475" s="270"/>
      <c r="D475" s="270"/>
      <c r="E475" s="270"/>
      <c r="F475" s="270"/>
      <c r="H475" s="270"/>
    </row>
    <row r="476" spans="2:8">
      <c r="B476" s="271"/>
      <c r="C476" s="270"/>
      <c r="D476" s="270"/>
      <c r="E476" s="270"/>
      <c r="F476" s="270"/>
      <c r="H476" s="270"/>
    </row>
    <row r="477" spans="2:8">
      <c r="B477" s="271"/>
      <c r="C477" s="270"/>
      <c r="D477" s="270"/>
      <c r="E477" s="270"/>
      <c r="F477" s="270"/>
      <c r="H477" s="270"/>
    </row>
    <row r="478" spans="2:8">
      <c r="B478" s="271"/>
      <c r="C478" s="270"/>
      <c r="D478" s="270"/>
      <c r="E478" s="270"/>
      <c r="F478" s="270"/>
      <c r="H478" s="270"/>
    </row>
    <row r="479" spans="2:8">
      <c r="B479" s="271"/>
      <c r="C479" s="270"/>
      <c r="D479" s="270"/>
      <c r="E479" s="270"/>
      <c r="F479" s="270"/>
      <c r="H479" s="270"/>
    </row>
    <row r="480" spans="2:8">
      <c r="B480" s="271"/>
      <c r="C480" s="270"/>
      <c r="D480" s="270"/>
      <c r="E480" s="270"/>
      <c r="F480" s="270"/>
      <c r="H480" s="270"/>
    </row>
    <row r="481" spans="2:8">
      <c r="B481" s="271"/>
      <c r="C481" s="270"/>
      <c r="D481" s="270"/>
      <c r="E481" s="270"/>
      <c r="F481" s="270"/>
      <c r="H481" s="270"/>
    </row>
    <row r="482" spans="2:8">
      <c r="B482" s="271"/>
      <c r="C482" s="270"/>
      <c r="D482" s="270"/>
      <c r="E482" s="270"/>
      <c r="F482" s="270"/>
      <c r="H482" s="270"/>
    </row>
    <row r="483" spans="2:8">
      <c r="B483" s="271"/>
      <c r="C483" s="270"/>
      <c r="D483" s="270"/>
      <c r="E483" s="270"/>
      <c r="F483" s="270"/>
      <c r="H483" s="270"/>
    </row>
    <row r="484" spans="2:8">
      <c r="B484" s="271"/>
      <c r="C484" s="270"/>
      <c r="D484" s="270"/>
      <c r="E484" s="270"/>
      <c r="F484" s="270"/>
      <c r="H484" s="270"/>
    </row>
    <row r="485" spans="2:8">
      <c r="B485" s="271"/>
      <c r="C485" s="270"/>
      <c r="D485" s="270"/>
      <c r="E485" s="270"/>
      <c r="F485" s="270"/>
      <c r="H485" s="270"/>
    </row>
    <row r="486" spans="2:8">
      <c r="B486" s="271"/>
      <c r="C486" s="270"/>
      <c r="D486" s="270"/>
      <c r="E486" s="270"/>
      <c r="F486" s="270"/>
      <c r="H486" s="270"/>
    </row>
    <row r="487" spans="2:8">
      <c r="B487" s="271"/>
      <c r="C487" s="270"/>
      <c r="D487" s="270"/>
      <c r="E487" s="270"/>
      <c r="F487" s="270"/>
      <c r="H487" s="270"/>
    </row>
    <row r="488" spans="2:8">
      <c r="B488" s="271"/>
      <c r="C488" s="270"/>
      <c r="D488" s="270"/>
      <c r="E488" s="270"/>
      <c r="F488" s="270"/>
      <c r="H488" s="270"/>
    </row>
    <row r="489" spans="2:8">
      <c r="B489" s="271"/>
      <c r="C489" s="270"/>
      <c r="D489" s="270"/>
      <c r="E489" s="270"/>
      <c r="F489" s="270"/>
      <c r="H489" s="270"/>
    </row>
    <row r="490" spans="2:8">
      <c r="B490" s="271"/>
      <c r="C490" s="270"/>
      <c r="D490" s="270"/>
      <c r="E490" s="270"/>
      <c r="F490" s="270"/>
      <c r="H490" s="270"/>
    </row>
    <row r="491" spans="2:8">
      <c r="B491" s="271"/>
      <c r="C491" s="270"/>
      <c r="D491" s="270"/>
      <c r="E491" s="270"/>
      <c r="F491" s="270"/>
      <c r="H491" s="270"/>
    </row>
    <row r="492" spans="2:8">
      <c r="B492" s="271"/>
      <c r="C492" s="270"/>
      <c r="D492" s="270"/>
      <c r="E492" s="270"/>
      <c r="F492" s="270"/>
      <c r="H492" s="270"/>
    </row>
    <row r="493" spans="2:8">
      <c r="B493" s="271"/>
      <c r="C493" s="270"/>
      <c r="D493" s="270"/>
      <c r="E493" s="270"/>
      <c r="F493" s="270"/>
      <c r="H493" s="270"/>
    </row>
    <row r="494" spans="2:8">
      <c r="B494" s="271"/>
      <c r="C494" s="270"/>
      <c r="D494" s="270"/>
      <c r="E494" s="270"/>
      <c r="F494" s="270"/>
      <c r="H494" s="270"/>
    </row>
    <row r="495" spans="2:8">
      <c r="B495" s="271"/>
      <c r="C495" s="270"/>
      <c r="D495" s="270"/>
      <c r="E495" s="270"/>
      <c r="F495" s="270"/>
      <c r="H495" s="270"/>
    </row>
    <row r="496" spans="2:8">
      <c r="B496" s="271"/>
      <c r="C496" s="270"/>
      <c r="D496" s="270"/>
      <c r="E496" s="270"/>
      <c r="F496" s="270"/>
      <c r="H496" s="270"/>
    </row>
    <row r="497" spans="2:8">
      <c r="B497" s="271"/>
      <c r="C497" s="270"/>
      <c r="D497" s="270"/>
      <c r="E497" s="270"/>
      <c r="F497" s="270"/>
      <c r="H497" s="270"/>
    </row>
    <row r="498" spans="2:8">
      <c r="B498" s="271"/>
      <c r="C498" s="270"/>
      <c r="D498" s="270"/>
      <c r="E498" s="270"/>
      <c r="F498" s="270"/>
      <c r="H498" s="270"/>
    </row>
    <row r="499" spans="2:8">
      <c r="B499" s="271"/>
      <c r="C499" s="270"/>
      <c r="D499" s="270"/>
      <c r="E499" s="270"/>
      <c r="F499" s="270"/>
      <c r="H499" s="270"/>
    </row>
    <row r="500" spans="2:8">
      <c r="B500" s="271"/>
      <c r="C500" s="270"/>
      <c r="D500" s="270"/>
      <c r="E500" s="270"/>
      <c r="F500" s="270"/>
      <c r="H500" s="270"/>
    </row>
    <row r="501" spans="2:8">
      <c r="B501" s="271"/>
      <c r="C501" s="270"/>
      <c r="D501" s="270"/>
      <c r="E501" s="270"/>
      <c r="F501" s="270"/>
      <c r="H501" s="270"/>
    </row>
    <row r="502" spans="2:8">
      <c r="B502" s="271"/>
      <c r="C502" s="270"/>
      <c r="D502" s="270"/>
      <c r="E502" s="270"/>
      <c r="F502" s="270"/>
      <c r="H502" s="270"/>
    </row>
    <row r="503" spans="2:8">
      <c r="B503" s="271"/>
      <c r="C503" s="270"/>
      <c r="D503" s="270"/>
      <c r="E503" s="270"/>
      <c r="F503" s="270"/>
      <c r="H503" s="270"/>
    </row>
    <row r="504" spans="2:8">
      <c r="B504" s="271"/>
      <c r="C504" s="270"/>
      <c r="D504" s="270"/>
      <c r="E504" s="270"/>
      <c r="F504" s="270"/>
      <c r="H504" s="270"/>
    </row>
    <row r="505" spans="2:8">
      <c r="B505" s="271"/>
      <c r="C505" s="270"/>
      <c r="D505" s="270"/>
      <c r="E505" s="270"/>
      <c r="F505" s="270"/>
      <c r="H505" s="270"/>
    </row>
    <row r="506" spans="2:8">
      <c r="B506" s="271"/>
      <c r="C506" s="270"/>
      <c r="D506" s="270"/>
      <c r="E506" s="270"/>
      <c r="F506" s="270"/>
      <c r="H506" s="270"/>
    </row>
    <row r="507" spans="2:8">
      <c r="B507" s="271"/>
      <c r="C507" s="270"/>
      <c r="D507" s="270"/>
      <c r="E507" s="270"/>
      <c r="F507" s="270"/>
      <c r="H507" s="270"/>
    </row>
    <row r="508" spans="2:8">
      <c r="B508" s="271"/>
      <c r="C508" s="270"/>
      <c r="D508" s="270"/>
      <c r="E508" s="270"/>
      <c r="F508" s="270"/>
      <c r="H508" s="270"/>
    </row>
    <row r="509" spans="2:8">
      <c r="B509" s="271"/>
      <c r="C509" s="270"/>
      <c r="D509" s="270"/>
      <c r="E509" s="270"/>
      <c r="F509" s="270"/>
      <c r="H509" s="270"/>
    </row>
    <row r="510" spans="2:8">
      <c r="B510" s="271"/>
      <c r="C510" s="270"/>
      <c r="D510" s="270"/>
      <c r="E510" s="270"/>
      <c r="F510" s="270"/>
      <c r="H510" s="270"/>
    </row>
    <row r="511" spans="2:8">
      <c r="B511" s="271"/>
      <c r="C511" s="270"/>
      <c r="D511" s="270"/>
      <c r="E511" s="270"/>
      <c r="F511" s="270"/>
      <c r="H511" s="270"/>
    </row>
    <row r="512" spans="2:8">
      <c r="B512" s="271"/>
      <c r="C512" s="270"/>
      <c r="D512" s="270"/>
      <c r="E512" s="270"/>
      <c r="F512" s="270"/>
      <c r="H512" s="270"/>
    </row>
    <row r="513" spans="2:8">
      <c r="B513" s="271"/>
      <c r="C513" s="270"/>
      <c r="D513" s="270"/>
      <c r="E513" s="270"/>
      <c r="F513" s="270"/>
      <c r="H513" s="270"/>
    </row>
    <row r="514" spans="2:8">
      <c r="B514" s="271"/>
      <c r="C514" s="270"/>
      <c r="D514" s="270"/>
      <c r="E514" s="270"/>
      <c r="F514" s="270"/>
      <c r="H514" s="270"/>
    </row>
    <row r="515" spans="2:8">
      <c r="B515" s="271"/>
      <c r="C515" s="270"/>
      <c r="D515" s="270"/>
      <c r="E515" s="270"/>
      <c r="F515" s="270"/>
      <c r="H515" s="270"/>
    </row>
    <row r="516" spans="2:8">
      <c r="B516" s="271"/>
      <c r="C516" s="270"/>
      <c r="D516" s="270"/>
      <c r="E516" s="270"/>
      <c r="F516" s="270"/>
      <c r="H516" s="270"/>
    </row>
    <row r="517" spans="2:8">
      <c r="B517" s="271"/>
      <c r="C517" s="270"/>
      <c r="D517" s="270"/>
      <c r="E517" s="270"/>
      <c r="F517" s="270"/>
      <c r="H517" s="270"/>
    </row>
    <row r="518" spans="2:8">
      <c r="B518" s="271"/>
      <c r="C518" s="270"/>
      <c r="D518" s="270"/>
      <c r="E518" s="270"/>
      <c r="F518" s="270"/>
      <c r="H518" s="270"/>
    </row>
    <row r="519" spans="2:8">
      <c r="B519" s="271"/>
      <c r="C519" s="270"/>
      <c r="D519" s="270"/>
      <c r="E519" s="270"/>
      <c r="F519" s="270"/>
      <c r="H519" s="270"/>
    </row>
    <row r="520" spans="2:8">
      <c r="B520" s="271"/>
      <c r="C520" s="270"/>
      <c r="D520" s="270"/>
      <c r="E520" s="270"/>
      <c r="F520" s="270"/>
      <c r="H520" s="270"/>
    </row>
    <row r="521" spans="2:8">
      <c r="B521" s="271"/>
      <c r="C521" s="270"/>
      <c r="D521" s="270"/>
      <c r="E521" s="270"/>
      <c r="F521" s="270"/>
      <c r="H521" s="270"/>
    </row>
    <row r="522" spans="2:8">
      <c r="B522" s="271"/>
      <c r="C522" s="270"/>
      <c r="D522" s="270"/>
      <c r="E522" s="270"/>
      <c r="F522" s="270"/>
      <c r="H522" s="270"/>
    </row>
    <row r="523" spans="2:8">
      <c r="B523" s="271"/>
      <c r="C523" s="270"/>
      <c r="D523" s="270"/>
      <c r="E523" s="270"/>
      <c r="F523" s="270"/>
      <c r="H523" s="270"/>
    </row>
    <row r="524" spans="2:8">
      <c r="B524" s="271"/>
      <c r="C524" s="270"/>
      <c r="D524" s="270"/>
      <c r="E524" s="270"/>
      <c r="F524" s="270"/>
      <c r="H524" s="270"/>
    </row>
    <row r="525" spans="2:8">
      <c r="B525" s="271"/>
      <c r="C525" s="270"/>
      <c r="D525" s="270"/>
      <c r="E525" s="270"/>
      <c r="F525" s="270"/>
      <c r="H525" s="270"/>
    </row>
    <row r="526" spans="2:8">
      <c r="B526" s="271"/>
      <c r="C526" s="270"/>
      <c r="D526" s="270"/>
      <c r="E526" s="270"/>
      <c r="F526" s="270"/>
      <c r="H526" s="270"/>
    </row>
    <row r="527" spans="2:8">
      <c r="B527" s="271"/>
      <c r="C527" s="270"/>
      <c r="D527" s="270"/>
      <c r="E527" s="270"/>
      <c r="F527" s="270"/>
      <c r="H527" s="270"/>
    </row>
    <row r="528" spans="2:8">
      <c r="B528" s="271"/>
      <c r="C528" s="270"/>
      <c r="D528" s="270"/>
      <c r="E528" s="270"/>
      <c r="F528" s="270"/>
      <c r="H528" s="270"/>
    </row>
    <row r="529" spans="2:8">
      <c r="B529" s="271"/>
      <c r="C529" s="270"/>
      <c r="D529" s="270"/>
      <c r="E529" s="270"/>
      <c r="F529" s="270"/>
      <c r="H529" s="270"/>
    </row>
    <row r="530" spans="2:8">
      <c r="B530" s="271"/>
      <c r="C530" s="270"/>
      <c r="D530" s="270"/>
      <c r="E530" s="270"/>
      <c r="F530" s="270"/>
      <c r="H530" s="270"/>
    </row>
    <row r="531" spans="2:8">
      <c r="B531" s="271"/>
      <c r="C531" s="270"/>
      <c r="D531" s="270"/>
      <c r="E531" s="270"/>
      <c r="F531" s="270"/>
      <c r="H531" s="270"/>
    </row>
    <row r="532" spans="2:8">
      <c r="B532" s="271"/>
      <c r="C532" s="270"/>
      <c r="D532" s="270"/>
      <c r="E532" s="270"/>
      <c r="F532" s="270"/>
      <c r="H532" s="270"/>
    </row>
    <row r="533" spans="2:8">
      <c r="B533" s="271"/>
      <c r="C533" s="270"/>
      <c r="D533" s="270"/>
      <c r="E533" s="270"/>
      <c r="F533" s="270"/>
      <c r="H533" s="270"/>
    </row>
    <row r="534" spans="2:8">
      <c r="B534" s="271"/>
      <c r="C534" s="270"/>
      <c r="D534" s="270"/>
      <c r="E534" s="270"/>
      <c r="F534" s="270"/>
      <c r="H534" s="270"/>
    </row>
    <row r="535" spans="2:8">
      <c r="B535" s="271"/>
      <c r="C535" s="270"/>
      <c r="D535" s="270"/>
      <c r="E535" s="270"/>
      <c r="F535" s="270"/>
      <c r="H535" s="270"/>
    </row>
    <row r="536" spans="2:8">
      <c r="B536" s="271"/>
      <c r="C536" s="270"/>
      <c r="D536" s="270"/>
      <c r="E536" s="270"/>
      <c r="F536" s="270"/>
      <c r="H536" s="270"/>
    </row>
    <row r="537" spans="2:8">
      <c r="B537" s="271"/>
      <c r="C537" s="270"/>
      <c r="D537" s="270"/>
      <c r="E537" s="270"/>
      <c r="F537" s="270"/>
      <c r="H537" s="270"/>
    </row>
    <row r="538" spans="2:8">
      <c r="B538" s="271"/>
      <c r="C538" s="270"/>
      <c r="D538" s="270"/>
      <c r="E538" s="270"/>
      <c r="F538" s="270"/>
      <c r="H538" s="270"/>
    </row>
    <row r="539" spans="2:8">
      <c r="B539" s="271"/>
      <c r="C539" s="270"/>
      <c r="D539" s="270"/>
      <c r="E539" s="270"/>
      <c r="F539" s="270"/>
      <c r="H539" s="270"/>
    </row>
    <row r="540" spans="2:8">
      <c r="B540" s="271"/>
      <c r="C540" s="270"/>
      <c r="D540" s="270"/>
      <c r="E540" s="270"/>
      <c r="F540" s="270"/>
      <c r="H540" s="270"/>
    </row>
    <row r="541" spans="2:8">
      <c r="B541" s="271"/>
      <c r="C541" s="270"/>
      <c r="D541" s="270"/>
      <c r="E541" s="270"/>
      <c r="F541" s="270"/>
      <c r="H541" s="270"/>
    </row>
    <row r="542" spans="2:8">
      <c r="B542" s="271"/>
      <c r="C542" s="270"/>
      <c r="D542" s="270"/>
      <c r="E542" s="270"/>
      <c r="F542" s="270"/>
      <c r="H542" s="270"/>
    </row>
    <row r="543" spans="2:8">
      <c r="B543" s="271"/>
      <c r="C543" s="270"/>
      <c r="D543" s="270"/>
      <c r="E543" s="270"/>
      <c r="F543" s="270"/>
      <c r="H543" s="270"/>
    </row>
    <row r="544" spans="2:8">
      <c r="B544" s="271"/>
      <c r="C544" s="270"/>
      <c r="D544" s="270"/>
      <c r="E544" s="270"/>
      <c r="F544" s="270"/>
      <c r="H544" s="270"/>
    </row>
    <row r="545" spans="2:8">
      <c r="B545" s="271"/>
      <c r="C545" s="270"/>
      <c r="D545" s="270"/>
      <c r="E545" s="270"/>
      <c r="F545" s="270"/>
      <c r="H545" s="270"/>
    </row>
    <row r="546" spans="2:8">
      <c r="B546" s="271"/>
      <c r="C546" s="270"/>
      <c r="D546" s="270"/>
      <c r="E546" s="270"/>
      <c r="F546" s="270"/>
      <c r="H546" s="270"/>
    </row>
    <row r="547" spans="2:8">
      <c r="B547" s="271"/>
      <c r="C547" s="270"/>
      <c r="D547" s="270"/>
      <c r="E547" s="270"/>
      <c r="F547" s="270"/>
      <c r="H547" s="270"/>
    </row>
    <row r="548" spans="2:8">
      <c r="B548" s="271"/>
      <c r="C548" s="270"/>
      <c r="D548" s="270"/>
      <c r="E548" s="270"/>
      <c r="F548" s="270"/>
      <c r="H548" s="270"/>
    </row>
    <row r="549" spans="2:8">
      <c r="B549" s="271"/>
      <c r="C549" s="270"/>
      <c r="D549" s="270"/>
      <c r="E549" s="270"/>
      <c r="F549" s="270"/>
      <c r="H549" s="270"/>
    </row>
    <row r="550" spans="2:8">
      <c r="B550" s="271"/>
      <c r="C550" s="270"/>
      <c r="D550" s="270"/>
      <c r="E550" s="270"/>
      <c r="F550" s="270"/>
      <c r="H550" s="270"/>
    </row>
    <row r="551" spans="2:8">
      <c r="B551" s="271"/>
      <c r="C551" s="270"/>
      <c r="D551" s="270"/>
      <c r="E551" s="270"/>
      <c r="F551" s="270"/>
      <c r="H551" s="270"/>
    </row>
    <row r="552" spans="2:8">
      <c r="B552" s="271"/>
      <c r="C552" s="270"/>
      <c r="D552" s="270"/>
      <c r="E552" s="270"/>
      <c r="F552" s="270"/>
      <c r="H552" s="270"/>
    </row>
    <row r="553" spans="2:8">
      <c r="B553" s="271"/>
      <c r="C553" s="270"/>
      <c r="D553" s="270"/>
      <c r="E553" s="270"/>
      <c r="F553" s="270"/>
      <c r="H553" s="270"/>
    </row>
    <row r="554" spans="2:8">
      <c r="B554" s="271"/>
      <c r="C554" s="270"/>
      <c r="D554" s="270"/>
      <c r="E554" s="270"/>
      <c r="F554" s="270"/>
      <c r="H554" s="270"/>
    </row>
    <row r="555" spans="2:8">
      <c r="B555" s="271"/>
      <c r="C555" s="270"/>
      <c r="D555" s="270"/>
      <c r="E555" s="270"/>
      <c r="F555" s="270"/>
      <c r="H555" s="270"/>
    </row>
    <row r="556" spans="2:8">
      <c r="B556" s="271"/>
      <c r="C556" s="270"/>
      <c r="D556" s="270"/>
      <c r="E556" s="270"/>
      <c r="F556" s="270"/>
      <c r="H556" s="270"/>
    </row>
    <row r="557" spans="2:8">
      <c r="B557" s="271"/>
      <c r="C557" s="270"/>
      <c r="D557" s="270"/>
      <c r="E557" s="270"/>
      <c r="F557" s="270"/>
      <c r="H557" s="270"/>
    </row>
    <row r="558" spans="2:8">
      <c r="B558" s="271"/>
      <c r="C558" s="270"/>
      <c r="D558" s="270"/>
      <c r="E558" s="270"/>
      <c r="F558" s="270"/>
      <c r="H558" s="270"/>
    </row>
    <row r="559" spans="2:8">
      <c r="B559" s="271"/>
      <c r="C559" s="270"/>
      <c r="D559" s="270"/>
      <c r="E559" s="270"/>
      <c r="F559" s="270"/>
      <c r="H559" s="270"/>
    </row>
    <row r="560" spans="2:8">
      <c r="B560" s="271"/>
      <c r="C560" s="270"/>
      <c r="D560" s="270"/>
      <c r="E560" s="270"/>
      <c r="F560" s="270"/>
      <c r="H560" s="270"/>
    </row>
    <row r="561" spans="2:8">
      <c r="B561" s="271"/>
      <c r="C561" s="270"/>
      <c r="D561" s="270"/>
      <c r="E561" s="270"/>
      <c r="F561" s="270"/>
      <c r="H561" s="270"/>
    </row>
    <row r="562" spans="2:8">
      <c r="B562" s="271"/>
      <c r="C562" s="270"/>
      <c r="D562" s="270"/>
      <c r="E562" s="270"/>
      <c r="F562" s="270"/>
      <c r="H562" s="270"/>
    </row>
    <row r="563" spans="2:8">
      <c r="B563" s="271"/>
      <c r="C563" s="270"/>
      <c r="D563" s="270"/>
      <c r="E563" s="270"/>
      <c r="F563" s="270"/>
      <c r="H563" s="270"/>
    </row>
    <row r="564" spans="2:8">
      <c r="B564" s="271"/>
      <c r="C564" s="270"/>
      <c r="D564" s="270"/>
      <c r="E564" s="270"/>
      <c r="F564" s="270"/>
      <c r="H564" s="270"/>
    </row>
    <row r="565" spans="2:8">
      <c r="B565" s="271"/>
      <c r="C565" s="270"/>
      <c r="D565" s="270"/>
      <c r="E565" s="270"/>
      <c r="F565" s="270"/>
      <c r="H565" s="270"/>
    </row>
    <row r="566" spans="2:8">
      <c r="B566" s="271"/>
      <c r="C566" s="270"/>
      <c r="D566" s="270"/>
      <c r="E566" s="270"/>
      <c r="F566" s="270"/>
      <c r="H566" s="270"/>
    </row>
    <row r="567" spans="2:8">
      <c r="B567" s="271"/>
      <c r="C567" s="270"/>
      <c r="D567" s="270"/>
      <c r="E567" s="270"/>
      <c r="F567" s="270"/>
      <c r="H567" s="270"/>
    </row>
    <row r="568" spans="2:8">
      <c r="B568" s="271"/>
      <c r="C568" s="270"/>
      <c r="D568" s="270"/>
      <c r="E568" s="270"/>
      <c r="F568" s="270"/>
      <c r="H568" s="270"/>
    </row>
    <row r="569" spans="2:8">
      <c r="B569" s="271"/>
      <c r="C569" s="270"/>
      <c r="D569" s="270"/>
      <c r="E569" s="270"/>
      <c r="F569" s="270"/>
      <c r="H569" s="270"/>
    </row>
    <row r="570" spans="2:8">
      <c r="B570" s="271"/>
      <c r="C570" s="270"/>
      <c r="D570" s="270"/>
      <c r="E570" s="270"/>
      <c r="F570" s="270"/>
      <c r="H570" s="270"/>
    </row>
    <row r="571" spans="2:8">
      <c r="B571" s="271"/>
      <c r="C571" s="270"/>
      <c r="D571" s="270"/>
      <c r="E571" s="270"/>
      <c r="F571" s="270"/>
      <c r="H571" s="270"/>
    </row>
    <row r="572" spans="2:8">
      <c r="B572" s="271"/>
      <c r="C572" s="270"/>
      <c r="D572" s="270"/>
      <c r="E572" s="270"/>
      <c r="F572" s="270"/>
      <c r="H572" s="270"/>
    </row>
    <row r="573" spans="2:8">
      <c r="B573" s="271"/>
      <c r="C573" s="270"/>
      <c r="D573" s="270"/>
      <c r="E573" s="270"/>
      <c r="F573" s="270"/>
      <c r="H573" s="270"/>
    </row>
    <row r="574" spans="2:8">
      <c r="B574" s="271"/>
      <c r="C574" s="270"/>
      <c r="D574" s="270"/>
      <c r="E574" s="270"/>
      <c r="F574" s="270"/>
      <c r="H574" s="270"/>
    </row>
    <row r="575" spans="2:8">
      <c r="B575" s="271"/>
      <c r="C575" s="270"/>
      <c r="D575" s="270"/>
      <c r="E575" s="270"/>
      <c r="F575" s="270"/>
      <c r="H575" s="270"/>
    </row>
    <row r="576" spans="2:8">
      <c r="B576" s="271"/>
      <c r="C576" s="270"/>
      <c r="D576" s="270"/>
      <c r="E576" s="270"/>
      <c r="F576" s="270"/>
      <c r="H576" s="270"/>
    </row>
    <row r="577" spans="2:8">
      <c r="B577" s="271"/>
      <c r="C577" s="270"/>
      <c r="D577" s="270"/>
      <c r="E577" s="270"/>
      <c r="F577" s="270"/>
      <c r="H577" s="270"/>
    </row>
    <row r="578" spans="2:8">
      <c r="B578" s="271"/>
      <c r="C578" s="270"/>
      <c r="D578" s="270"/>
      <c r="E578" s="270"/>
      <c r="F578" s="270"/>
      <c r="H578" s="270"/>
    </row>
    <row r="579" spans="2:8">
      <c r="B579" s="271"/>
      <c r="C579" s="270"/>
      <c r="D579" s="270"/>
      <c r="E579" s="270"/>
      <c r="F579" s="270"/>
      <c r="H579" s="270"/>
    </row>
    <row r="580" spans="2:8">
      <c r="B580" s="271"/>
      <c r="C580" s="270"/>
      <c r="D580" s="270"/>
      <c r="E580" s="270"/>
      <c r="F580" s="270"/>
      <c r="H580" s="270"/>
    </row>
    <row r="581" spans="2:8">
      <c r="B581" s="271"/>
      <c r="C581" s="270"/>
      <c r="D581" s="270"/>
      <c r="E581" s="270"/>
      <c r="F581" s="270"/>
      <c r="H581" s="270"/>
    </row>
    <row r="582" spans="2:8">
      <c r="B582" s="271"/>
      <c r="C582" s="270"/>
      <c r="D582" s="270"/>
      <c r="E582" s="270"/>
      <c r="F582" s="270"/>
      <c r="H582" s="270"/>
    </row>
    <row r="583" spans="2:8">
      <c r="B583" s="271"/>
      <c r="C583" s="270"/>
      <c r="D583" s="270"/>
      <c r="E583" s="270"/>
      <c r="F583" s="270"/>
      <c r="H583" s="270"/>
    </row>
    <row r="584" spans="2:8">
      <c r="B584" s="271"/>
      <c r="C584" s="270"/>
      <c r="D584" s="270"/>
      <c r="E584" s="270"/>
      <c r="F584" s="270"/>
      <c r="H584" s="270"/>
    </row>
    <row r="585" spans="2:8">
      <c r="B585" s="271"/>
      <c r="C585" s="270"/>
      <c r="D585" s="270"/>
      <c r="E585" s="270"/>
      <c r="F585" s="270"/>
      <c r="H585" s="270"/>
    </row>
    <row r="586" spans="2:8">
      <c r="B586" s="271"/>
      <c r="C586" s="270"/>
      <c r="D586" s="270"/>
      <c r="E586" s="270"/>
      <c r="F586" s="270"/>
      <c r="H586" s="270"/>
    </row>
    <row r="587" spans="2:8">
      <c r="B587" s="271"/>
      <c r="C587" s="270"/>
      <c r="D587" s="270"/>
      <c r="E587" s="270"/>
      <c r="F587" s="270"/>
      <c r="H587" s="270"/>
    </row>
    <row r="588" spans="2:8">
      <c r="B588" s="271"/>
      <c r="C588" s="270"/>
      <c r="D588" s="270"/>
      <c r="E588" s="270"/>
      <c r="F588" s="270"/>
      <c r="H588" s="270"/>
    </row>
    <row r="589" spans="2:8">
      <c r="B589" s="271"/>
      <c r="C589" s="270"/>
      <c r="D589" s="270"/>
      <c r="E589" s="270"/>
      <c r="F589" s="270"/>
      <c r="H589" s="270"/>
    </row>
    <row r="590" spans="2:8">
      <c r="B590" s="271"/>
      <c r="C590" s="270"/>
      <c r="D590" s="270"/>
      <c r="E590" s="270"/>
      <c r="F590" s="270"/>
      <c r="H590" s="270"/>
    </row>
    <row r="591" spans="2:8">
      <c r="B591" s="271"/>
      <c r="C591" s="270"/>
      <c r="D591" s="270"/>
      <c r="E591" s="270"/>
      <c r="F591" s="270"/>
      <c r="H591" s="270"/>
    </row>
    <row r="592" spans="2:8">
      <c r="B592" s="271"/>
      <c r="C592" s="270"/>
      <c r="D592" s="270"/>
      <c r="E592" s="270"/>
      <c r="F592" s="270"/>
      <c r="H592" s="270"/>
    </row>
    <row r="593" spans="2:8">
      <c r="B593" s="271"/>
      <c r="C593" s="270"/>
      <c r="D593" s="270"/>
      <c r="E593" s="270"/>
      <c r="F593" s="270"/>
      <c r="H593" s="270"/>
    </row>
    <row r="594" spans="2:8">
      <c r="B594" s="271"/>
      <c r="C594" s="270"/>
      <c r="D594" s="270"/>
      <c r="E594" s="270"/>
      <c r="F594" s="270"/>
      <c r="H594" s="270"/>
    </row>
    <row r="595" spans="2:8">
      <c r="B595" s="271"/>
      <c r="C595" s="270"/>
      <c r="D595" s="270"/>
      <c r="E595" s="270"/>
      <c r="F595" s="270"/>
      <c r="H595" s="270"/>
    </row>
    <row r="596" spans="2:8">
      <c r="B596" s="271"/>
      <c r="C596" s="270"/>
      <c r="D596" s="270"/>
      <c r="E596" s="270"/>
      <c r="F596" s="270"/>
      <c r="H596" s="270"/>
    </row>
    <row r="597" spans="2:8">
      <c r="B597" s="271"/>
      <c r="C597" s="270"/>
      <c r="D597" s="270"/>
      <c r="E597" s="270"/>
      <c r="F597" s="270"/>
      <c r="H597" s="270"/>
    </row>
    <row r="598" spans="2:8">
      <c r="B598" s="271"/>
      <c r="C598" s="270"/>
      <c r="D598" s="270"/>
      <c r="E598" s="270"/>
      <c r="F598" s="270"/>
      <c r="H598" s="270"/>
    </row>
    <row r="599" spans="2:8">
      <c r="B599" s="271"/>
      <c r="C599" s="270"/>
      <c r="D599" s="270"/>
      <c r="E599" s="270"/>
      <c r="F599" s="270"/>
      <c r="H599" s="270"/>
    </row>
    <row r="600" spans="2:8">
      <c r="B600" s="271"/>
      <c r="C600" s="270"/>
      <c r="D600" s="270"/>
      <c r="E600" s="270"/>
      <c r="F600" s="270"/>
      <c r="H600" s="270"/>
    </row>
    <row r="601" spans="2:8">
      <c r="B601" s="271"/>
      <c r="C601" s="270"/>
      <c r="D601" s="270"/>
      <c r="E601" s="270"/>
      <c r="F601" s="270"/>
      <c r="H601" s="270"/>
    </row>
    <row r="602" spans="2:8">
      <c r="B602" s="271"/>
      <c r="C602" s="270"/>
      <c r="D602" s="270"/>
      <c r="E602" s="270"/>
      <c r="F602" s="270"/>
      <c r="H602" s="270"/>
    </row>
    <row r="603" spans="2:8">
      <c r="B603" s="271"/>
      <c r="C603" s="270"/>
      <c r="D603" s="270"/>
      <c r="E603" s="270"/>
      <c r="F603" s="270"/>
      <c r="H603" s="270"/>
    </row>
    <row r="604" spans="2:8">
      <c r="B604" s="271"/>
      <c r="C604" s="270"/>
      <c r="D604" s="270"/>
      <c r="E604" s="270"/>
      <c r="F604" s="270"/>
      <c r="H604" s="270"/>
    </row>
    <row r="605" spans="2:8">
      <c r="B605" s="271"/>
      <c r="C605" s="270"/>
      <c r="D605" s="270"/>
      <c r="E605" s="270"/>
      <c r="F605" s="270"/>
      <c r="H605" s="270"/>
    </row>
    <row r="606" spans="2:8">
      <c r="B606" s="271"/>
      <c r="C606" s="270"/>
      <c r="D606" s="270"/>
      <c r="E606" s="270"/>
      <c r="F606" s="270"/>
      <c r="H606" s="270"/>
    </row>
    <row r="607" spans="2:8">
      <c r="B607" s="271"/>
      <c r="C607" s="270"/>
      <c r="D607" s="270"/>
      <c r="E607" s="270"/>
      <c r="F607" s="270"/>
      <c r="H607" s="270"/>
    </row>
    <row r="608" spans="2:8">
      <c r="B608" s="271"/>
      <c r="C608" s="270"/>
      <c r="D608" s="270"/>
      <c r="E608" s="270"/>
      <c r="F608" s="270"/>
      <c r="H608" s="270"/>
    </row>
    <row r="609" spans="2:8">
      <c r="B609" s="271"/>
      <c r="C609" s="270"/>
      <c r="D609" s="270"/>
      <c r="E609" s="270"/>
      <c r="F609" s="270"/>
      <c r="H609" s="270"/>
    </row>
    <row r="610" spans="2:8">
      <c r="B610" s="271"/>
      <c r="C610" s="270"/>
      <c r="D610" s="270"/>
      <c r="E610" s="270"/>
      <c r="F610" s="270"/>
      <c r="H610" s="270"/>
    </row>
    <row r="611" spans="2:8">
      <c r="B611" s="271"/>
      <c r="C611" s="270"/>
      <c r="D611" s="270"/>
      <c r="E611" s="270"/>
      <c r="F611" s="270"/>
      <c r="H611" s="270"/>
    </row>
    <row r="612" spans="2:8">
      <c r="B612" s="271"/>
      <c r="C612" s="270"/>
      <c r="D612" s="270"/>
      <c r="E612" s="270"/>
      <c r="F612" s="270"/>
      <c r="H612" s="270"/>
    </row>
    <row r="613" spans="2:8">
      <c r="B613" s="271"/>
      <c r="C613" s="270"/>
      <c r="D613" s="270"/>
      <c r="E613" s="270"/>
      <c r="F613" s="270"/>
      <c r="H613" s="270"/>
    </row>
    <row r="614" spans="2:8">
      <c r="B614" s="271"/>
      <c r="C614" s="270"/>
      <c r="D614" s="270"/>
      <c r="E614" s="270"/>
      <c r="F614" s="270"/>
      <c r="H614" s="270"/>
    </row>
    <row r="615" spans="2:8">
      <c r="B615" s="271"/>
      <c r="C615" s="270"/>
      <c r="D615" s="270"/>
      <c r="E615" s="270"/>
      <c r="F615" s="270"/>
      <c r="H615" s="270"/>
    </row>
    <row r="616" spans="2:8">
      <c r="B616" s="271"/>
      <c r="C616" s="270"/>
      <c r="D616" s="270"/>
      <c r="E616" s="270"/>
      <c r="F616" s="270"/>
      <c r="H616" s="270"/>
    </row>
    <row r="617" spans="2:8">
      <c r="B617" s="271"/>
      <c r="C617" s="270"/>
      <c r="D617" s="270"/>
      <c r="E617" s="270"/>
      <c r="F617" s="270"/>
      <c r="H617" s="270"/>
    </row>
    <row r="618" spans="2:8">
      <c r="B618" s="271"/>
      <c r="C618" s="270"/>
      <c r="D618" s="270"/>
      <c r="E618" s="270"/>
      <c r="F618" s="270"/>
      <c r="H618" s="270"/>
    </row>
    <row r="619" spans="2:8">
      <c r="B619" s="271"/>
      <c r="C619" s="270"/>
      <c r="D619" s="270"/>
      <c r="E619" s="270"/>
      <c r="F619" s="270"/>
      <c r="H619" s="270"/>
    </row>
    <row r="620" spans="2:8">
      <c r="B620" s="271"/>
      <c r="C620" s="270"/>
      <c r="D620" s="270"/>
      <c r="E620" s="270"/>
      <c r="F620" s="270"/>
      <c r="H620" s="270"/>
    </row>
    <row r="621" spans="2:8">
      <c r="B621" s="271"/>
      <c r="C621" s="270"/>
      <c r="D621" s="270"/>
      <c r="E621" s="270"/>
      <c r="F621" s="270"/>
      <c r="H621" s="270"/>
    </row>
    <row r="622" spans="2:8">
      <c r="B622" s="271"/>
      <c r="C622" s="270"/>
      <c r="D622" s="270"/>
      <c r="E622" s="270"/>
      <c r="F622" s="270"/>
      <c r="H622" s="270"/>
    </row>
    <row r="623" spans="2:8">
      <c r="B623" s="271"/>
      <c r="C623" s="270"/>
      <c r="D623" s="270"/>
      <c r="E623" s="270"/>
      <c r="F623" s="270"/>
      <c r="H623" s="270"/>
    </row>
    <row r="624" spans="2:8">
      <c r="B624" s="271"/>
      <c r="C624" s="270"/>
      <c r="D624" s="270"/>
      <c r="E624" s="270"/>
      <c r="F624" s="270"/>
      <c r="H624" s="270"/>
    </row>
    <row r="625" spans="2:8">
      <c r="B625" s="271"/>
      <c r="C625" s="270"/>
      <c r="D625" s="270"/>
      <c r="E625" s="270"/>
      <c r="F625" s="270"/>
      <c r="H625" s="270"/>
    </row>
    <row r="626" spans="2:8">
      <c r="B626" s="271"/>
      <c r="C626" s="270"/>
      <c r="D626" s="270"/>
      <c r="E626" s="270"/>
      <c r="F626" s="270"/>
      <c r="H626" s="270"/>
    </row>
    <row r="627" spans="2:8">
      <c r="B627" s="271"/>
      <c r="C627" s="270"/>
      <c r="D627" s="270"/>
      <c r="E627" s="270"/>
      <c r="F627" s="270"/>
      <c r="H627" s="270"/>
    </row>
    <row r="628" spans="2:8">
      <c r="B628" s="271"/>
      <c r="C628" s="270"/>
      <c r="D628" s="270"/>
      <c r="E628" s="270"/>
      <c r="F628" s="270"/>
      <c r="H628" s="270"/>
    </row>
    <row r="629" spans="2:8">
      <c r="B629" s="271"/>
      <c r="C629" s="270"/>
      <c r="D629" s="270"/>
      <c r="E629" s="270"/>
      <c r="F629" s="270"/>
      <c r="H629" s="270"/>
    </row>
    <row r="630" spans="2:8">
      <c r="B630" s="271"/>
      <c r="C630" s="270"/>
      <c r="D630" s="270"/>
      <c r="E630" s="270"/>
      <c r="F630" s="270"/>
      <c r="H630" s="270"/>
    </row>
    <row r="631" spans="2:8">
      <c r="B631" s="271"/>
      <c r="C631" s="270"/>
      <c r="D631" s="270"/>
      <c r="E631" s="270"/>
      <c r="F631" s="270"/>
      <c r="H631" s="270"/>
    </row>
    <row r="632" spans="2:8">
      <c r="B632" s="271"/>
      <c r="C632" s="270"/>
      <c r="D632" s="270"/>
      <c r="E632" s="270"/>
      <c r="F632" s="270"/>
      <c r="H632" s="270"/>
    </row>
    <row r="633" spans="2:8">
      <c r="B633" s="271"/>
      <c r="C633" s="270"/>
      <c r="D633" s="270"/>
      <c r="E633" s="270"/>
      <c r="F633" s="270"/>
      <c r="H633" s="270"/>
    </row>
    <row r="634" spans="2:8">
      <c r="B634" s="271"/>
      <c r="C634" s="270"/>
      <c r="D634" s="270"/>
      <c r="E634" s="270"/>
      <c r="F634" s="270"/>
      <c r="H634" s="270"/>
    </row>
    <row r="635" spans="2:8">
      <c r="B635" s="271"/>
      <c r="C635" s="270"/>
      <c r="D635" s="270"/>
      <c r="E635" s="270"/>
      <c r="F635" s="270"/>
      <c r="H635" s="270"/>
    </row>
    <row r="636" spans="2:8">
      <c r="B636" s="271"/>
      <c r="C636" s="270"/>
      <c r="D636" s="270"/>
      <c r="E636" s="270"/>
      <c r="F636" s="270"/>
      <c r="H636" s="270"/>
    </row>
    <row r="637" spans="2:8">
      <c r="B637" s="271"/>
      <c r="C637" s="270"/>
      <c r="D637" s="270"/>
      <c r="E637" s="270"/>
      <c r="F637" s="270"/>
      <c r="H637" s="270"/>
    </row>
    <row r="638" spans="2:8">
      <c r="B638" s="271"/>
      <c r="C638" s="270"/>
      <c r="D638" s="270"/>
      <c r="E638" s="270"/>
      <c r="F638" s="270"/>
      <c r="H638" s="270"/>
    </row>
    <row r="639" spans="2:8">
      <c r="B639" s="271"/>
      <c r="C639" s="270"/>
      <c r="D639" s="270"/>
      <c r="E639" s="270"/>
      <c r="F639" s="270"/>
      <c r="H639" s="270"/>
    </row>
    <row r="640" spans="2:8">
      <c r="B640" s="271"/>
      <c r="C640" s="270"/>
      <c r="D640" s="270"/>
      <c r="E640" s="270"/>
      <c r="F640" s="270"/>
      <c r="H640" s="270"/>
    </row>
    <row r="641" spans="2:8">
      <c r="B641" s="271"/>
      <c r="C641" s="270"/>
      <c r="D641" s="270"/>
      <c r="E641" s="270"/>
      <c r="F641" s="270"/>
      <c r="H641" s="270"/>
    </row>
    <row r="642" spans="2:8">
      <c r="B642" s="271"/>
      <c r="C642" s="270"/>
      <c r="D642" s="270"/>
      <c r="E642" s="270"/>
      <c r="F642" s="270"/>
      <c r="H642" s="270"/>
    </row>
    <row r="643" spans="2:8">
      <c r="B643" s="271"/>
      <c r="C643" s="270"/>
      <c r="D643" s="270"/>
      <c r="E643" s="270"/>
      <c r="F643" s="270"/>
      <c r="H643" s="270"/>
    </row>
    <row r="644" spans="2:8">
      <c r="B644" s="271"/>
      <c r="C644" s="270"/>
      <c r="D644" s="270"/>
      <c r="E644" s="270"/>
      <c r="F644" s="270"/>
      <c r="H644" s="270"/>
    </row>
    <row r="645" spans="2:8">
      <c r="B645" s="271"/>
      <c r="C645" s="270"/>
      <c r="D645" s="270"/>
      <c r="E645" s="270"/>
      <c r="F645" s="270"/>
      <c r="H645" s="270"/>
    </row>
    <row r="646" spans="2:8">
      <c r="B646" s="271"/>
      <c r="C646" s="270"/>
      <c r="D646" s="270"/>
      <c r="E646" s="270"/>
      <c r="F646" s="270"/>
      <c r="H646" s="270"/>
    </row>
    <row r="647" spans="2:8">
      <c r="B647" s="271"/>
      <c r="C647" s="270"/>
      <c r="D647" s="270"/>
      <c r="E647" s="270"/>
      <c r="F647" s="270"/>
      <c r="H647" s="270"/>
    </row>
    <row r="648" spans="2:8">
      <c r="B648" s="271"/>
      <c r="C648" s="270"/>
      <c r="D648" s="270"/>
      <c r="E648" s="270"/>
      <c r="F648" s="270"/>
      <c r="H648" s="270"/>
    </row>
    <row r="649" spans="2:8">
      <c r="B649" s="271"/>
      <c r="C649" s="270"/>
      <c r="D649" s="270"/>
      <c r="E649" s="270"/>
      <c r="F649" s="270"/>
      <c r="H649" s="270"/>
    </row>
    <row r="650" spans="2:8">
      <c r="B650" s="271"/>
      <c r="C650" s="270"/>
      <c r="D650" s="270"/>
      <c r="E650" s="270"/>
      <c r="F650" s="270"/>
      <c r="H650" s="270"/>
    </row>
    <row r="651" spans="2:8">
      <c r="B651" s="271"/>
      <c r="C651" s="270"/>
      <c r="D651" s="270"/>
      <c r="E651" s="270"/>
      <c r="F651" s="270"/>
      <c r="H651" s="270"/>
    </row>
    <row r="652" spans="2:8">
      <c r="B652" s="271"/>
      <c r="C652" s="270"/>
      <c r="D652" s="270"/>
      <c r="E652" s="270"/>
      <c r="F652" s="270"/>
      <c r="H652" s="270"/>
    </row>
    <row r="653" spans="2:8">
      <c r="B653" s="271"/>
      <c r="C653" s="270"/>
      <c r="D653" s="270"/>
      <c r="E653" s="270"/>
      <c r="F653" s="270"/>
      <c r="H653" s="270"/>
    </row>
    <row r="654" spans="2:8">
      <c r="B654" s="271"/>
      <c r="C654" s="270"/>
      <c r="D654" s="270"/>
      <c r="E654" s="270"/>
      <c r="F654" s="270"/>
      <c r="H654" s="270"/>
    </row>
    <row r="655" spans="2:8">
      <c r="B655" s="271"/>
      <c r="C655" s="270"/>
      <c r="D655" s="270"/>
      <c r="E655" s="270"/>
      <c r="F655" s="270"/>
      <c r="H655" s="270"/>
    </row>
    <row r="656" spans="2:8">
      <c r="B656" s="271"/>
      <c r="C656" s="270"/>
      <c r="D656" s="270"/>
      <c r="E656" s="270"/>
      <c r="F656" s="270"/>
      <c r="H656" s="270"/>
    </row>
    <row r="657" spans="2:8">
      <c r="B657" s="271"/>
      <c r="C657" s="270"/>
      <c r="D657" s="270"/>
      <c r="E657" s="270"/>
      <c r="F657" s="270"/>
      <c r="H657" s="270"/>
    </row>
    <row r="658" spans="2:8">
      <c r="B658" s="271"/>
      <c r="C658" s="270"/>
      <c r="D658" s="270"/>
      <c r="E658" s="270"/>
      <c r="F658" s="270"/>
      <c r="H658" s="270"/>
    </row>
    <row r="659" spans="2:8">
      <c r="B659" s="271"/>
      <c r="C659" s="270"/>
      <c r="D659" s="270"/>
      <c r="E659" s="270"/>
      <c r="F659" s="270"/>
      <c r="H659" s="270"/>
    </row>
    <row r="660" spans="2:8">
      <c r="B660" s="271"/>
      <c r="C660" s="270"/>
      <c r="D660" s="270"/>
      <c r="E660" s="270"/>
      <c r="F660" s="270"/>
      <c r="H660" s="270"/>
    </row>
    <row r="661" spans="2:8">
      <c r="B661" s="271"/>
      <c r="C661" s="270"/>
      <c r="D661" s="270"/>
      <c r="E661" s="270"/>
      <c r="F661" s="270"/>
      <c r="H661" s="270"/>
    </row>
    <row r="662" spans="2:8">
      <c r="B662" s="271"/>
      <c r="C662" s="270"/>
      <c r="D662" s="270"/>
      <c r="E662" s="270"/>
      <c r="F662" s="270"/>
      <c r="H662" s="270"/>
    </row>
    <row r="663" spans="2:8">
      <c r="B663" s="271"/>
      <c r="C663" s="270"/>
      <c r="D663" s="270"/>
      <c r="E663" s="270"/>
      <c r="F663" s="270"/>
      <c r="H663" s="270"/>
    </row>
    <row r="664" spans="2:8">
      <c r="B664" s="271"/>
      <c r="C664" s="270"/>
      <c r="D664" s="270"/>
      <c r="E664" s="270"/>
      <c r="F664" s="270"/>
      <c r="H664" s="270"/>
    </row>
    <row r="665" spans="2:8">
      <c r="B665" s="271"/>
      <c r="C665" s="270"/>
      <c r="D665" s="270"/>
      <c r="E665" s="270"/>
      <c r="F665" s="270"/>
      <c r="H665" s="270"/>
    </row>
    <row r="666" spans="2:8">
      <c r="B666" s="271"/>
      <c r="C666" s="270"/>
      <c r="D666" s="270"/>
      <c r="E666" s="270"/>
      <c r="F666" s="270"/>
      <c r="H666" s="270"/>
    </row>
    <row r="667" spans="2:8">
      <c r="B667" s="271"/>
      <c r="C667" s="270"/>
      <c r="D667" s="270"/>
      <c r="E667" s="270"/>
      <c r="F667" s="270"/>
      <c r="H667" s="270"/>
    </row>
    <row r="668" spans="2:8">
      <c r="B668" s="271"/>
      <c r="C668" s="270"/>
      <c r="D668" s="270"/>
      <c r="E668" s="270"/>
      <c r="F668" s="270"/>
      <c r="H668" s="270"/>
    </row>
    <row r="669" spans="2:8">
      <c r="B669" s="271"/>
      <c r="C669" s="270"/>
      <c r="D669" s="270"/>
      <c r="E669" s="270"/>
      <c r="F669" s="270"/>
      <c r="H669" s="270"/>
    </row>
    <row r="670" spans="2:8">
      <c r="B670" s="271"/>
      <c r="C670" s="270"/>
      <c r="D670" s="270"/>
      <c r="E670" s="270"/>
      <c r="F670" s="270"/>
      <c r="H670" s="270"/>
    </row>
    <row r="671" spans="2:8">
      <c r="B671" s="271"/>
      <c r="C671" s="270"/>
      <c r="D671" s="270"/>
      <c r="E671" s="270"/>
      <c r="F671" s="270"/>
      <c r="H671" s="270"/>
    </row>
    <row r="672" spans="2:8">
      <c r="B672" s="271"/>
      <c r="C672" s="270"/>
      <c r="D672" s="270"/>
      <c r="E672" s="270"/>
      <c r="F672" s="270"/>
      <c r="H672" s="270"/>
    </row>
    <row r="673" spans="2:8">
      <c r="B673" s="271"/>
      <c r="C673" s="270"/>
      <c r="D673" s="270"/>
      <c r="E673" s="270"/>
      <c r="F673" s="270"/>
      <c r="H673" s="270"/>
    </row>
    <row r="674" spans="2:8">
      <c r="B674" s="271"/>
      <c r="C674" s="270"/>
      <c r="D674" s="270"/>
      <c r="E674" s="270"/>
      <c r="F674" s="270"/>
      <c r="H674" s="270"/>
    </row>
    <row r="675" spans="2:8">
      <c r="B675" s="271"/>
      <c r="C675" s="270"/>
      <c r="D675" s="270"/>
      <c r="E675" s="270"/>
      <c r="F675" s="270"/>
      <c r="H675" s="270"/>
    </row>
    <row r="676" spans="2:8">
      <c r="B676" s="271"/>
      <c r="C676" s="270"/>
      <c r="D676" s="270"/>
      <c r="E676" s="270"/>
      <c r="F676" s="270"/>
      <c r="H676" s="270"/>
    </row>
    <row r="677" spans="2:8">
      <c r="B677" s="271"/>
      <c r="C677" s="270"/>
      <c r="D677" s="270"/>
      <c r="E677" s="270"/>
      <c r="F677" s="270"/>
      <c r="H677" s="270"/>
    </row>
    <row r="678" spans="2:8">
      <c r="B678" s="271"/>
      <c r="C678" s="270"/>
      <c r="D678" s="270"/>
      <c r="E678" s="270"/>
      <c r="F678" s="270"/>
      <c r="H678" s="270"/>
    </row>
    <row r="679" spans="2:8">
      <c r="B679" s="271"/>
      <c r="C679" s="270"/>
      <c r="D679" s="270"/>
      <c r="E679" s="270"/>
      <c r="F679" s="270"/>
      <c r="H679" s="270"/>
    </row>
    <row r="680" spans="2:8">
      <c r="B680" s="271"/>
      <c r="C680" s="270"/>
      <c r="D680" s="270"/>
      <c r="E680" s="270"/>
      <c r="F680" s="270"/>
      <c r="H680" s="270"/>
    </row>
    <row r="681" spans="2:8">
      <c r="B681" s="271"/>
      <c r="C681" s="270"/>
      <c r="D681" s="270"/>
      <c r="E681" s="270"/>
      <c r="F681" s="270"/>
      <c r="H681" s="270"/>
    </row>
    <row r="682" spans="2:8">
      <c r="B682" s="271"/>
      <c r="C682" s="270"/>
      <c r="D682" s="270"/>
      <c r="E682" s="270"/>
      <c r="F682" s="270"/>
      <c r="H682" s="270"/>
    </row>
    <row r="683" spans="2:8">
      <c r="B683" s="271"/>
      <c r="C683" s="270"/>
      <c r="D683" s="270"/>
      <c r="E683" s="270"/>
      <c r="F683" s="270"/>
      <c r="H683" s="270"/>
    </row>
    <row r="684" spans="2:8">
      <c r="B684" s="271"/>
      <c r="C684" s="270"/>
      <c r="D684" s="270"/>
      <c r="E684" s="270"/>
      <c r="F684" s="270"/>
      <c r="H684" s="270"/>
    </row>
    <row r="685" spans="2:8">
      <c r="B685" s="271"/>
      <c r="C685" s="270"/>
      <c r="D685" s="270"/>
      <c r="E685" s="270"/>
      <c r="F685" s="270"/>
      <c r="H685" s="270"/>
    </row>
    <row r="686" spans="2:8">
      <c r="B686" s="271"/>
      <c r="C686" s="270"/>
      <c r="D686" s="270"/>
      <c r="E686" s="270"/>
      <c r="F686" s="270"/>
      <c r="H686" s="270"/>
    </row>
    <row r="687" spans="2:8">
      <c r="B687" s="271"/>
      <c r="C687" s="270"/>
      <c r="D687" s="270"/>
      <c r="E687" s="270"/>
      <c r="F687" s="270"/>
      <c r="H687" s="270"/>
    </row>
    <row r="688" spans="2:8">
      <c r="B688" s="271"/>
      <c r="C688" s="270"/>
      <c r="D688" s="270"/>
      <c r="E688" s="270"/>
      <c r="F688" s="270"/>
      <c r="H688" s="270"/>
    </row>
    <row r="689" spans="2:8">
      <c r="B689" s="271"/>
      <c r="C689" s="270"/>
      <c r="D689" s="270"/>
      <c r="E689" s="270"/>
      <c r="F689" s="270"/>
      <c r="H689" s="270"/>
    </row>
    <row r="690" spans="2:8">
      <c r="B690" s="271"/>
      <c r="C690" s="270"/>
      <c r="D690" s="270"/>
      <c r="E690" s="270"/>
      <c r="F690" s="270"/>
      <c r="H690" s="270"/>
    </row>
    <row r="691" spans="2:8">
      <c r="B691" s="271"/>
      <c r="C691" s="270"/>
      <c r="D691" s="270"/>
      <c r="E691" s="270"/>
      <c r="F691" s="270"/>
      <c r="H691" s="270"/>
    </row>
    <row r="692" spans="2:8">
      <c r="B692" s="271"/>
      <c r="C692" s="270"/>
      <c r="D692" s="270"/>
      <c r="E692" s="270"/>
      <c r="F692" s="270"/>
      <c r="H692" s="270"/>
    </row>
    <row r="693" spans="2:8">
      <c r="B693" s="271"/>
      <c r="C693" s="270"/>
      <c r="D693" s="270"/>
      <c r="E693" s="270"/>
      <c r="F693" s="270"/>
      <c r="H693" s="270"/>
    </row>
    <row r="694" spans="2:8">
      <c r="B694" s="271"/>
      <c r="C694" s="270"/>
      <c r="D694" s="270"/>
      <c r="E694" s="270"/>
      <c r="F694" s="270"/>
      <c r="H694" s="270"/>
    </row>
    <row r="695" spans="2:8">
      <c r="B695" s="271"/>
      <c r="C695" s="270"/>
      <c r="D695" s="270"/>
      <c r="E695" s="270"/>
      <c r="F695" s="270"/>
      <c r="H695" s="270"/>
    </row>
    <row r="696" spans="2:8">
      <c r="B696" s="271"/>
      <c r="C696" s="270"/>
      <c r="D696" s="270"/>
      <c r="E696" s="270"/>
      <c r="F696" s="270"/>
      <c r="H696" s="270"/>
    </row>
    <row r="697" spans="2:8">
      <c r="B697" s="271"/>
      <c r="C697" s="270"/>
      <c r="D697" s="270"/>
      <c r="E697" s="270"/>
      <c r="F697" s="270"/>
      <c r="H697" s="270"/>
    </row>
    <row r="698" spans="2:8">
      <c r="B698" s="271"/>
      <c r="C698" s="270"/>
      <c r="D698" s="270"/>
      <c r="E698" s="270"/>
      <c r="F698" s="270"/>
      <c r="H698" s="270"/>
    </row>
    <row r="699" spans="2:8">
      <c r="B699" s="271"/>
      <c r="C699" s="270"/>
      <c r="D699" s="270"/>
      <c r="E699" s="270"/>
      <c r="F699" s="270"/>
      <c r="H699" s="270"/>
    </row>
    <row r="700" spans="2:8">
      <c r="B700" s="271"/>
      <c r="C700" s="270"/>
      <c r="D700" s="270"/>
      <c r="E700" s="270"/>
      <c r="F700" s="270"/>
      <c r="H700" s="270"/>
    </row>
    <row r="701" spans="2:8">
      <c r="B701" s="271"/>
      <c r="C701" s="270"/>
      <c r="D701" s="270"/>
      <c r="E701" s="270"/>
      <c r="F701" s="270"/>
      <c r="H701" s="270"/>
    </row>
    <row r="702" spans="2:8">
      <c r="B702" s="271"/>
      <c r="C702" s="270"/>
      <c r="D702" s="270"/>
      <c r="E702" s="270"/>
      <c r="F702" s="270"/>
      <c r="H702" s="270"/>
    </row>
    <row r="703" spans="2:8">
      <c r="B703" s="271"/>
      <c r="C703" s="270"/>
      <c r="D703" s="270"/>
      <c r="E703" s="270"/>
      <c r="F703" s="270"/>
      <c r="H703" s="270"/>
    </row>
    <row r="704" spans="2:8">
      <c r="B704" s="271"/>
      <c r="C704" s="270"/>
      <c r="D704" s="270"/>
      <c r="E704" s="270"/>
      <c r="F704" s="270"/>
      <c r="H704" s="270"/>
    </row>
    <row r="705" spans="2:8">
      <c r="B705" s="271"/>
      <c r="C705" s="270"/>
      <c r="D705" s="270"/>
      <c r="E705" s="270"/>
      <c r="F705" s="270"/>
      <c r="H705" s="270"/>
    </row>
    <row r="706" spans="2:8">
      <c r="B706" s="271"/>
      <c r="C706" s="270"/>
      <c r="D706" s="270"/>
      <c r="E706" s="270"/>
      <c r="F706" s="270"/>
      <c r="H706" s="270"/>
    </row>
    <row r="707" spans="2:8">
      <c r="B707" s="271"/>
      <c r="C707" s="270"/>
      <c r="D707" s="270"/>
      <c r="E707" s="270"/>
      <c r="F707" s="270"/>
      <c r="H707" s="270"/>
    </row>
    <row r="708" spans="2:8">
      <c r="B708" s="271"/>
      <c r="C708" s="270"/>
      <c r="D708" s="270"/>
      <c r="E708" s="270"/>
      <c r="F708" s="270"/>
      <c r="H708" s="270"/>
    </row>
    <row r="709" spans="2:8">
      <c r="B709" s="271"/>
      <c r="C709" s="270"/>
      <c r="D709" s="270"/>
      <c r="E709" s="270"/>
      <c r="F709" s="270"/>
      <c r="H709" s="270"/>
    </row>
    <row r="710" spans="2:8">
      <c r="B710" s="271"/>
      <c r="C710" s="270"/>
      <c r="D710" s="270"/>
      <c r="E710" s="270"/>
      <c r="F710" s="270"/>
      <c r="H710" s="270"/>
    </row>
    <row r="711" spans="2:8">
      <c r="B711" s="271"/>
      <c r="C711" s="270"/>
      <c r="D711" s="270"/>
      <c r="E711" s="270"/>
      <c r="F711" s="270"/>
      <c r="H711" s="270"/>
    </row>
    <row r="712" spans="2:8">
      <c r="B712" s="271"/>
      <c r="C712" s="270"/>
      <c r="D712" s="270"/>
      <c r="E712" s="270"/>
      <c r="F712" s="270"/>
      <c r="H712" s="270"/>
    </row>
    <row r="713" spans="2:8">
      <c r="B713" s="271"/>
      <c r="C713" s="270"/>
      <c r="D713" s="270"/>
      <c r="E713" s="270"/>
      <c r="F713" s="270"/>
      <c r="H713" s="270"/>
    </row>
    <row r="714" spans="2:8">
      <c r="B714" s="271"/>
      <c r="C714" s="270"/>
      <c r="D714" s="270"/>
      <c r="E714" s="270"/>
      <c r="F714" s="270"/>
      <c r="H714" s="270"/>
    </row>
    <row r="715" spans="2:8">
      <c r="B715" s="271"/>
      <c r="C715" s="270"/>
      <c r="D715" s="270"/>
      <c r="E715" s="270"/>
      <c r="F715" s="270"/>
      <c r="H715" s="270"/>
    </row>
    <row r="716" spans="2:8">
      <c r="B716" s="271"/>
      <c r="C716" s="270"/>
      <c r="D716" s="270"/>
      <c r="E716" s="270"/>
      <c r="F716" s="270"/>
      <c r="H716" s="270"/>
    </row>
    <row r="717" spans="2:8">
      <c r="B717" s="271"/>
      <c r="C717" s="270"/>
      <c r="D717" s="270"/>
      <c r="E717" s="270"/>
      <c r="F717" s="270"/>
      <c r="H717" s="270"/>
    </row>
    <row r="718" spans="2:8">
      <c r="B718" s="271"/>
      <c r="C718" s="270"/>
      <c r="D718" s="270"/>
      <c r="E718" s="270"/>
      <c r="F718" s="270"/>
      <c r="H718" s="270"/>
    </row>
    <row r="719" spans="2:8">
      <c r="B719" s="271"/>
      <c r="C719" s="270"/>
      <c r="D719" s="270"/>
      <c r="E719" s="270"/>
      <c r="F719" s="270"/>
      <c r="H719" s="270"/>
    </row>
    <row r="720" spans="2:8">
      <c r="B720" s="271"/>
      <c r="C720" s="270"/>
      <c r="D720" s="270"/>
      <c r="E720" s="270"/>
      <c r="F720" s="270"/>
      <c r="H720" s="270"/>
    </row>
    <row r="721" spans="2:8">
      <c r="B721" s="271"/>
      <c r="C721" s="270"/>
      <c r="D721" s="270"/>
      <c r="E721" s="270"/>
      <c r="F721" s="270"/>
      <c r="H721" s="270"/>
    </row>
    <row r="722" spans="2:8">
      <c r="B722" s="271"/>
      <c r="C722" s="270"/>
      <c r="D722" s="270"/>
      <c r="E722" s="270"/>
      <c r="F722" s="270"/>
      <c r="H722" s="270"/>
    </row>
    <row r="723" spans="2:8">
      <c r="B723" s="271"/>
      <c r="C723" s="270"/>
      <c r="D723" s="270"/>
      <c r="E723" s="270"/>
      <c r="F723" s="270"/>
      <c r="H723" s="270"/>
    </row>
    <row r="724" spans="2:8">
      <c r="B724" s="271"/>
      <c r="C724" s="270"/>
      <c r="D724" s="270"/>
      <c r="E724" s="270"/>
      <c r="F724" s="270"/>
      <c r="H724" s="270"/>
    </row>
    <row r="725" spans="2:8">
      <c r="B725" s="271"/>
      <c r="C725" s="270"/>
      <c r="D725" s="270"/>
      <c r="E725" s="270"/>
      <c r="F725" s="270"/>
      <c r="H725" s="270"/>
    </row>
    <row r="726" spans="2:8">
      <c r="B726" s="271"/>
      <c r="C726" s="270"/>
      <c r="D726" s="270"/>
      <c r="E726" s="270"/>
      <c r="F726" s="270"/>
      <c r="H726" s="270"/>
    </row>
    <row r="727" spans="2:8">
      <c r="B727" s="271"/>
      <c r="C727" s="270"/>
      <c r="D727" s="270"/>
      <c r="E727" s="270"/>
      <c r="F727" s="270"/>
      <c r="H727" s="270"/>
    </row>
    <row r="728" spans="2:8">
      <c r="B728" s="271"/>
      <c r="C728" s="270"/>
      <c r="D728" s="270"/>
      <c r="E728" s="270"/>
      <c r="F728" s="270"/>
      <c r="H728" s="270"/>
    </row>
    <row r="729" spans="2:8">
      <c r="B729" s="271"/>
      <c r="C729" s="270"/>
      <c r="D729" s="270"/>
      <c r="E729" s="270"/>
      <c r="F729" s="270"/>
      <c r="H729" s="270"/>
    </row>
    <row r="730" spans="2:8">
      <c r="B730" s="271"/>
      <c r="C730" s="270"/>
      <c r="D730" s="270"/>
      <c r="E730" s="270"/>
      <c r="F730" s="270"/>
      <c r="H730" s="270"/>
    </row>
    <row r="731" spans="2:8">
      <c r="B731" s="271"/>
      <c r="C731" s="270"/>
      <c r="D731" s="270"/>
      <c r="E731" s="270"/>
      <c r="F731" s="270"/>
      <c r="H731" s="270"/>
    </row>
    <row r="732" spans="2:8">
      <c r="B732" s="271"/>
      <c r="C732" s="270"/>
      <c r="D732" s="270"/>
      <c r="E732" s="270"/>
      <c r="F732" s="270"/>
      <c r="H732" s="270"/>
    </row>
    <row r="733" spans="2:8">
      <c r="B733" s="271"/>
      <c r="C733" s="270"/>
      <c r="D733" s="270"/>
      <c r="E733" s="270"/>
      <c r="F733" s="270"/>
      <c r="H733" s="270"/>
    </row>
    <row r="734" spans="2:8">
      <c r="B734" s="271"/>
      <c r="C734" s="270"/>
      <c r="D734" s="270"/>
      <c r="E734" s="270"/>
      <c r="F734" s="270"/>
      <c r="H734" s="270"/>
    </row>
    <row r="735" spans="2:8">
      <c r="B735" s="271"/>
      <c r="C735" s="270"/>
      <c r="D735" s="270"/>
      <c r="E735" s="270"/>
      <c r="F735" s="270"/>
      <c r="H735" s="270"/>
    </row>
    <row r="736" spans="2:8">
      <c r="B736" s="271"/>
      <c r="C736" s="270"/>
      <c r="D736" s="270"/>
      <c r="E736" s="270"/>
      <c r="F736" s="270"/>
      <c r="H736" s="270"/>
    </row>
    <row r="737" spans="2:8">
      <c r="B737" s="271"/>
      <c r="C737" s="270"/>
      <c r="D737" s="270"/>
      <c r="E737" s="270"/>
      <c r="F737" s="270"/>
      <c r="H737" s="270"/>
    </row>
    <row r="738" spans="2:8">
      <c r="B738" s="271"/>
      <c r="C738" s="270"/>
      <c r="D738" s="270"/>
      <c r="E738" s="270"/>
      <c r="F738" s="270"/>
      <c r="H738" s="270"/>
    </row>
    <row r="739" spans="2:8">
      <c r="B739" s="271"/>
      <c r="C739" s="270"/>
      <c r="D739" s="270"/>
      <c r="E739" s="270"/>
      <c r="F739" s="270"/>
      <c r="H739" s="270"/>
    </row>
    <row r="740" spans="2:8">
      <c r="B740" s="271"/>
      <c r="C740" s="270"/>
      <c r="D740" s="270"/>
      <c r="E740" s="270"/>
      <c r="F740" s="270"/>
      <c r="H740" s="270"/>
    </row>
    <row r="741" spans="2:8">
      <c r="B741" s="271"/>
      <c r="C741" s="270"/>
      <c r="D741" s="270"/>
      <c r="E741" s="270"/>
      <c r="F741" s="270"/>
      <c r="H741" s="270"/>
    </row>
    <row r="742" spans="2:8">
      <c r="B742" s="271"/>
      <c r="C742" s="270"/>
      <c r="D742" s="270"/>
      <c r="E742" s="270"/>
      <c r="F742" s="270"/>
      <c r="H742" s="270"/>
    </row>
    <row r="743" spans="2:8">
      <c r="B743" s="271"/>
      <c r="C743" s="270"/>
      <c r="D743" s="270"/>
      <c r="E743" s="270"/>
      <c r="F743" s="270"/>
      <c r="H743" s="270"/>
    </row>
    <row r="744" spans="2:8">
      <c r="B744" s="271"/>
      <c r="C744" s="270"/>
      <c r="D744" s="270"/>
      <c r="E744" s="270"/>
      <c r="F744" s="270"/>
      <c r="H744" s="270"/>
    </row>
    <row r="745" spans="2:8">
      <c r="B745" s="271"/>
      <c r="C745" s="270"/>
      <c r="D745" s="270"/>
      <c r="E745" s="270"/>
      <c r="F745" s="270"/>
      <c r="H745" s="270"/>
    </row>
    <row r="746" spans="2:8">
      <c r="B746" s="271"/>
      <c r="C746" s="270"/>
      <c r="D746" s="270"/>
      <c r="E746" s="270"/>
      <c r="F746" s="270"/>
      <c r="H746" s="270"/>
    </row>
    <row r="747" spans="2:8">
      <c r="B747" s="271"/>
      <c r="C747" s="270"/>
      <c r="D747" s="270"/>
      <c r="E747" s="270"/>
      <c r="F747" s="270"/>
      <c r="H747" s="270"/>
    </row>
    <row r="748" spans="2:8">
      <c r="B748" s="271"/>
      <c r="C748" s="270"/>
      <c r="D748" s="270"/>
      <c r="E748" s="270"/>
      <c r="F748" s="270"/>
      <c r="H748" s="270"/>
    </row>
    <row r="749" spans="2:8">
      <c r="B749" s="271"/>
      <c r="C749" s="270"/>
      <c r="D749" s="270"/>
      <c r="E749" s="270"/>
      <c r="F749" s="270"/>
      <c r="H749" s="270"/>
    </row>
    <row r="750" spans="2:8">
      <c r="B750" s="271"/>
      <c r="C750" s="270"/>
      <c r="D750" s="270"/>
      <c r="E750" s="270"/>
      <c r="F750" s="270"/>
      <c r="H750" s="270"/>
    </row>
    <row r="751" spans="2:8">
      <c r="B751" s="271"/>
      <c r="C751" s="270"/>
      <c r="D751" s="270"/>
      <c r="E751" s="270"/>
      <c r="F751" s="270"/>
      <c r="H751" s="270"/>
    </row>
    <row r="752" spans="2:8">
      <c r="B752" s="271"/>
      <c r="C752" s="270"/>
      <c r="D752" s="270"/>
      <c r="E752" s="270"/>
      <c r="F752" s="270"/>
      <c r="H752" s="270"/>
    </row>
    <row r="753" spans="2:8">
      <c r="B753" s="271"/>
      <c r="C753" s="270"/>
      <c r="D753" s="270"/>
      <c r="E753" s="270"/>
      <c r="F753" s="270"/>
      <c r="H753" s="270"/>
    </row>
    <row r="754" spans="2:8">
      <c r="B754" s="271"/>
      <c r="C754" s="270"/>
      <c r="D754" s="270"/>
      <c r="E754" s="270"/>
      <c r="F754" s="270"/>
      <c r="H754" s="270"/>
    </row>
    <row r="755" spans="2:8">
      <c r="B755" s="271"/>
      <c r="C755" s="270"/>
      <c r="D755" s="270"/>
      <c r="E755" s="270"/>
      <c r="F755" s="270"/>
      <c r="H755" s="270"/>
    </row>
    <row r="756" spans="2:8">
      <c r="B756" s="271"/>
      <c r="C756" s="270"/>
      <c r="D756" s="270"/>
      <c r="E756" s="270"/>
      <c r="F756" s="270"/>
      <c r="H756" s="270"/>
    </row>
    <row r="757" spans="2:8">
      <c r="B757" s="271"/>
      <c r="C757" s="270"/>
      <c r="D757" s="270"/>
      <c r="E757" s="270"/>
      <c r="F757" s="270"/>
      <c r="H757" s="270"/>
    </row>
    <row r="758" spans="2:8">
      <c r="B758" s="271"/>
      <c r="C758" s="270"/>
      <c r="D758" s="270"/>
      <c r="E758" s="270"/>
      <c r="F758" s="270"/>
      <c r="H758" s="270"/>
    </row>
    <row r="759" spans="2:8">
      <c r="B759" s="271"/>
      <c r="C759" s="270"/>
      <c r="D759" s="270"/>
      <c r="E759" s="270"/>
      <c r="F759" s="270"/>
      <c r="H759" s="270"/>
    </row>
    <row r="760" spans="2:8">
      <c r="B760" s="271"/>
      <c r="C760" s="270"/>
      <c r="D760" s="270"/>
      <c r="E760" s="270"/>
      <c r="F760" s="270"/>
      <c r="H760" s="270"/>
    </row>
    <row r="761" spans="2:8">
      <c r="B761" s="271"/>
      <c r="C761" s="270"/>
      <c r="D761" s="270"/>
      <c r="E761" s="270"/>
      <c r="F761" s="270"/>
      <c r="H761" s="270"/>
    </row>
    <row r="762" spans="2:8">
      <c r="B762" s="271"/>
      <c r="C762" s="270"/>
      <c r="D762" s="270"/>
      <c r="E762" s="270"/>
      <c r="F762" s="270"/>
      <c r="H762" s="270"/>
    </row>
    <row r="763" spans="2:8">
      <c r="B763" s="271"/>
      <c r="C763" s="270"/>
      <c r="D763" s="270"/>
      <c r="E763" s="270"/>
      <c r="F763" s="270"/>
      <c r="H763" s="270"/>
    </row>
    <row r="764" spans="2:8">
      <c r="B764" s="271"/>
      <c r="C764" s="270"/>
      <c r="D764" s="270"/>
      <c r="E764" s="270"/>
      <c r="F764" s="270"/>
      <c r="H764" s="270"/>
    </row>
    <row r="765" spans="2:8">
      <c r="B765" s="271"/>
      <c r="C765" s="270"/>
      <c r="D765" s="270"/>
      <c r="E765" s="270"/>
      <c r="F765" s="270"/>
      <c r="H765" s="270"/>
    </row>
    <row r="766" spans="2:8">
      <c r="B766" s="271"/>
      <c r="C766" s="270"/>
      <c r="D766" s="270"/>
      <c r="E766" s="270"/>
      <c r="F766" s="270"/>
      <c r="H766" s="270"/>
    </row>
    <row r="767" spans="2:8">
      <c r="B767" s="271"/>
      <c r="C767" s="270"/>
      <c r="D767" s="270"/>
      <c r="E767" s="270"/>
      <c r="F767" s="270"/>
      <c r="H767" s="270"/>
    </row>
    <row r="768" spans="2:8">
      <c r="B768" s="271"/>
      <c r="C768" s="270"/>
      <c r="D768" s="270"/>
      <c r="E768" s="270"/>
      <c r="F768" s="270"/>
      <c r="H768" s="270"/>
    </row>
    <row r="769" spans="2:8">
      <c r="B769" s="271"/>
      <c r="C769" s="270"/>
      <c r="D769" s="270"/>
      <c r="E769" s="270"/>
      <c r="F769" s="270"/>
      <c r="H769" s="270"/>
    </row>
    <row r="770" spans="2:8">
      <c r="B770" s="271"/>
      <c r="C770" s="270"/>
      <c r="D770" s="270"/>
      <c r="E770" s="270"/>
      <c r="F770" s="270"/>
      <c r="H770" s="270"/>
    </row>
    <row r="771" spans="2:8">
      <c r="B771" s="271"/>
      <c r="C771" s="270"/>
      <c r="D771" s="270"/>
      <c r="E771" s="270"/>
      <c r="F771" s="270"/>
      <c r="H771" s="270"/>
    </row>
    <row r="772" spans="2:8">
      <c r="B772" s="271"/>
      <c r="C772" s="270"/>
      <c r="D772" s="270"/>
      <c r="E772" s="270"/>
      <c r="F772" s="270"/>
      <c r="H772" s="270"/>
    </row>
    <row r="773" spans="2:8">
      <c r="B773" s="271"/>
      <c r="C773" s="270"/>
      <c r="D773" s="270"/>
      <c r="E773" s="270"/>
      <c r="F773" s="270"/>
      <c r="H773" s="270"/>
    </row>
    <row r="774" spans="2:8">
      <c r="B774" s="271"/>
      <c r="C774" s="270"/>
      <c r="D774" s="270"/>
      <c r="E774" s="270"/>
      <c r="F774" s="270"/>
      <c r="H774" s="270"/>
    </row>
    <row r="775" spans="2:8">
      <c r="B775" s="271"/>
      <c r="C775" s="270"/>
      <c r="D775" s="270"/>
      <c r="E775" s="270"/>
      <c r="F775" s="270"/>
      <c r="H775" s="270"/>
    </row>
    <row r="776" spans="2:8">
      <c r="B776" s="271"/>
      <c r="C776" s="270"/>
      <c r="D776" s="270"/>
      <c r="E776" s="270"/>
      <c r="F776" s="270"/>
      <c r="H776" s="270"/>
    </row>
    <row r="777" spans="2:8">
      <c r="B777" s="271"/>
      <c r="C777" s="270"/>
      <c r="D777" s="270"/>
      <c r="E777" s="270"/>
      <c r="F777" s="270"/>
      <c r="H777" s="270"/>
    </row>
    <row r="778" spans="2:8">
      <c r="B778" s="271"/>
      <c r="C778" s="270"/>
      <c r="D778" s="270"/>
      <c r="E778" s="270"/>
      <c r="F778" s="270"/>
      <c r="H778" s="270"/>
    </row>
    <row r="779" spans="2:8">
      <c r="B779" s="271"/>
      <c r="C779" s="270"/>
      <c r="D779" s="270"/>
      <c r="E779" s="270"/>
      <c r="F779" s="270"/>
      <c r="H779" s="270"/>
    </row>
    <row r="780" spans="2:8">
      <c r="B780" s="271"/>
      <c r="C780" s="270"/>
      <c r="D780" s="270"/>
      <c r="E780" s="270"/>
      <c r="F780" s="270"/>
      <c r="H780" s="270"/>
    </row>
    <row r="781" spans="2:8">
      <c r="B781" s="271"/>
      <c r="C781" s="270"/>
      <c r="D781" s="270"/>
      <c r="E781" s="270"/>
      <c r="F781" s="270"/>
      <c r="H781" s="270"/>
    </row>
    <row r="782" spans="2:8">
      <c r="B782" s="271"/>
      <c r="C782" s="270"/>
      <c r="D782" s="270"/>
      <c r="E782" s="270"/>
      <c r="F782" s="270"/>
      <c r="H782" s="270"/>
    </row>
    <row r="783" spans="2:8">
      <c r="B783" s="271"/>
      <c r="C783" s="270"/>
      <c r="D783" s="270"/>
      <c r="E783" s="270"/>
      <c r="F783" s="270"/>
      <c r="H783" s="270"/>
    </row>
    <row r="784" spans="2:8">
      <c r="B784" s="271"/>
      <c r="C784" s="270"/>
      <c r="D784" s="270"/>
      <c r="E784" s="270"/>
      <c r="F784" s="270"/>
      <c r="H784" s="270"/>
    </row>
    <row r="785" spans="2:8">
      <c r="B785" s="271"/>
      <c r="C785" s="270"/>
      <c r="D785" s="270"/>
      <c r="E785" s="270"/>
      <c r="F785" s="270"/>
      <c r="H785" s="270"/>
    </row>
    <row r="786" spans="2:8">
      <c r="B786" s="271"/>
      <c r="C786" s="270"/>
      <c r="D786" s="270"/>
      <c r="E786" s="270"/>
      <c r="F786" s="270"/>
      <c r="H786" s="270"/>
    </row>
    <row r="787" spans="2:8">
      <c r="B787" s="271"/>
      <c r="C787" s="270"/>
      <c r="D787" s="270"/>
      <c r="E787" s="270"/>
      <c r="F787" s="270"/>
      <c r="H787" s="270"/>
    </row>
    <row r="788" spans="2:8">
      <c r="B788" s="271"/>
      <c r="C788" s="270"/>
      <c r="D788" s="270"/>
      <c r="E788" s="270"/>
      <c r="F788" s="270"/>
      <c r="H788" s="270"/>
    </row>
    <row r="789" spans="2:8">
      <c r="B789" s="271"/>
      <c r="C789" s="270"/>
      <c r="D789" s="270"/>
      <c r="E789" s="270"/>
      <c r="F789" s="270"/>
      <c r="H789" s="270"/>
    </row>
    <row r="790" spans="2:8">
      <c r="B790" s="271"/>
      <c r="C790" s="270"/>
      <c r="D790" s="270"/>
      <c r="E790" s="270"/>
      <c r="F790" s="270"/>
      <c r="H790" s="270"/>
    </row>
    <row r="791" spans="2:8">
      <c r="B791" s="271"/>
      <c r="C791" s="270"/>
      <c r="D791" s="270"/>
      <c r="E791" s="270"/>
      <c r="F791" s="270"/>
      <c r="H791" s="270"/>
    </row>
    <row r="792" spans="2:8">
      <c r="B792" s="271"/>
      <c r="C792" s="270"/>
      <c r="D792" s="270"/>
      <c r="E792" s="270"/>
      <c r="F792" s="270"/>
      <c r="H792" s="270"/>
    </row>
    <row r="793" spans="2:8">
      <c r="B793" s="271"/>
      <c r="C793" s="270"/>
      <c r="D793" s="270"/>
      <c r="E793" s="270"/>
      <c r="F793" s="270"/>
      <c r="H793" s="270"/>
    </row>
    <row r="794" spans="2:8">
      <c r="B794" s="271"/>
      <c r="C794" s="270"/>
      <c r="D794" s="270"/>
      <c r="E794" s="270"/>
      <c r="F794" s="270"/>
      <c r="H794" s="270"/>
    </row>
    <row r="795" spans="2:8">
      <c r="B795" s="271"/>
      <c r="C795" s="270"/>
      <c r="D795" s="270"/>
      <c r="E795" s="270"/>
      <c r="F795" s="270"/>
      <c r="H795" s="270"/>
    </row>
    <row r="796" spans="2:8">
      <c r="B796" s="271"/>
      <c r="C796" s="270"/>
      <c r="D796" s="270"/>
      <c r="E796" s="270"/>
      <c r="F796" s="270"/>
      <c r="H796" s="270"/>
    </row>
    <row r="797" spans="2:8">
      <c r="B797" s="271"/>
      <c r="C797" s="270"/>
      <c r="D797" s="270"/>
      <c r="E797" s="270"/>
      <c r="F797" s="270"/>
      <c r="H797" s="270"/>
    </row>
    <row r="798" spans="2:8">
      <c r="B798" s="271"/>
      <c r="C798" s="270"/>
      <c r="D798" s="270"/>
      <c r="E798" s="270"/>
      <c r="F798" s="270"/>
      <c r="H798" s="270"/>
    </row>
    <row r="799" spans="2:8">
      <c r="B799" s="271"/>
      <c r="C799" s="270"/>
      <c r="D799" s="270"/>
      <c r="E799" s="270"/>
      <c r="F799" s="270"/>
      <c r="H799" s="270"/>
    </row>
    <row r="800" spans="2:8">
      <c r="B800" s="271"/>
      <c r="C800" s="270"/>
      <c r="D800" s="270"/>
      <c r="E800" s="270"/>
      <c r="F800" s="270"/>
      <c r="H800" s="270"/>
    </row>
    <row r="801" spans="2:8">
      <c r="B801" s="271"/>
      <c r="C801" s="270"/>
      <c r="D801" s="270"/>
      <c r="E801" s="270"/>
      <c r="F801" s="270"/>
      <c r="H801" s="270"/>
    </row>
    <row r="802" spans="2:8">
      <c r="B802" s="271"/>
      <c r="C802" s="270"/>
      <c r="D802" s="270"/>
      <c r="E802" s="270"/>
      <c r="F802" s="270"/>
      <c r="H802" s="270"/>
    </row>
    <row r="803" spans="2:8">
      <c r="B803" s="271"/>
      <c r="C803" s="270"/>
      <c r="D803" s="270"/>
      <c r="E803" s="270"/>
      <c r="F803" s="270"/>
      <c r="H803" s="270"/>
    </row>
    <row r="804" spans="2:8">
      <c r="B804" s="271"/>
      <c r="C804" s="270"/>
      <c r="D804" s="270"/>
      <c r="E804" s="270"/>
      <c r="F804" s="270"/>
      <c r="H804" s="270"/>
    </row>
    <row r="805" spans="2:8">
      <c r="B805" s="271"/>
      <c r="C805" s="270"/>
      <c r="D805" s="270"/>
      <c r="E805" s="270"/>
      <c r="F805" s="270"/>
      <c r="H805" s="270"/>
    </row>
    <row r="806" spans="2:8">
      <c r="B806" s="271"/>
      <c r="C806" s="270"/>
      <c r="D806" s="270"/>
      <c r="E806" s="270"/>
      <c r="F806" s="270"/>
      <c r="H806" s="270"/>
    </row>
    <row r="807" spans="2:8">
      <c r="B807" s="271"/>
      <c r="C807" s="270"/>
      <c r="D807" s="270"/>
      <c r="E807" s="270"/>
      <c r="F807" s="270"/>
      <c r="H807" s="270"/>
    </row>
    <row r="808" spans="2:8">
      <c r="B808" s="271"/>
      <c r="C808" s="270"/>
      <c r="D808" s="270"/>
      <c r="E808" s="270"/>
      <c r="F808" s="270"/>
      <c r="H808" s="270"/>
    </row>
    <row r="809" spans="2:8">
      <c r="B809" s="271"/>
      <c r="C809" s="270"/>
      <c r="D809" s="270"/>
      <c r="E809" s="270"/>
      <c r="F809" s="270"/>
      <c r="H809" s="270"/>
    </row>
    <row r="810" spans="2:8">
      <c r="B810" s="271"/>
      <c r="C810" s="270"/>
      <c r="D810" s="270"/>
      <c r="E810" s="270"/>
      <c r="F810" s="270"/>
      <c r="H810" s="270"/>
    </row>
    <row r="811" spans="2:8">
      <c r="B811" s="271"/>
      <c r="C811" s="270"/>
      <c r="D811" s="270"/>
      <c r="E811" s="270"/>
      <c r="F811" s="270"/>
      <c r="H811" s="270"/>
    </row>
    <row r="812" spans="2:8">
      <c r="B812" s="271"/>
      <c r="C812" s="270"/>
      <c r="D812" s="270"/>
      <c r="E812" s="270"/>
      <c r="F812" s="270"/>
      <c r="H812" s="270"/>
    </row>
    <row r="813" spans="2:8">
      <c r="B813" s="271"/>
      <c r="C813" s="270"/>
      <c r="D813" s="270"/>
      <c r="E813" s="270"/>
      <c r="F813" s="270"/>
      <c r="H813" s="270"/>
    </row>
    <row r="814" spans="2:8">
      <c r="B814" s="271"/>
      <c r="C814" s="270"/>
      <c r="D814" s="270"/>
      <c r="E814" s="270"/>
      <c r="F814" s="270"/>
      <c r="H814" s="270"/>
    </row>
    <row r="815" spans="2:8">
      <c r="B815" s="271"/>
      <c r="C815" s="270"/>
      <c r="D815" s="270"/>
      <c r="E815" s="270"/>
      <c r="F815" s="270"/>
      <c r="H815" s="270"/>
    </row>
    <row r="816" spans="2:8">
      <c r="B816" s="271"/>
      <c r="C816" s="270"/>
      <c r="D816" s="270"/>
      <c r="E816" s="270"/>
      <c r="F816" s="270"/>
      <c r="H816" s="270"/>
    </row>
    <row r="817" spans="2:8">
      <c r="B817" s="271"/>
      <c r="C817" s="270"/>
      <c r="D817" s="270"/>
      <c r="E817" s="270"/>
      <c r="F817" s="270"/>
      <c r="H817" s="270"/>
    </row>
    <row r="818" spans="2:8">
      <c r="B818" s="271"/>
      <c r="C818" s="270"/>
      <c r="D818" s="270"/>
      <c r="E818" s="270"/>
      <c r="F818" s="270"/>
      <c r="H818" s="270"/>
    </row>
    <row r="819" spans="2:8">
      <c r="B819" s="271"/>
      <c r="C819" s="270"/>
      <c r="D819" s="270"/>
      <c r="E819" s="270"/>
      <c r="F819" s="270"/>
      <c r="H819" s="270"/>
    </row>
    <row r="820" spans="2:8">
      <c r="B820" s="271"/>
      <c r="C820" s="270"/>
      <c r="D820" s="270"/>
      <c r="E820" s="270"/>
      <c r="F820" s="270"/>
      <c r="H820" s="270"/>
    </row>
    <row r="821" spans="2:8">
      <c r="B821" s="271"/>
      <c r="C821" s="270"/>
      <c r="D821" s="270"/>
      <c r="E821" s="270"/>
      <c r="F821" s="270"/>
      <c r="H821" s="270"/>
    </row>
    <row r="822" spans="2:8">
      <c r="B822" s="271"/>
      <c r="C822" s="270"/>
      <c r="D822" s="270"/>
      <c r="E822" s="270"/>
      <c r="F822" s="270"/>
      <c r="H822" s="270"/>
    </row>
    <row r="823" spans="2:8">
      <c r="B823" s="271"/>
      <c r="C823" s="270"/>
      <c r="D823" s="270"/>
      <c r="E823" s="270"/>
      <c r="F823" s="270"/>
      <c r="H823" s="270"/>
    </row>
    <row r="824" spans="2:8">
      <c r="B824" s="271"/>
      <c r="C824" s="270"/>
      <c r="D824" s="270"/>
      <c r="E824" s="270"/>
      <c r="F824" s="270"/>
      <c r="H824" s="270"/>
    </row>
    <row r="825" spans="2:8">
      <c r="B825" s="271"/>
      <c r="C825" s="270"/>
      <c r="D825" s="270"/>
      <c r="E825" s="270"/>
      <c r="F825" s="270"/>
      <c r="H825" s="270"/>
    </row>
    <row r="826" spans="2:8">
      <c r="B826" s="271"/>
      <c r="C826" s="270"/>
      <c r="D826" s="270"/>
      <c r="E826" s="270"/>
      <c r="F826" s="270"/>
      <c r="H826" s="270"/>
    </row>
    <row r="827" spans="2:8">
      <c r="B827" s="271"/>
      <c r="C827" s="270"/>
      <c r="D827" s="270"/>
      <c r="E827" s="270"/>
      <c r="F827" s="270"/>
      <c r="H827" s="270"/>
    </row>
    <row r="828" spans="2:8">
      <c r="B828" s="271"/>
      <c r="C828" s="270"/>
      <c r="D828" s="270"/>
      <c r="E828" s="270"/>
      <c r="F828" s="270"/>
      <c r="H828" s="270"/>
    </row>
    <row r="829" spans="2:8">
      <c r="B829" s="271"/>
      <c r="C829" s="270"/>
      <c r="D829" s="270"/>
      <c r="E829" s="270"/>
      <c r="F829" s="270"/>
      <c r="H829" s="270"/>
    </row>
    <row r="830" spans="2:8">
      <c r="B830" s="271"/>
      <c r="C830" s="270"/>
      <c r="D830" s="270"/>
      <c r="E830" s="270"/>
      <c r="F830" s="270"/>
      <c r="H830" s="270"/>
    </row>
    <row r="831" spans="2:8">
      <c r="B831" s="271"/>
      <c r="C831" s="270"/>
      <c r="D831" s="270"/>
      <c r="E831" s="270"/>
      <c r="F831" s="270"/>
      <c r="H831" s="270"/>
    </row>
    <row r="832" spans="2:8">
      <c r="B832" s="271"/>
      <c r="C832" s="270"/>
      <c r="D832" s="270"/>
      <c r="E832" s="270"/>
      <c r="F832" s="270"/>
      <c r="H832" s="270"/>
    </row>
    <row r="833" spans="2:8">
      <c r="B833" s="271"/>
      <c r="C833" s="270"/>
      <c r="D833" s="270"/>
      <c r="E833" s="270"/>
      <c r="F833" s="270"/>
      <c r="H833" s="270"/>
    </row>
    <row r="834" spans="2:8">
      <c r="B834" s="271"/>
      <c r="C834" s="270"/>
      <c r="D834" s="270"/>
      <c r="E834" s="270"/>
      <c r="F834" s="270"/>
      <c r="H834" s="270"/>
    </row>
    <row r="835" spans="2:8">
      <c r="B835" s="271"/>
      <c r="C835" s="270"/>
      <c r="D835" s="270"/>
      <c r="E835" s="270"/>
      <c r="F835" s="270"/>
      <c r="H835" s="270"/>
    </row>
    <row r="836" spans="2:8">
      <c r="B836" s="271"/>
      <c r="C836" s="270"/>
      <c r="D836" s="270"/>
      <c r="E836" s="270"/>
      <c r="F836" s="270"/>
      <c r="H836" s="270"/>
    </row>
    <row r="837" spans="2:8">
      <c r="B837" s="271"/>
      <c r="C837" s="270"/>
      <c r="D837" s="270"/>
      <c r="E837" s="270"/>
      <c r="F837" s="270"/>
      <c r="H837" s="270"/>
    </row>
    <row r="838" spans="2:8">
      <c r="B838" s="271"/>
      <c r="C838" s="270"/>
      <c r="D838" s="270"/>
      <c r="E838" s="270"/>
      <c r="F838" s="270"/>
      <c r="H838" s="270"/>
    </row>
    <row r="839" spans="2:8">
      <c r="B839" s="271"/>
      <c r="C839" s="270"/>
      <c r="D839" s="270"/>
      <c r="E839" s="270"/>
      <c r="F839" s="270"/>
      <c r="H839" s="270"/>
    </row>
    <row r="840" spans="2:8">
      <c r="B840" s="271"/>
      <c r="C840" s="270"/>
      <c r="D840" s="270"/>
      <c r="E840" s="270"/>
      <c r="F840" s="270"/>
      <c r="H840" s="270"/>
    </row>
    <row r="841" spans="2:8">
      <c r="B841" s="271"/>
      <c r="C841" s="270"/>
      <c r="D841" s="270"/>
      <c r="E841" s="270"/>
      <c r="F841" s="270"/>
      <c r="H841" s="270"/>
    </row>
    <row r="842" spans="2:8">
      <c r="B842" s="271"/>
      <c r="C842" s="270"/>
      <c r="D842" s="270"/>
      <c r="E842" s="270"/>
      <c r="F842" s="270"/>
      <c r="H842" s="270"/>
    </row>
    <row r="843" spans="2:8">
      <c r="B843" s="271"/>
      <c r="C843" s="270"/>
      <c r="D843" s="270"/>
      <c r="E843" s="270"/>
      <c r="F843" s="270"/>
      <c r="H843" s="270"/>
    </row>
    <row r="844" spans="2:8">
      <c r="B844" s="271"/>
      <c r="C844" s="270"/>
      <c r="D844" s="270"/>
      <c r="E844" s="270"/>
      <c r="F844" s="270"/>
      <c r="H844" s="270"/>
    </row>
    <row r="845" spans="2:8">
      <c r="B845" s="271"/>
      <c r="C845" s="270"/>
      <c r="D845" s="270"/>
      <c r="E845" s="270"/>
      <c r="F845" s="270"/>
      <c r="H845" s="270"/>
    </row>
    <row r="846" spans="2:8">
      <c r="B846" s="271"/>
      <c r="C846" s="270"/>
      <c r="D846" s="270"/>
      <c r="E846" s="270"/>
      <c r="F846" s="270"/>
      <c r="H846" s="270"/>
    </row>
    <row r="847" spans="2:8">
      <c r="B847" s="271"/>
      <c r="C847" s="270"/>
      <c r="D847" s="270"/>
      <c r="E847" s="270"/>
      <c r="F847" s="270"/>
      <c r="H847" s="270"/>
    </row>
    <row r="848" spans="2:8">
      <c r="B848" s="271"/>
      <c r="C848" s="270"/>
      <c r="D848" s="270"/>
      <c r="E848" s="270"/>
      <c r="F848" s="270"/>
      <c r="H848" s="270"/>
    </row>
    <row r="849" spans="2:8">
      <c r="B849" s="271"/>
      <c r="C849" s="270"/>
      <c r="D849" s="270"/>
      <c r="E849" s="270"/>
      <c r="F849" s="270"/>
      <c r="H849" s="270"/>
    </row>
    <row r="850" spans="2:8">
      <c r="B850" s="271"/>
      <c r="C850" s="270"/>
      <c r="D850" s="270"/>
      <c r="E850" s="270"/>
      <c r="F850" s="270"/>
      <c r="H850" s="270"/>
    </row>
    <row r="851" spans="2:8">
      <c r="B851" s="271"/>
      <c r="C851" s="270"/>
      <c r="D851" s="270"/>
      <c r="E851" s="270"/>
      <c r="F851" s="270"/>
      <c r="H851" s="270"/>
    </row>
    <row r="852" spans="2:8">
      <c r="B852" s="271"/>
      <c r="C852" s="270"/>
      <c r="D852" s="270"/>
      <c r="E852" s="270"/>
      <c r="F852" s="270"/>
      <c r="H852" s="270"/>
    </row>
    <row r="853" spans="2:8">
      <c r="B853" s="271"/>
      <c r="C853" s="270"/>
      <c r="D853" s="270"/>
      <c r="E853" s="270"/>
      <c r="F853" s="270"/>
      <c r="H853" s="270"/>
    </row>
    <row r="854" spans="2:8">
      <c r="B854" s="271"/>
      <c r="C854" s="270"/>
      <c r="D854" s="270"/>
      <c r="E854" s="270"/>
      <c r="F854" s="270"/>
      <c r="H854" s="270"/>
    </row>
    <row r="855" spans="2:8">
      <c r="B855" s="271"/>
      <c r="C855" s="270"/>
      <c r="D855" s="270"/>
      <c r="E855" s="270"/>
      <c r="F855" s="270"/>
      <c r="H855" s="270"/>
    </row>
    <row r="856" spans="2:8">
      <c r="B856" s="271"/>
      <c r="C856" s="270"/>
      <c r="D856" s="270"/>
      <c r="E856" s="270"/>
      <c r="F856" s="270"/>
      <c r="H856" s="270"/>
    </row>
    <row r="857" spans="2:8">
      <c r="B857" s="271"/>
      <c r="C857" s="270"/>
      <c r="D857" s="270"/>
      <c r="E857" s="270"/>
      <c r="F857" s="270"/>
      <c r="H857" s="270"/>
    </row>
    <row r="858" spans="2:8">
      <c r="B858" s="271"/>
      <c r="C858" s="270"/>
      <c r="D858" s="270"/>
      <c r="E858" s="270"/>
      <c r="F858" s="270"/>
      <c r="H858" s="270"/>
    </row>
    <row r="859" spans="2:8">
      <c r="B859" s="271"/>
      <c r="C859" s="270"/>
      <c r="D859" s="270"/>
      <c r="E859" s="270"/>
      <c r="F859" s="270"/>
      <c r="H859" s="270"/>
    </row>
    <row r="860" spans="2:8">
      <c r="B860" s="271"/>
      <c r="C860" s="270"/>
      <c r="D860" s="270"/>
      <c r="E860" s="270"/>
      <c r="F860" s="270"/>
      <c r="H860" s="270"/>
    </row>
    <row r="861" spans="2:8">
      <c r="B861" s="271"/>
      <c r="C861" s="270"/>
      <c r="D861" s="270"/>
      <c r="E861" s="270"/>
      <c r="F861" s="270"/>
      <c r="H861" s="270"/>
    </row>
    <row r="862" spans="2:8">
      <c r="B862" s="271"/>
      <c r="C862" s="270"/>
      <c r="D862" s="270"/>
      <c r="E862" s="270"/>
      <c r="F862" s="270"/>
      <c r="H862" s="270"/>
    </row>
    <row r="863" spans="2:8">
      <c r="B863" s="271"/>
      <c r="C863" s="270"/>
      <c r="D863" s="270"/>
      <c r="E863" s="270"/>
      <c r="F863" s="270"/>
      <c r="H863" s="270"/>
    </row>
    <row r="864" spans="2:8">
      <c r="B864" s="271"/>
      <c r="C864" s="270"/>
      <c r="D864" s="270"/>
      <c r="E864" s="270"/>
      <c r="F864" s="270"/>
      <c r="H864" s="270"/>
    </row>
    <row r="865" spans="2:8">
      <c r="B865" s="271"/>
      <c r="C865" s="270"/>
      <c r="D865" s="270"/>
      <c r="E865" s="270"/>
      <c r="F865" s="270"/>
      <c r="H865" s="270"/>
    </row>
    <row r="866" spans="2:8">
      <c r="B866" s="271"/>
      <c r="C866" s="270"/>
      <c r="D866" s="270"/>
      <c r="E866" s="270"/>
      <c r="F866" s="270"/>
      <c r="H866" s="270"/>
    </row>
    <row r="867" spans="2:8">
      <c r="B867" s="271"/>
      <c r="C867" s="270"/>
      <c r="D867" s="270"/>
      <c r="E867" s="270"/>
      <c r="F867" s="270"/>
      <c r="H867" s="270"/>
    </row>
    <row r="868" spans="2:8">
      <c r="B868" s="271"/>
      <c r="C868" s="270"/>
      <c r="D868" s="270"/>
      <c r="E868" s="270"/>
      <c r="F868" s="270"/>
      <c r="H868" s="270"/>
    </row>
    <row r="869" spans="2:8">
      <c r="B869" s="271"/>
      <c r="C869" s="270"/>
      <c r="D869" s="270"/>
      <c r="E869" s="270"/>
      <c r="F869" s="270"/>
      <c r="H869" s="270"/>
    </row>
    <row r="870" spans="2:8">
      <c r="B870" s="271"/>
      <c r="C870" s="270"/>
      <c r="D870" s="270"/>
      <c r="E870" s="270"/>
      <c r="F870" s="270"/>
      <c r="H870" s="270"/>
    </row>
    <row r="871" spans="2:8">
      <c r="B871" s="271"/>
      <c r="C871" s="270"/>
      <c r="D871" s="270"/>
      <c r="E871" s="270"/>
      <c r="F871" s="270"/>
      <c r="H871" s="270"/>
    </row>
    <row r="872" spans="2:8">
      <c r="B872" s="271"/>
      <c r="C872" s="270"/>
      <c r="D872" s="270"/>
      <c r="E872" s="270"/>
      <c r="F872" s="270"/>
      <c r="H872" s="270"/>
    </row>
    <row r="873" spans="2:8">
      <c r="B873" s="271"/>
      <c r="C873" s="270"/>
      <c r="D873" s="270"/>
      <c r="E873" s="270"/>
      <c r="F873" s="270"/>
      <c r="H873" s="270"/>
    </row>
    <row r="874" spans="2:8">
      <c r="B874" s="271"/>
      <c r="C874" s="270"/>
      <c r="D874" s="270"/>
      <c r="E874" s="270"/>
      <c r="F874" s="270"/>
      <c r="H874" s="270"/>
    </row>
    <row r="875" spans="2:8">
      <c r="B875" s="271"/>
      <c r="C875" s="270"/>
      <c r="D875" s="270"/>
      <c r="E875" s="270"/>
      <c r="F875" s="270"/>
      <c r="H875" s="270"/>
    </row>
    <row r="876" spans="2:8">
      <c r="B876" s="271"/>
      <c r="C876" s="270"/>
      <c r="D876" s="270"/>
      <c r="E876" s="270"/>
      <c r="F876" s="270"/>
      <c r="H876" s="270"/>
    </row>
    <row r="877" spans="2:8">
      <c r="B877" s="271"/>
      <c r="C877" s="270"/>
      <c r="D877" s="270"/>
      <c r="E877" s="270"/>
      <c r="F877" s="270"/>
      <c r="H877" s="270"/>
    </row>
    <row r="878" spans="2:8">
      <c r="B878" s="271"/>
      <c r="C878" s="270"/>
      <c r="D878" s="270"/>
      <c r="E878" s="270"/>
      <c r="F878" s="270"/>
      <c r="H878" s="270"/>
    </row>
    <row r="879" spans="2:8">
      <c r="B879" s="271"/>
      <c r="C879" s="270"/>
      <c r="D879" s="270"/>
      <c r="E879" s="270"/>
      <c r="F879" s="270"/>
      <c r="H879" s="270"/>
    </row>
    <row r="880" spans="2:8">
      <c r="B880" s="271"/>
      <c r="C880" s="270"/>
      <c r="D880" s="270"/>
      <c r="E880" s="270"/>
      <c r="F880" s="270"/>
      <c r="H880" s="270"/>
    </row>
    <row r="881" spans="2:8">
      <c r="B881" s="271"/>
      <c r="C881" s="270"/>
      <c r="D881" s="270"/>
      <c r="E881" s="270"/>
      <c r="F881" s="270"/>
      <c r="H881" s="270"/>
    </row>
    <row r="882" spans="2:8">
      <c r="B882" s="271"/>
      <c r="C882" s="270"/>
      <c r="D882" s="270"/>
      <c r="E882" s="270"/>
      <c r="F882" s="270"/>
      <c r="H882" s="270"/>
    </row>
    <row r="883" spans="2:8">
      <c r="B883" s="271"/>
      <c r="C883" s="270"/>
      <c r="D883" s="270"/>
      <c r="E883" s="270"/>
      <c r="F883" s="270"/>
      <c r="H883" s="270"/>
    </row>
    <row r="884" spans="2:8">
      <c r="B884" s="271"/>
      <c r="C884" s="270"/>
      <c r="D884" s="270"/>
      <c r="E884" s="270"/>
      <c r="F884" s="270"/>
      <c r="H884" s="270"/>
    </row>
    <row r="885" spans="2:8">
      <c r="B885" s="271"/>
      <c r="C885" s="270"/>
      <c r="D885" s="270"/>
      <c r="E885" s="270"/>
      <c r="F885" s="270"/>
      <c r="H885" s="270"/>
    </row>
    <row r="886" spans="2:8">
      <c r="B886" s="271"/>
      <c r="C886" s="270"/>
      <c r="D886" s="270"/>
      <c r="E886" s="270"/>
      <c r="F886" s="270"/>
      <c r="H886" s="270"/>
    </row>
    <row r="887" spans="2:8">
      <c r="B887" s="271"/>
      <c r="C887" s="270"/>
      <c r="D887" s="270"/>
      <c r="E887" s="270"/>
      <c r="F887" s="270"/>
      <c r="H887" s="270"/>
    </row>
    <row r="888" spans="2:8">
      <c r="B888" s="271"/>
      <c r="C888" s="270"/>
      <c r="D888" s="270"/>
      <c r="E888" s="270"/>
      <c r="F888" s="270"/>
      <c r="H888" s="270"/>
    </row>
    <row r="889" spans="2:8">
      <c r="B889" s="271"/>
      <c r="C889" s="270"/>
      <c r="D889" s="270"/>
      <c r="E889" s="270"/>
      <c r="F889" s="270"/>
      <c r="H889" s="270"/>
    </row>
    <row r="890" spans="2:8">
      <c r="B890" s="271"/>
      <c r="C890" s="270"/>
      <c r="D890" s="270"/>
      <c r="E890" s="270"/>
      <c r="F890" s="270"/>
      <c r="H890" s="270"/>
    </row>
    <row r="891" spans="2:8">
      <c r="B891" s="271"/>
      <c r="C891" s="270"/>
      <c r="D891" s="270"/>
      <c r="E891" s="270"/>
      <c r="F891" s="270"/>
      <c r="H891" s="270"/>
    </row>
    <row r="892" spans="2:8">
      <c r="B892" s="271"/>
      <c r="C892" s="270"/>
      <c r="D892" s="270"/>
      <c r="E892" s="270"/>
      <c r="F892" s="270"/>
      <c r="H892" s="270"/>
    </row>
    <row r="893" spans="2:8">
      <c r="B893" s="271"/>
      <c r="C893" s="270"/>
      <c r="D893" s="270"/>
      <c r="E893" s="270"/>
      <c r="F893" s="270"/>
      <c r="H893" s="270"/>
    </row>
    <row r="894" spans="2:8">
      <c r="B894" s="271"/>
      <c r="C894" s="270"/>
      <c r="D894" s="270"/>
      <c r="E894" s="270"/>
      <c r="F894" s="270"/>
      <c r="H894" s="270"/>
    </row>
    <row r="895" spans="2:8">
      <c r="B895" s="271"/>
      <c r="C895" s="270"/>
      <c r="D895" s="270"/>
      <c r="E895" s="270"/>
      <c r="F895" s="270"/>
      <c r="H895" s="270"/>
    </row>
    <row r="896" spans="2:8">
      <c r="B896" s="271"/>
      <c r="C896" s="270"/>
      <c r="D896" s="270"/>
      <c r="E896" s="270"/>
      <c r="F896" s="270"/>
      <c r="H896" s="270"/>
    </row>
    <row r="897" spans="2:8">
      <c r="B897" s="271"/>
      <c r="C897" s="270"/>
      <c r="D897" s="270"/>
      <c r="E897" s="270"/>
      <c r="F897" s="270"/>
      <c r="H897" s="270"/>
    </row>
    <row r="898" spans="2:8">
      <c r="B898" s="271"/>
      <c r="C898" s="270"/>
      <c r="D898" s="270"/>
      <c r="E898" s="270"/>
      <c r="F898" s="270"/>
      <c r="H898" s="270"/>
    </row>
    <row r="899" spans="2:8">
      <c r="B899" s="271"/>
      <c r="C899" s="270"/>
      <c r="D899" s="270"/>
      <c r="E899" s="270"/>
      <c r="F899" s="270"/>
      <c r="H899" s="270"/>
    </row>
    <row r="900" spans="2:8">
      <c r="B900" s="271"/>
      <c r="C900" s="270"/>
      <c r="D900" s="270"/>
      <c r="E900" s="270"/>
      <c r="F900" s="270"/>
      <c r="H900" s="270"/>
    </row>
    <row r="901" spans="2:8">
      <c r="B901" s="271"/>
      <c r="C901" s="270"/>
      <c r="D901" s="270"/>
      <c r="E901" s="270"/>
      <c r="F901" s="270"/>
      <c r="H901" s="270"/>
    </row>
    <row r="902" spans="2:8">
      <c r="B902" s="271"/>
      <c r="C902" s="270"/>
      <c r="D902" s="270"/>
      <c r="E902" s="270"/>
      <c r="F902" s="270"/>
      <c r="H902" s="270"/>
    </row>
    <row r="903" spans="2:8">
      <c r="B903" s="271"/>
      <c r="C903" s="270"/>
      <c r="D903" s="270"/>
      <c r="E903" s="270"/>
      <c r="F903" s="270"/>
      <c r="H903" s="270"/>
    </row>
    <row r="904" spans="2:8">
      <c r="B904" s="271"/>
      <c r="C904" s="270"/>
      <c r="D904" s="270"/>
      <c r="E904" s="270"/>
      <c r="F904" s="270"/>
      <c r="H904" s="270"/>
    </row>
    <row r="905" spans="2:8">
      <c r="B905" s="271"/>
      <c r="C905" s="270"/>
      <c r="D905" s="270"/>
      <c r="E905" s="270"/>
      <c r="F905" s="270"/>
      <c r="H905" s="270"/>
    </row>
    <row r="906" spans="2:8">
      <c r="B906" s="271"/>
      <c r="C906" s="270"/>
      <c r="D906" s="270"/>
      <c r="E906" s="270"/>
      <c r="F906" s="270"/>
      <c r="H906" s="270"/>
    </row>
    <row r="907" spans="2:8">
      <c r="B907" s="271"/>
      <c r="C907" s="270"/>
      <c r="D907" s="270"/>
      <c r="E907" s="270"/>
      <c r="F907" s="270"/>
      <c r="H907" s="270"/>
    </row>
    <row r="908" spans="2:8">
      <c r="B908" s="271"/>
      <c r="C908" s="270"/>
      <c r="D908" s="270"/>
      <c r="E908" s="270"/>
      <c r="F908" s="270"/>
      <c r="H908" s="270"/>
    </row>
    <row r="909" spans="2:8">
      <c r="B909" s="271"/>
      <c r="C909" s="270"/>
      <c r="D909" s="270"/>
      <c r="E909" s="270"/>
      <c r="F909" s="270"/>
      <c r="H909" s="270"/>
    </row>
    <row r="910" spans="2:8">
      <c r="B910" s="271"/>
      <c r="C910" s="270"/>
      <c r="D910" s="270"/>
      <c r="E910" s="270"/>
      <c r="F910" s="270"/>
      <c r="H910" s="270"/>
    </row>
    <row r="911" spans="2:8">
      <c r="B911" s="271"/>
      <c r="C911" s="270"/>
      <c r="D911" s="270"/>
      <c r="E911" s="270"/>
      <c r="F911" s="270"/>
      <c r="H911" s="270"/>
    </row>
    <row r="912" spans="2:8">
      <c r="B912" s="271"/>
      <c r="C912" s="270"/>
      <c r="D912" s="270"/>
      <c r="E912" s="270"/>
      <c r="F912" s="270"/>
      <c r="H912" s="270"/>
    </row>
    <row r="913" spans="2:8">
      <c r="B913" s="271"/>
      <c r="C913" s="270"/>
      <c r="D913" s="270"/>
      <c r="E913" s="270"/>
      <c r="F913" s="270"/>
      <c r="H913" s="270"/>
    </row>
    <row r="914" spans="2:8">
      <c r="B914" s="271"/>
      <c r="C914" s="270"/>
      <c r="D914" s="270"/>
      <c r="E914" s="270"/>
      <c r="F914" s="270"/>
      <c r="H914" s="270"/>
    </row>
    <row r="915" spans="2:8">
      <c r="B915" s="271"/>
      <c r="C915" s="270"/>
      <c r="D915" s="270"/>
      <c r="E915" s="270"/>
      <c r="F915" s="270"/>
      <c r="H915" s="270"/>
    </row>
    <row r="916" spans="2:8">
      <c r="B916" s="271"/>
      <c r="C916" s="270"/>
      <c r="D916" s="270"/>
      <c r="E916" s="270"/>
      <c r="F916" s="270"/>
      <c r="H916" s="270"/>
    </row>
    <row r="917" spans="2:8">
      <c r="B917" s="271"/>
      <c r="C917" s="270"/>
      <c r="D917" s="270"/>
      <c r="E917" s="270"/>
      <c r="F917" s="270"/>
      <c r="H917" s="270"/>
    </row>
    <row r="918" spans="2:8">
      <c r="B918" s="271"/>
      <c r="C918" s="270"/>
      <c r="D918" s="270"/>
      <c r="E918" s="270"/>
      <c r="F918" s="270"/>
      <c r="H918" s="270"/>
    </row>
    <row r="919" spans="2:8">
      <c r="B919" s="271"/>
      <c r="C919" s="270"/>
      <c r="D919" s="270"/>
      <c r="E919" s="270"/>
      <c r="F919" s="270"/>
      <c r="H919" s="270"/>
    </row>
    <row r="920" spans="2:8">
      <c r="B920" s="271"/>
      <c r="C920" s="270"/>
      <c r="D920" s="270"/>
      <c r="E920" s="270"/>
      <c r="F920" s="270"/>
      <c r="H920" s="270"/>
    </row>
    <row r="921" spans="2:8">
      <c r="B921" s="271"/>
      <c r="C921" s="270"/>
      <c r="D921" s="270"/>
      <c r="E921" s="270"/>
      <c r="F921" s="270"/>
      <c r="H921" s="270"/>
    </row>
    <row r="922" spans="2:8">
      <c r="B922" s="271"/>
      <c r="C922" s="270"/>
      <c r="D922" s="270"/>
      <c r="E922" s="270"/>
      <c r="F922" s="270"/>
      <c r="H922" s="270"/>
    </row>
    <row r="923" spans="2:8">
      <c r="B923" s="271"/>
      <c r="C923" s="270"/>
      <c r="D923" s="270"/>
      <c r="E923" s="270"/>
      <c r="F923" s="270"/>
      <c r="H923" s="270"/>
    </row>
    <row r="924" spans="2:8">
      <c r="B924" s="271"/>
      <c r="C924" s="270"/>
      <c r="D924" s="270"/>
      <c r="E924" s="270"/>
      <c r="F924" s="270"/>
      <c r="H924" s="270"/>
    </row>
    <row r="925" spans="2:8">
      <c r="B925" s="271"/>
      <c r="C925" s="270"/>
      <c r="D925" s="270"/>
      <c r="E925" s="270"/>
      <c r="F925" s="270"/>
      <c r="H925" s="270"/>
    </row>
    <row r="926" spans="2:8">
      <c r="B926" s="271"/>
      <c r="C926" s="270"/>
      <c r="D926" s="270"/>
      <c r="E926" s="270"/>
      <c r="F926" s="270"/>
      <c r="H926" s="270"/>
    </row>
    <row r="927" spans="2:8">
      <c r="B927" s="271"/>
      <c r="C927" s="270"/>
      <c r="D927" s="270"/>
      <c r="E927" s="270"/>
      <c r="F927" s="270"/>
      <c r="H927" s="270"/>
    </row>
    <row r="928" spans="2:8">
      <c r="B928" s="271"/>
      <c r="C928" s="270"/>
      <c r="D928" s="270"/>
      <c r="E928" s="270"/>
      <c r="F928" s="270"/>
      <c r="H928" s="270"/>
    </row>
    <row r="929" spans="2:8">
      <c r="B929" s="271"/>
      <c r="C929" s="270"/>
      <c r="D929" s="270"/>
      <c r="E929" s="270"/>
      <c r="F929" s="270"/>
      <c r="H929" s="270"/>
    </row>
    <row r="930" spans="2:8">
      <c r="B930" s="271"/>
      <c r="C930" s="270"/>
      <c r="D930" s="270"/>
      <c r="E930" s="270"/>
      <c r="F930" s="270"/>
      <c r="H930" s="270"/>
    </row>
    <row r="931" spans="2:8">
      <c r="B931" s="271"/>
      <c r="C931" s="270"/>
      <c r="D931" s="270"/>
      <c r="E931" s="270"/>
      <c r="F931" s="270"/>
      <c r="H931" s="270"/>
    </row>
    <row r="932" spans="2:8">
      <c r="B932" s="271"/>
      <c r="C932" s="270"/>
      <c r="D932" s="270"/>
      <c r="E932" s="270"/>
      <c r="F932" s="270"/>
      <c r="H932" s="270"/>
    </row>
    <row r="933" spans="2:8">
      <c r="B933" s="271"/>
      <c r="C933" s="270"/>
      <c r="D933" s="270"/>
      <c r="E933" s="270"/>
      <c r="F933" s="270"/>
      <c r="H933" s="270"/>
    </row>
    <row r="934" spans="2:8">
      <c r="B934" s="271"/>
      <c r="C934" s="270"/>
      <c r="D934" s="270"/>
      <c r="E934" s="270"/>
      <c r="F934" s="270"/>
      <c r="H934" s="270"/>
    </row>
    <row r="935" spans="2:8">
      <c r="B935" s="271"/>
      <c r="C935" s="270"/>
      <c r="D935" s="270"/>
      <c r="E935" s="270"/>
      <c r="F935" s="270"/>
      <c r="H935" s="270"/>
    </row>
    <row r="936" spans="2:8">
      <c r="B936" s="271"/>
      <c r="C936" s="270"/>
      <c r="D936" s="270"/>
      <c r="E936" s="270"/>
      <c r="F936" s="270"/>
      <c r="H936" s="270"/>
    </row>
    <row r="937" spans="2:8">
      <c r="B937" s="271"/>
      <c r="C937" s="270"/>
      <c r="D937" s="270"/>
      <c r="E937" s="270"/>
      <c r="F937" s="270"/>
      <c r="H937" s="270"/>
    </row>
    <row r="938" spans="2:8">
      <c r="B938" s="271"/>
      <c r="C938" s="270"/>
      <c r="D938" s="270"/>
      <c r="E938" s="270"/>
      <c r="F938" s="270"/>
      <c r="H938" s="270"/>
    </row>
    <row r="939" spans="2:8">
      <c r="B939" s="271"/>
      <c r="C939" s="270"/>
      <c r="D939" s="270"/>
      <c r="E939" s="270"/>
      <c r="F939" s="270"/>
      <c r="H939" s="270"/>
    </row>
    <row r="940" spans="2:8">
      <c r="B940" s="271"/>
      <c r="C940" s="270"/>
      <c r="D940" s="270"/>
      <c r="E940" s="270"/>
      <c r="F940" s="270"/>
      <c r="H940" s="270"/>
    </row>
    <row r="941" spans="2:8">
      <c r="B941" s="271"/>
      <c r="C941" s="270"/>
      <c r="D941" s="270"/>
      <c r="E941" s="270"/>
      <c r="F941" s="270"/>
      <c r="H941" s="270"/>
    </row>
    <row r="942" spans="2:8">
      <c r="B942" s="271"/>
      <c r="C942" s="270"/>
      <c r="D942" s="270"/>
      <c r="E942" s="270"/>
      <c r="F942" s="270"/>
      <c r="H942" s="270"/>
    </row>
    <row r="943" spans="2:8">
      <c r="B943" s="271"/>
      <c r="C943" s="270"/>
      <c r="D943" s="270"/>
      <c r="E943" s="270"/>
      <c r="F943" s="270"/>
      <c r="H943" s="270"/>
    </row>
    <row r="944" spans="2:8">
      <c r="B944" s="271"/>
      <c r="C944" s="270"/>
      <c r="D944" s="270"/>
      <c r="E944" s="270"/>
      <c r="F944" s="270"/>
      <c r="H944" s="270"/>
    </row>
    <row r="945" spans="2:8">
      <c r="B945" s="271"/>
      <c r="C945" s="270"/>
      <c r="D945" s="270"/>
      <c r="E945" s="270"/>
      <c r="F945" s="270"/>
      <c r="H945" s="270"/>
    </row>
    <row r="946" spans="2:8">
      <c r="B946" s="271"/>
      <c r="C946" s="270"/>
      <c r="D946" s="270"/>
      <c r="E946" s="270"/>
      <c r="F946" s="270"/>
      <c r="H946" s="270"/>
    </row>
    <row r="947" spans="2:8">
      <c r="B947" s="271"/>
      <c r="C947" s="270"/>
      <c r="D947" s="270"/>
      <c r="E947" s="270"/>
      <c r="F947" s="270"/>
      <c r="H947" s="270"/>
    </row>
    <row r="948" spans="2:8">
      <c r="B948" s="271"/>
      <c r="C948" s="270"/>
      <c r="D948" s="270"/>
      <c r="E948" s="270"/>
      <c r="F948" s="270"/>
      <c r="H948" s="270"/>
    </row>
    <row r="949" spans="2:8">
      <c r="B949" s="271"/>
      <c r="C949" s="270"/>
      <c r="D949" s="270"/>
      <c r="E949" s="270"/>
      <c r="F949" s="270"/>
      <c r="H949" s="270"/>
    </row>
    <row r="950" spans="2:8">
      <c r="B950" s="271"/>
      <c r="C950" s="270"/>
      <c r="D950" s="270"/>
      <c r="E950" s="270"/>
      <c r="F950" s="270"/>
      <c r="H950" s="270"/>
    </row>
    <row r="951" spans="2:8">
      <c r="B951" s="271"/>
      <c r="C951" s="270"/>
      <c r="D951" s="270"/>
      <c r="E951" s="270"/>
      <c r="F951" s="270"/>
      <c r="H951" s="270"/>
    </row>
    <row r="952" spans="2:8">
      <c r="B952" s="271"/>
      <c r="C952" s="270"/>
      <c r="D952" s="270"/>
      <c r="E952" s="270"/>
      <c r="F952" s="270"/>
      <c r="H952" s="270"/>
    </row>
    <row r="953" spans="2:8">
      <c r="B953" s="271"/>
      <c r="C953" s="270"/>
      <c r="D953" s="270"/>
      <c r="E953" s="270"/>
      <c r="F953" s="270"/>
      <c r="H953" s="270"/>
    </row>
    <row r="954" spans="2:8">
      <c r="B954" s="271"/>
      <c r="C954" s="270"/>
      <c r="D954" s="270"/>
      <c r="E954" s="270"/>
      <c r="F954" s="270"/>
      <c r="H954" s="270"/>
    </row>
    <row r="955" spans="2:8">
      <c r="B955" s="271"/>
      <c r="C955" s="270"/>
      <c r="D955" s="270"/>
      <c r="E955" s="270"/>
      <c r="F955" s="270"/>
      <c r="H955" s="270"/>
    </row>
    <row r="956" spans="2:8">
      <c r="B956" s="271"/>
      <c r="C956" s="270"/>
      <c r="D956" s="270"/>
      <c r="E956" s="270"/>
      <c r="F956" s="270"/>
      <c r="H956" s="270"/>
    </row>
    <row r="957" spans="2:8">
      <c r="B957" s="271"/>
      <c r="C957" s="270"/>
      <c r="D957" s="270"/>
      <c r="E957" s="270"/>
      <c r="F957" s="270"/>
      <c r="H957" s="270"/>
    </row>
    <row r="958" spans="2:8">
      <c r="B958" s="271"/>
      <c r="C958" s="270"/>
      <c r="D958" s="270"/>
      <c r="E958" s="270"/>
      <c r="F958" s="270"/>
      <c r="H958" s="270"/>
    </row>
    <row r="959" spans="2:8">
      <c r="B959" s="271"/>
      <c r="C959" s="270"/>
      <c r="D959" s="270"/>
      <c r="E959" s="270"/>
      <c r="F959" s="270"/>
      <c r="H959" s="270"/>
    </row>
  </sheetData>
  <printOptions horizontalCentered="1"/>
  <pageMargins left="0.75" right="0.75" top="0.75" bottom="0.5" header="0.25" footer="0.25"/>
  <pageSetup scale="58" orientation="portrait" horizontalDpi="1200" verticalDpi="1200" r:id="rId1"/>
  <headerFooter alignWithMargins="0">
    <oddFooter xml:space="preserve">&amp;C &amp;R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7030A0"/>
    <pageSetUpPr fitToPage="1"/>
  </sheetPr>
  <dimension ref="A1:AX250"/>
  <sheetViews>
    <sheetView zoomScale="75" zoomScaleNormal="75" workbookViewId="0"/>
  </sheetViews>
  <sheetFormatPr defaultRowHeight="15"/>
  <cols>
    <col min="1" max="1" width="5.08984375" style="122" customWidth="1"/>
    <col min="2" max="2" width="6.453125" style="122" customWidth="1"/>
    <col min="3" max="3" width="3.1796875" style="122" customWidth="1"/>
    <col min="4" max="4" width="27.1796875" style="122" customWidth="1"/>
    <col min="5" max="5" width="12" style="122" customWidth="1"/>
    <col min="6" max="6" width="10.36328125" style="122" customWidth="1"/>
    <col min="7" max="7" width="13" style="122" customWidth="1"/>
    <col min="8" max="8" width="13.81640625" style="122" customWidth="1"/>
    <col min="9" max="9" width="12" style="122" customWidth="1"/>
    <col min="10" max="10" width="13.81640625" style="122" customWidth="1"/>
    <col min="11" max="11" width="12.6328125" style="122" customWidth="1"/>
    <col min="12" max="12" width="12.54296875" style="122" bestFit="1" customWidth="1"/>
    <col min="13" max="13" width="17.54296875" style="122" customWidth="1"/>
    <col min="14" max="14" width="12" style="122" customWidth="1"/>
    <col min="15" max="15" width="15.6328125" style="122" customWidth="1"/>
    <col min="16" max="241" width="8.90625" style="122"/>
    <col min="242" max="242" width="6" style="122" customWidth="1"/>
    <col min="243" max="243" width="1.453125" style="122" customWidth="1"/>
    <col min="244" max="244" width="39.08984375" style="122" customWidth="1"/>
    <col min="245" max="245" width="12" style="122" customWidth="1"/>
    <col min="246" max="246" width="14.453125" style="122" customWidth="1"/>
    <col min="247" max="247" width="11.90625" style="122" customWidth="1"/>
    <col min="248" max="248" width="14.08984375" style="122" customWidth="1"/>
    <col min="249" max="249" width="13.90625" style="122" customWidth="1"/>
    <col min="250" max="251" width="12.81640625" style="122" customWidth="1"/>
    <col min="252" max="252" width="13.54296875" style="122" customWidth="1"/>
    <col min="253" max="253" width="15.36328125" style="122" customWidth="1"/>
    <col min="254" max="254" width="12.81640625" style="122" customWidth="1"/>
    <col min="255" max="255" width="13.90625" style="122" customWidth="1"/>
    <col min="256" max="256" width="1.90625" style="122" customWidth="1"/>
    <col min="257" max="257" width="13" style="122" customWidth="1"/>
    <col min="258" max="497" width="8.90625" style="122"/>
    <col min="498" max="498" width="6" style="122" customWidth="1"/>
    <col min="499" max="499" width="1.453125" style="122" customWidth="1"/>
    <col min="500" max="500" width="39.08984375" style="122" customWidth="1"/>
    <col min="501" max="501" width="12" style="122" customWidth="1"/>
    <col min="502" max="502" width="14.453125" style="122" customWidth="1"/>
    <col min="503" max="503" width="11.90625" style="122" customWidth="1"/>
    <col min="504" max="504" width="14.08984375" style="122" customWidth="1"/>
    <col min="505" max="505" width="13.90625" style="122" customWidth="1"/>
    <col min="506" max="507" width="12.81640625" style="122" customWidth="1"/>
    <col min="508" max="508" width="13.54296875" style="122" customWidth="1"/>
    <col min="509" max="509" width="15.36328125" style="122" customWidth="1"/>
    <col min="510" max="510" width="12.81640625" style="122" customWidth="1"/>
    <col min="511" max="511" width="13.90625" style="122" customWidth="1"/>
    <col min="512" max="512" width="1.90625" style="122" customWidth="1"/>
    <col min="513" max="513" width="13" style="122" customWidth="1"/>
    <col min="514" max="753" width="8.90625" style="122"/>
    <col min="754" max="754" width="6" style="122" customWidth="1"/>
    <col min="755" max="755" width="1.453125" style="122" customWidth="1"/>
    <col min="756" max="756" width="39.08984375" style="122" customWidth="1"/>
    <col min="757" max="757" width="12" style="122" customWidth="1"/>
    <col min="758" max="758" width="14.453125" style="122" customWidth="1"/>
    <col min="759" max="759" width="11.90625" style="122" customWidth="1"/>
    <col min="760" max="760" width="14.08984375" style="122" customWidth="1"/>
    <col min="761" max="761" width="13.90625" style="122" customWidth="1"/>
    <col min="762" max="763" width="12.81640625" style="122" customWidth="1"/>
    <col min="764" max="764" width="13.54296875" style="122" customWidth="1"/>
    <col min="765" max="765" width="15.36328125" style="122" customWidth="1"/>
    <col min="766" max="766" width="12.81640625" style="122" customWidth="1"/>
    <col min="767" max="767" width="13.90625" style="122" customWidth="1"/>
    <col min="768" max="768" width="1.90625" style="122" customWidth="1"/>
    <col min="769" max="769" width="13" style="122" customWidth="1"/>
    <col min="770" max="1009" width="8.90625" style="122"/>
    <col min="1010" max="1010" width="6" style="122" customWidth="1"/>
    <col min="1011" max="1011" width="1.453125" style="122" customWidth="1"/>
    <col min="1012" max="1012" width="39.08984375" style="122" customWidth="1"/>
    <col min="1013" max="1013" width="12" style="122" customWidth="1"/>
    <col min="1014" max="1014" width="14.453125" style="122" customWidth="1"/>
    <col min="1015" max="1015" width="11.90625" style="122" customWidth="1"/>
    <col min="1016" max="1016" width="14.08984375" style="122" customWidth="1"/>
    <col min="1017" max="1017" width="13.90625" style="122" customWidth="1"/>
    <col min="1018" max="1019" width="12.81640625" style="122" customWidth="1"/>
    <col min="1020" max="1020" width="13.54296875" style="122" customWidth="1"/>
    <col min="1021" max="1021" width="15.36328125" style="122" customWidth="1"/>
    <col min="1022" max="1022" width="12.81640625" style="122" customWidth="1"/>
    <col min="1023" max="1023" width="13.90625" style="122" customWidth="1"/>
    <col min="1024" max="1024" width="1.90625" style="122" customWidth="1"/>
    <col min="1025" max="1025" width="13" style="122" customWidth="1"/>
    <col min="1026" max="1265" width="8.90625" style="122"/>
    <col min="1266" max="1266" width="6" style="122" customWidth="1"/>
    <col min="1267" max="1267" width="1.453125" style="122" customWidth="1"/>
    <col min="1268" max="1268" width="39.08984375" style="122" customWidth="1"/>
    <col min="1269" max="1269" width="12" style="122" customWidth="1"/>
    <col min="1270" max="1270" width="14.453125" style="122" customWidth="1"/>
    <col min="1271" max="1271" width="11.90625" style="122" customWidth="1"/>
    <col min="1272" max="1272" width="14.08984375" style="122" customWidth="1"/>
    <col min="1273" max="1273" width="13.90625" style="122" customWidth="1"/>
    <col min="1274" max="1275" width="12.81640625" style="122" customWidth="1"/>
    <col min="1276" max="1276" width="13.54296875" style="122" customWidth="1"/>
    <col min="1277" max="1277" width="15.36328125" style="122" customWidth="1"/>
    <col min="1278" max="1278" width="12.81640625" style="122" customWidth="1"/>
    <col min="1279" max="1279" width="13.90625" style="122" customWidth="1"/>
    <col min="1280" max="1280" width="1.90625" style="122" customWidth="1"/>
    <col min="1281" max="1281" width="13" style="122" customWidth="1"/>
    <col min="1282" max="1521" width="8.90625" style="122"/>
    <col min="1522" max="1522" width="6" style="122" customWidth="1"/>
    <col min="1523" max="1523" width="1.453125" style="122" customWidth="1"/>
    <col min="1524" max="1524" width="39.08984375" style="122" customWidth="1"/>
    <col min="1525" max="1525" width="12" style="122" customWidth="1"/>
    <col min="1526" max="1526" width="14.453125" style="122" customWidth="1"/>
    <col min="1527" max="1527" width="11.90625" style="122" customWidth="1"/>
    <col min="1528" max="1528" width="14.08984375" style="122" customWidth="1"/>
    <col min="1529" max="1529" width="13.90625" style="122" customWidth="1"/>
    <col min="1530" max="1531" width="12.81640625" style="122" customWidth="1"/>
    <col min="1532" max="1532" width="13.54296875" style="122" customWidth="1"/>
    <col min="1533" max="1533" width="15.36328125" style="122" customWidth="1"/>
    <col min="1534" max="1534" width="12.81640625" style="122" customWidth="1"/>
    <col min="1535" max="1535" width="13.90625" style="122" customWidth="1"/>
    <col min="1536" max="1536" width="1.90625" style="122" customWidth="1"/>
    <col min="1537" max="1537" width="13" style="122" customWidth="1"/>
    <col min="1538" max="1777" width="8.90625" style="122"/>
    <col min="1778" max="1778" width="6" style="122" customWidth="1"/>
    <col min="1779" max="1779" width="1.453125" style="122" customWidth="1"/>
    <col min="1780" max="1780" width="39.08984375" style="122" customWidth="1"/>
    <col min="1781" max="1781" width="12" style="122" customWidth="1"/>
    <col min="1782" max="1782" width="14.453125" style="122" customWidth="1"/>
    <col min="1783" max="1783" width="11.90625" style="122" customWidth="1"/>
    <col min="1784" max="1784" width="14.08984375" style="122" customWidth="1"/>
    <col min="1785" max="1785" width="13.90625" style="122" customWidth="1"/>
    <col min="1786" max="1787" width="12.81640625" style="122" customWidth="1"/>
    <col min="1788" max="1788" width="13.54296875" style="122" customWidth="1"/>
    <col min="1789" max="1789" width="15.36328125" style="122" customWidth="1"/>
    <col min="1790" max="1790" width="12.81640625" style="122" customWidth="1"/>
    <col min="1791" max="1791" width="13.90625" style="122" customWidth="1"/>
    <col min="1792" max="1792" width="1.90625" style="122" customWidth="1"/>
    <col min="1793" max="1793" width="13" style="122" customWidth="1"/>
    <col min="1794" max="2033" width="8.90625" style="122"/>
    <col min="2034" max="2034" width="6" style="122" customWidth="1"/>
    <col min="2035" max="2035" width="1.453125" style="122" customWidth="1"/>
    <col min="2036" max="2036" width="39.08984375" style="122" customWidth="1"/>
    <col min="2037" max="2037" width="12" style="122" customWidth="1"/>
    <col min="2038" max="2038" width="14.453125" style="122" customWidth="1"/>
    <col min="2039" max="2039" width="11.90625" style="122" customWidth="1"/>
    <col min="2040" max="2040" width="14.08984375" style="122" customWidth="1"/>
    <col min="2041" max="2041" width="13.90625" style="122" customWidth="1"/>
    <col min="2042" max="2043" width="12.81640625" style="122" customWidth="1"/>
    <col min="2044" max="2044" width="13.54296875" style="122" customWidth="1"/>
    <col min="2045" max="2045" width="15.36328125" style="122" customWidth="1"/>
    <col min="2046" max="2046" width="12.81640625" style="122" customWidth="1"/>
    <col min="2047" max="2047" width="13.90625" style="122" customWidth="1"/>
    <col min="2048" max="2048" width="1.90625" style="122" customWidth="1"/>
    <col min="2049" max="2049" width="13" style="122" customWidth="1"/>
    <col min="2050" max="2289" width="8.90625" style="122"/>
    <col min="2290" max="2290" width="6" style="122" customWidth="1"/>
    <col min="2291" max="2291" width="1.453125" style="122" customWidth="1"/>
    <col min="2292" max="2292" width="39.08984375" style="122" customWidth="1"/>
    <col min="2293" max="2293" width="12" style="122" customWidth="1"/>
    <col min="2294" max="2294" width="14.453125" style="122" customWidth="1"/>
    <col min="2295" max="2295" width="11.90625" style="122" customWidth="1"/>
    <col min="2296" max="2296" width="14.08984375" style="122" customWidth="1"/>
    <col min="2297" max="2297" width="13.90625" style="122" customWidth="1"/>
    <col min="2298" max="2299" width="12.81640625" style="122" customWidth="1"/>
    <col min="2300" max="2300" width="13.54296875" style="122" customWidth="1"/>
    <col min="2301" max="2301" width="15.36328125" style="122" customWidth="1"/>
    <col min="2302" max="2302" width="12.81640625" style="122" customWidth="1"/>
    <col min="2303" max="2303" width="13.90625" style="122" customWidth="1"/>
    <col min="2304" max="2304" width="1.90625" style="122" customWidth="1"/>
    <col min="2305" max="2305" width="13" style="122" customWidth="1"/>
    <col min="2306" max="2545" width="8.90625" style="122"/>
    <col min="2546" max="2546" width="6" style="122" customWidth="1"/>
    <col min="2547" max="2547" width="1.453125" style="122" customWidth="1"/>
    <col min="2548" max="2548" width="39.08984375" style="122" customWidth="1"/>
    <col min="2549" max="2549" width="12" style="122" customWidth="1"/>
    <col min="2550" max="2550" width="14.453125" style="122" customWidth="1"/>
    <col min="2551" max="2551" width="11.90625" style="122" customWidth="1"/>
    <col min="2552" max="2552" width="14.08984375" style="122" customWidth="1"/>
    <col min="2553" max="2553" width="13.90625" style="122" customWidth="1"/>
    <col min="2554" max="2555" width="12.81640625" style="122" customWidth="1"/>
    <col min="2556" max="2556" width="13.54296875" style="122" customWidth="1"/>
    <col min="2557" max="2557" width="15.36328125" style="122" customWidth="1"/>
    <col min="2558" max="2558" width="12.81640625" style="122" customWidth="1"/>
    <col min="2559" max="2559" width="13.90625" style="122" customWidth="1"/>
    <col min="2560" max="2560" width="1.90625" style="122" customWidth="1"/>
    <col min="2561" max="2561" width="13" style="122" customWidth="1"/>
    <col min="2562" max="2801" width="8.90625" style="122"/>
    <col min="2802" max="2802" width="6" style="122" customWidth="1"/>
    <col min="2803" max="2803" width="1.453125" style="122" customWidth="1"/>
    <col min="2804" max="2804" width="39.08984375" style="122" customWidth="1"/>
    <col min="2805" max="2805" width="12" style="122" customWidth="1"/>
    <col min="2806" max="2806" width="14.453125" style="122" customWidth="1"/>
    <col min="2807" max="2807" width="11.90625" style="122" customWidth="1"/>
    <col min="2808" max="2808" width="14.08984375" style="122" customWidth="1"/>
    <col min="2809" max="2809" width="13.90625" style="122" customWidth="1"/>
    <col min="2810" max="2811" width="12.81640625" style="122" customWidth="1"/>
    <col min="2812" max="2812" width="13.54296875" style="122" customWidth="1"/>
    <col min="2813" max="2813" width="15.36328125" style="122" customWidth="1"/>
    <col min="2814" max="2814" width="12.81640625" style="122" customWidth="1"/>
    <col min="2815" max="2815" width="13.90625" style="122" customWidth="1"/>
    <col min="2816" max="2816" width="1.90625" style="122" customWidth="1"/>
    <col min="2817" max="2817" width="13" style="122" customWidth="1"/>
    <col min="2818" max="3057" width="8.90625" style="122"/>
    <col min="3058" max="3058" width="6" style="122" customWidth="1"/>
    <col min="3059" max="3059" width="1.453125" style="122" customWidth="1"/>
    <col min="3060" max="3060" width="39.08984375" style="122" customWidth="1"/>
    <col min="3061" max="3061" width="12" style="122" customWidth="1"/>
    <col min="3062" max="3062" width="14.453125" style="122" customWidth="1"/>
    <col min="3063" max="3063" width="11.90625" style="122" customWidth="1"/>
    <col min="3064" max="3064" width="14.08984375" style="122" customWidth="1"/>
    <col min="3065" max="3065" width="13.90625" style="122" customWidth="1"/>
    <col min="3066" max="3067" width="12.81640625" style="122" customWidth="1"/>
    <col min="3068" max="3068" width="13.54296875" style="122" customWidth="1"/>
    <col min="3069" max="3069" width="15.36328125" style="122" customWidth="1"/>
    <col min="3070" max="3070" width="12.81640625" style="122" customWidth="1"/>
    <col min="3071" max="3071" width="13.90625" style="122" customWidth="1"/>
    <col min="3072" max="3072" width="1.90625" style="122" customWidth="1"/>
    <col min="3073" max="3073" width="13" style="122" customWidth="1"/>
    <col min="3074" max="3313" width="8.90625" style="122"/>
    <col min="3314" max="3314" width="6" style="122" customWidth="1"/>
    <col min="3315" max="3315" width="1.453125" style="122" customWidth="1"/>
    <col min="3316" max="3316" width="39.08984375" style="122" customWidth="1"/>
    <col min="3317" max="3317" width="12" style="122" customWidth="1"/>
    <col min="3318" max="3318" width="14.453125" style="122" customWidth="1"/>
    <col min="3319" max="3319" width="11.90625" style="122" customWidth="1"/>
    <col min="3320" max="3320" width="14.08984375" style="122" customWidth="1"/>
    <col min="3321" max="3321" width="13.90625" style="122" customWidth="1"/>
    <col min="3322" max="3323" width="12.81640625" style="122" customWidth="1"/>
    <col min="3324" max="3324" width="13.54296875" style="122" customWidth="1"/>
    <col min="3325" max="3325" width="15.36328125" style="122" customWidth="1"/>
    <col min="3326" max="3326" width="12.81640625" style="122" customWidth="1"/>
    <col min="3327" max="3327" width="13.90625" style="122" customWidth="1"/>
    <col min="3328" max="3328" width="1.90625" style="122" customWidth="1"/>
    <col min="3329" max="3329" width="13" style="122" customWidth="1"/>
    <col min="3330" max="3569" width="8.90625" style="122"/>
    <col min="3570" max="3570" width="6" style="122" customWidth="1"/>
    <col min="3571" max="3571" width="1.453125" style="122" customWidth="1"/>
    <col min="3572" max="3572" width="39.08984375" style="122" customWidth="1"/>
    <col min="3573" max="3573" width="12" style="122" customWidth="1"/>
    <col min="3574" max="3574" width="14.453125" style="122" customWidth="1"/>
    <col min="3575" max="3575" width="11.90625" style="122" customWidth="1"/>
    <col min="3576" max="3576" width="14.08984375" style="122" customWidth="1"/>
    <col min="3577" max="3577" width="13.90625" style="122" customWidth="1"/>
    <col min="3578" max="3579" width="12.81640625" style="122" customWidth="1"/>
    <col min="3580" max="3580" width="13.54296875" style="122" customWidth="1"/>
    <col min="3581" max="3581" width="15.36328125" style="122" customWidth="1"/>
    <col min="3582" max="3582" width="12.81640625" style="122" customWidth="1"/>
    <col min="3583" max="3583" width="13.90625" style="122" customWidth="1"/>
    <col min="3584" max="3584" width="1.90625" style="122" customWidth="1"/>
    <col min="3585" max="3585" width="13" style="122" customWidth="1"/>
    <col min="3586" max="3825" width="8.90625" style="122"/>
    <col min="3826" max="3826" width="6" style="122" customWidth="1"/>
    <col min="3827" max="3827" width="1.453125" style="122" customWidth="1"/>
    <col min="3828" max="3828" width="39.08984375" style="122" customWidth="1"/>
    <col min="3829" max="3829" width="12" style="122" customWidth="1"/>
    <col min="3830" max="3830" width="14.453125" style="122" customWidth="1"/>
    <col min="3831" max="3831" width="11.90625" style="122" customWidth="1"/>
    <col min="3832" max="3832" width="14.08984375" style="122" customWidth="1"/>
    <col min="3833" max="3833" width="13.90625" style="122" customWidth="1"/>
    <col min="3834" max="3835" width="12.81640625" style="122" customWidth="1"/>
    <col min="3836" max="3836" width="13.54296875" style="122" customWidth="1"/>
    <col min="3837" max="3837" width="15.36328125" style="122" customWidth="1"/>
    <col min="3838" max="3838" width="12.81640625" style="122" customWidth="1"/>
    <col min="3839" max="3839" width="13.90625" style="122" customWidth="1"/>
    <col min="3840" max="3840" width="1.90625" style="122" customWidth="1"/>
    <col min="3841" max="3841" width="13" style="122" customWidth="1"/>
    <col min="3842" max="4081" width="8.90625" style="122"/>
    <col min="4082" max="4082" width="6" style="122" customWidth="1"/>
    <col min="4083" max="4083" width="1.453125" style="122" customWidth="1"/>
    <col min="4084" max="4084" width="39.08984375" style="122" customWidth="1"/>
    <col min="4085" max="4085" width="12" style="122" customWidth="1"/>
    <col min="4086" max="4086" width="14.453125" style="122" customWidth="1"/>
    <col min="4087" max="4087" width="11.90625" style="122" customWidth="1"/>
    <col min="4088" max="4088" width="14.08984375" style="122" customWidth="1"/>
    <col min="4089" max="4089" width="13.90625" style="122" customWidth="1"/>
    <col min="4090" max="4091" width="12.81640625" style="122" customWidth="1"/>
    <col min="4092" max="4092" width="13.54296875" style="122" customWidth="1"/>
    <col min="4093" max="4093" width="15.36328125" style="122" customWidth="1"/>
    <col min="4094" max="4094" width="12.81640625" style="122" customWidth="1"/>
    <col min="4095" max="4095" width="13.90625" style="122" customWidth="1"/>
    <col min="4096" max="4096" width="1.90625" style="122" customWidth="1"/>
    <col min="4097" max="4097" width="13" style="122" customWidth="1"/>
    <col min="4098" max="4337" width="8.90625" style="122"/>
    <col min="4338" max="4338" width="6" style="122" customWidth="1"/>
    <col min="4339" max="4339" width="1.453125" style="122" customWidth="1"/>
    <col min="4340" max="4340" width="39.08984375" style="122" customWidth="1"/>
    <col min="4341" max="4341" width="12" style="122" customWidth="1"/>
    <col min="4342" max="4342" width="14.453125" style="122" customWidth="1"/>
    <col min="4343" max="4343" width="11.90625" style="122" customWidth="1"/>
    <col min="4344" max="4344" width="14.08984375" style="122" customWidth="1"/>
    <col min="4345" max="4345" width="13.90625" style="122" customWidth="1"/>
    <col min="4346" max="4347" width="12.81640625" style="122" customWidth="1"/>
    <col min="4348" max="4348" width="13.54296875" style="122" customWidth="1"/>
    <col min="4349" max="4349" width="15.36328125" style="122" customWidth="1"/>
    <col min="4350" max="4350" width="12.81640625" style="122" customWidth="1"/>
    <col min="4351" max="4351" width="13.90625" style="122" customWidth="1"/>
    <col min="4352" max="4352" width="1.90625" style="122" customWidth="1"/>
    <col min="4353" max="4353" width="13" style="122" customWidth="1"/>
    <col min="4354" max="4593" width="8.90625" style="122"/>
    <col min="4594" max="4594" width="6" style="122" customWidth="1"/>
    <col min="4595" max="4595" width="1.453125" style="122" customWidth="1"/>
    <col min="4596" max="4596" width="39.08984375" style="122" customWidth="1"/>
    <col min="4597" max="4597" width="12" style="122" customWidth="1"/>
    <col min="4598" max="4598" width="14.453125" style="122" customWidth="1"/>
    <col min="4599" max="4599" width="11.90625" style="122" customWidth="1"/>
    <col min="4600" max="4600" width="14.08984375" style="122" customWidth="1"/>
    <col min="4601" max="4601" width="13.90625" style="122" customWidth="1"/>
    <col min="4602" max="4603" width="12.81640625" style="122" customWidth="1"/>
    <col min="4604" max="4604" width="13.54296875" style="122" customWidth="1"/>
    <col min="4605" max="4605" width="15.36328125" style="122" customWidth="1"/>
    <col min="4606" max="4606" width="12.81640625" style="122" customWidth="1"/>
    <col min="4607" max="4607" width="13.90625" style="122" customWidth="1"/>
    <col min="4608" max="4608" width="1.90625" style="122" customWidth="1"/>
    <col min="4609" max="4609" width="13" style="122" customWidth="1"/>
    <col min="4610" max="4849" width="8.90625" style="122"/>
    <col min="4850" max="4850" width="6" style="122" customWidth="1"/>
    <col min="4851" max="4851" width="1.453125" style="122" customWidth="1"/>
    <col min="4852" max="4852" width="39.08984375" style="122" customWidth="1"/>
    <col min="4853" max="4853" width="12" style="122" customWidth="1"/>
    <col min="4854" max="4854" width="14.453125" style="122" customWidth="1"/>
    <col min="4855" max="4855" width="11.90625" style="122" customWidth="1"/>
    <col min="4856" max="4856" width="14.08984375" style="122" customWidth="1"/>
    <col min="4857" max="4857" width="13.90625" style="122" customWidth="1"/>
    <col min="4858" max="4859" width="12.81640625" style="122" customWidth="1"/>
    <col min="4860" max="4860" width="13.54296875" style="122" customWidth="1"/>
    <col min="4861" max="4861" width="15.36328125" style="122" customWidth="1"/>
    <col min="4862" max="4862" width="12.81640625" style="122" customWidth="1"/>
    <col min="4863" max="4863" width="13.90625" style="122" customWidth="1"/>
    <col min="4864" max="4864" width="1.90625" style="122" customWidth="1"/>
    <col min="4865" max="4865" width="13" style="122" customWidth="1"/>
    <col min="4866" max="5105" width="8.90625" style="122"/>
    <col min="5106" max="5106" width="6" style="122" customWidth="1"/>
    <col min="5107" max="5107" width="1.453125" style="122" customWidth="1"/>
    <col min="5108" max="5108" width="39.08984375" style="122" customWidth="1"/>
    <col min="5109" max="5109" width="12" style="122" customWidth="1"/>
    <col min="5110" max="5110" width="14.453125" style="122" customWidth="1"/>
    <col min="5111" max="5111" width="11.90625" style="122" customWidth="1"/>
    <col min="5112" max="5112" width="14.08984375" style="122" customWidth="1"/>
    <col min="5113" max="5113" width="13.90625" style="122" customWidth="1"/>
    <col min="5114" max="5115" width="12.81640625" style="122" customWidth="1"/>
    <col min="5116" max="5116" width="13.54296875" style="122" customWidth="1"/>
    <col min="5117" max="5117" width="15.36328125" style="122" customWidth="1"/>
    <col min="5118" max="5118" width="12.81640625" style="122" customWidth="1"/>
    <col min="5119" max="5119" width="13.90625" style="122" customWidth="1"/>
    <col min="5120" max="5120" width="1.90625" style="122" customWidth="1"/>
    <col min="5121" max="5121" width="13" style="122" customWidth="1"/>
    <col min="5122" max="5361" width="8.90625" style="122"/>
    <col min="5362" max="5362" width="6" style="122" customWidth="1"/>
    <col min="5363" max="5363" width="1.453125" style="122" customWidth="1"/>
    <col min="5364" max="5364" width="39.08984375" style="122" customWidth="1"/>
    <col min="5365" max="5365" width="12" style="122" customWidth="1"/>
    <col min="5366" max="5366" width="14.453125" style="122" customWidth="1"/>
    <col min="5367" max="5367" width="11.90625" style="122" customWidth="1"/>
    <col min="5368" max="5368" width="14.08984375" style="122" customWidth="1"/>
    <col min="5369" max="5369" width="13.90625" style="122" customWidth="1"/>
    <col min="5370" max="5371" width="12.81640625" style="122" customWidth="1"/>
    <col min="5372" max="5372" width="13.54296875" style="122" customWidth="1"/>
    <col min="5373" max="5373" width="15.36328125" style="122" customWidth="1"/>
    <col min="5374" max="5374" width="12.81640625" style="122" customWidth="1"/>
    <col min="5375" max="5375" width="13.90625" style="122" customWidth="1"/>
    <col min="5376" max="5376" width="1.90625" style="122" customWidth="1"/>
    <col min="5377" max="5377" width="13" style="122" customWidth="1"/>
    <col min="5378" max="5617" width="8.90625" style="122"/>
    <col min="5618" max="5618" width="6" style="122" customWidth="1"/>
    <col min="5619" max="5619" width="1.453125" style="122" customWidth="1"/>
    <col min="5620" max="5620" width="39.08984375" style="122" customWidth="1"/>
    <col min="5621" max="5621" width="12" style="122" customWidth="1"/>
    <col min="5622" max="5622" width="14.453125" style="122" customWidth="1"/>
    <col min="5623" max="5623" width="11.90625" style="122" customWidth="1"/>
    <col min="5624" max="5624" width="14.08984375" style="122" customWidth="1"/>
    <col min="5625" max="5625" width="13.90625" style="122" customWidth="1"/>
    <col min="5626" max="5627" width="12.81640625" style="122" customWidth="1"/>
    <col min="5628" max="5628" width="13.54296875" style="122" customWidth="1"/>
    <col min="5629" max="5629" width="15.36328125" style="122" customWidth="1"/>
    <col min="5630" max="5630" width="12.81640625" style="122" customWidth="1"/>
    <col min="5631" max="5631" width="13.90625" style="122" customWidth="1"/>
    <col min="5632" max="5632" width="1.90625" style="122" customWidth="1"/>
    <col min="5633" max="5633" width="13" style="122" customWidth="1"/>
    <col min="5634" max="5873" width="8.90625" style="122"/>
    <col min="5874" max="5874" width="6" style="122" customWidth="1"/>
    <col min="5875" max="5875" width="1.453125" style="122" customWidth="1"/>
    <col min="5876" max="5876" width="39.08984375" style="122" customWidth="1"/>
    <col min="5877" max="5877" width="12" style="122" customWidth="1"/>
    <col min="5878" max="5878" width="14.453125" style="122" customWidth="1"/>
    <col min="5879" max="5879" width="11.90625" style="122" customWidth="1"/>
    <col min="5880" max="5880" width="14.08984375" style="122" customWidth="1"/>
    <col min="5881" max="5881" width="13.90625" style="122" customWidth="1"/>
    <col min="5882" max="5883" width="12.81640625" style="122" customWidth="1"/>
    <col min="5884" max="5884" width="13.54296875" style="122" customWidth="1"/>
    <col min="5885" max="5885" width="15.36328125" style="122" customWidth="1"/>
    <col min="5886" max="5886" width="12.81640625" style="122" customWidth="1"/>
    <col min="5887" max="5887" width="13.90625" style="122" customWidth="1"/>
    <col min="5888" max="5888" width="1.90625" style="122" customWidth="1"/>
    <col min="5889" max="5889" width="13" style="122" customWidth="1"/>
    <col min="5890" max="6129" width="8.90625" style="122"/>
    <col min="6130" max="6130" width="6" style="122" customWidth="1"/>
    <col min="6131" max="6131" width="1.453125" style="122" customWidth="1"/>
    <col min="6132" max="6132" width="39.08984375" style="122" customWidth="1"/>
    <col min="6133" max="6133" width="12" style="122" customWidth="1"/>
    <col min="6134" max="6134" width="14.453125" style="122" customWidth="1"/>
    <col min="6135" max="6135" width="11.90625" style="122" customWidth="1"/>
    <col min="6136" max="6136" width="14.08984375" style="122" customWidth="1"/>
    <col min="6137" max="6137" width="13.90625" style="122" customWidth="1"/>
    <col min="6138" max="6139" width="12.81640625" style="122" customWidth="1"/>
    <col min="6140" max="6140" width="13.54296875" style="122" customWidth="1"/>
    <col min="6141" max="6141" width="15.36328125" style="122" customWidth="1"/>
    <col min="6142" max="6142" width="12.81640625" style="122" customWidth="1"/>
    <col min="6143" max="6143" width="13.90625" style="122" customWidth="1"/>
    <col min="6144" max="6144" width="1.90625" style="122" customWidth="1"/>
    <col min="6145" max="6145" width="13" style="122" customWidth="1"/>
    <col min="6146" max="6385" width="8.90625" style="122"/>
    <col min="6386" max="6386" width="6" style="122" customWidth="1"/>
    <col min="6387" max="6387" width="1.453125" style="122" customWidth="1"/>
    <col min="6388" max="6388" width="39.08984375" style="122" customWidth="1"/>
    <col min="6389" max="6389" width="12" style="122" customWidth="1"/>
    <col min="6390" max="6390" width="14.453125" style="122" customWidth="1"/>
    <col min="6391" max="6391" width="11.90625" style="122" customWidth="1"/>
    <col min="6392" max="6392" width="14.08984375" style="122" customWidth="1"/>
    <col min="6393" max="6393" width="13.90625" style="122" customWidth="1"/>
    <col min="6394" max="6395" width="12.81640625" style="122" customWidth="1"/>
    <col min="6396" max="6396" width="13.54296875" style="122" customWidth="1"/>
    <col min="6397" max="6397" width="15.36328125" style="122" customWidth="1"/>
    <col min="6398" max="6398" width="12.81640625" style="122" customWidth="1"/>
    <col min="6399" max="6399" width="13.90625" style="122" customWidth="1"/>
    <col min="6400" max="6400" width="1.90625" style="122" customWidth="1"/>
    <col min="6401" max="6401" width="13" style="122" customWidth="1"/>
    <col min="6402" max="6641" width="8.90625" style="122"/>
    <col min="6642" max="6642" width="6" style="122" customWidth="1"/>
    <col min="6643" max="6643" width="1.453125" style="122" customWidth="1"/>
    <col min="6644" max="6644" width="39.08984375" style="122" customWidth="1"/>
    <col min="6645" max="6645" width="12" style="122" customWidth="1"/>
    <col min="6646" max="6646" width="14.453125" style="122" customWidth="1"/>
    <col min="6647" max="6647" width="11.90625" style="122" customWidth="1"/>
    <col min="6648" max="6648" width="14.08984375" style="122" customWidth="1"/>
    <col min="6649" max="6649" width="13.90625" style="122" customWidth="1"/>
    <col min="6650" max="6651" width="12.81640625" style="122" customWidth="1"/>
    <col min="6652" max="6652" width="13.54296875" style="122" customWidth="1"/>
    <col min="6653" max="6653" width="15.36328125" style="122" customWidth="1"/>
    <col min="6654" max="6654" width="12.81640625" style="122" customWidth="1"/>
    <col min="6655" max="6655" width="13.90625" style="122" customWidth="1"/>
    <col min="6656" max="6656" width="1.90625" style="122" customWidth="1"/>
    <col min="6657" max="6657" width="13" style="122" customWidth="1"/>
    <col min="6658" max="6897" width="8.90625" style="122"/>
    <col min="6898" max="6898" width="6" style="122" customWidth="1"/>
    <col min="6899" max="6899" width="1.453125" style="122" customWidth="1"/>
    <col min="6900" max="6900" width="39.08984375" style="122" customWidth="1"/>
    <col min="6901" max="6901" width="12" style="122" customWidth="1"/>
    <col min="6902" max="6902" width="14.453125" style="122" customWidth="1"/>
    <col min="6903" max="6903" width="11.90625" style="122" customWidth="1"/>
    <col min="6904" max="6904" width="14.08984375" style="122" customWidth="1"/>
    <col min="6905" max="6905" width="13.90625" style="122" customWidth="1"/>
    <col min="6906" max="6907" width="12.81640625" style="122" customWidth="1"/>
    <col min="6908" max="6908" width="13.54296875" style="122" customWidth="1"/>
    <col min="6909" max="6909" width="15.36328125" style="122" customWidth="1"/>
    <col min="6910" max="6910" width="12.81640625" style="122" customWidth="1"/>
    <col min="6911" max="6911" width="13.90625" style="122" customWidth="1"/>
    <col min="6912" max="6912" width="1.90625" style="122" customWidth="1"/>
    <col min="6913" max="6913" width="13" style="122" customWidth="1"/>
    <col min="6914" max="7153" width="8.90625" style="122"/>
    <col min="7154" max="7154" width="6" style="122" customWidth="1"/>
    <col min="7155" max="7155" width="1.453125" style="122" customWidth="1"/>
    <col min="7156" max="7156" width="39.08984375" style="122" customWidth="1"/>
    <col min="7157" max="7157" width="12" style="122" customWidth="1"/>
    <col min="7158" max="7158" width="14.453125" style="122" customWidth="1"/>
    <col min="7159" max="7159" width="11.90625" style="122" customWidth="1"/>
    <col min="7160" max="7160" width="14.08984375" style="122" customWidth="1"/>
    <col min="7161" max="7161" width="13.90625" style="122" customWidth="1"/>
    <col min="7162" max="7163" width="12.81640625" style="122" customWidth="1"/>
    <col min="7164" max="7164" width="13.54296875" style="122" customWidth="1"/>
    <col min="7165" max="7165" width="15.36328125" style="122" customWidth="1"/>
    <col min="7166" max="7166" width="12.81640625" style="122" customWidth="1"/>
    <col min="7167" max="7167" width="13.90625" style="122" customWidth="1"/>
    <col min="7168" max="7168" width="1.90625" style="122" customWidth="1"/>
    <col min="7169" max="7169" width="13" style="122" customWidth="1"/>
    <col min="7170" max="7409" width="8.90625" style="122"/>
    <col min="7410" max="7410" width="6" style="122" customWidth="1"/>
    <col min="7411" max="7411" width="1.453125" style="122" customWidth="1"/>
    <col min="7412" max="7412" width="39.08984375" style="122" customWidth="1"/>
    <col min="7413" max="7413" width="12" style="122" customWidth="1"/>
    <col min="7414" max="7414" width="14.453125" style="122" customWidth="1"/>
    <col min="7415" max="7415" width="11.90625" style="122" customWidth="1"/>
    <col min="7416" max="7416" width="14.08984375" style="122" customWidth="1"/>
    <col min="7417" max="7417" width="13.90625" style="122" customWidth="1"/>
    <col min="7418" max="7419" width="12.81640625" style="122" customWidth="1"/>
    <col min="7420" max="7420" width="13.54296875" style="122" customWidth="1"/>
    <col min="7421" max="7421" width="15.36328125" style="122" customWidth="1"/>
    <col min="7422" max="7422" width="12.81640625" style="122" customWidth="1"/>
    <col min="7423" max="7423" width="13.90625" style="122" customWidth="1"/>
    <col min="7424" max="7424" width="1.90625" style="122" customWidth="1"/>
    <col min="7425" max="7425" width="13" style="122" customWidth="1"/>
    <col min="7426" max="7665" width="8.90625" style="122"/>
    <col min="7666" max="7666" width="6" style="122" customWidth="1"/>
    <col min="7667" max="7667" width="1.453125" style="122" customWidth="1"/>
    <col min="7668" max="7668" width="39.08984375" style="122" customWidth="1"/>
    <col min="7669" max="7669" width="12" style="122" customWidth="1"/>
    <col min="7670" max="7670" width="14.453125" style="122" customWidth="1"/>
    <col min="7671" max="7671" width="11.90625" style="122" customWidth="1"/>
    <col min="7672" max="7672" width="14.08984375" style="122" customWidth="1"/>
    <col min="7673" max="7673" width="13.90625" style="122" customWidth="1"/>
    <col min="7674" max="7675" width="12.81640625" style="122" customWidth="1"/>
    <col min="7676" max="7676" width="13.54296875" style="122" customWidth="1"/>
    <col min="7677" max="7677" width="15.36328125" style="122" customWidth="1"/>
    <col min="7678" max="7678" width="12.81640625" style="122" customWidth="1"/>
    <col min="7679" max="7679" width="13.90625" style="122" customWidth="1"/>
    <col min="7680" max="7680" width="1.90625" style="122" customWidth="1"/>
    <col min="7681" max="7681" width="13" style="122" customWidth="1"/>
    <col min="7682" max="7921" width="8.90625" style="122"/>
    <col min="7922" max="7922" width="6" style="122" customWidth="1"/>
    <col min="7923" max="7923" width="1.453125" style="122" customWidth="1"/>
    <col min="7924" max="7924" width="39.08984375" style="122" customWidth="1"/>
    <col min="7925" max="7925" width="12" style="122" customWidth="1"/>
    <col min="7926" max="7926" width="14.453125" style="122" customWidth="1"/>
    <col min="7927" max="7927" width="11.90625" style="122" customWidth="1"/>
    <col min="7928" max="7928" width="14.08984375" style="122" customWidth="1"/>
    <col min="7929" max="7929" width="13.90625" style="122" customWidth="1"/>
    <col min="7930" max="7931" width="12.81640625" style="122" customWidth="1"/>
    <col min="7932" max="7932" width="13.54296875" style="122" customWidth="1"/>
    <col min="7933" max="7933" width="15.36328125" style="122" customWidth="1"/>
    <col min="7934" max="7934" width="12.81640625" style="122" customWidth="1"/>
    <col min="7935" max="7935" width="13.90625" style="122" customWidth="1"/>
    <col min="7936" max="7936" width="1.90625" style="122" customWidth="1"/>
    <col min="7937" max="7937" width="13" style="122" customWidth="1"/>
    <col min="7938" max="8177" width="8.90625" style="122"/>
    <col min="8178" max="8178" width="6" style="122" customWidth="1"/>
    <col min="8179" max="8179" width="1.453125" style="122" customWidth="1"/>
    <col min="8180" max="8180" width="39.08984375" style="122" customWidth="1"/>
    <col min="8181" max="8181" width="12" style="122" customWidth="1"/>
    <col min="8182" max="8182" width="14.453125" style="122" customWidth="1"/>
    <col min="8183" max="8183" width="11.90625" style="122" customWidth="1"/>
    <col min="8184" max="8184" width="14.08984375" style="122" customWidth="1"/>
    <col min="8185" max="8185" width="13.90625" style="122" customWidth="1"/>
    <col min="8186" max="8187" width="12.81640625" style="122" customWidth="1"/>
    <col min="8188" max="8188" width="13.54296875" style="122" customWidth="1"/>
    <col min="8189" max="8189" width="15.36328125" style="122" customWidth="1"/>
    <col min="8190" max="8190" width="12.81640625" style="122" customWidth="1"/>
    <col min="8191" max="8191" width="13.90625" style="122" customWidth="1"/>
    <col min="8192" max="8192" width="1.90625" style="122" customWidth="1"/>
    <col min="8193" max="8193" width="13" style="122" customWidth="1"/>
    <col min="8194" max="8433" width="8.90625" style="122"/>
    <col min="8434" max="8434" width="6" style="122" customWidth="1"/>
    <col min="8435" max="8435" width="1.453125" style="122" customWidth="1"/>
    <col min="8436" max="8436" width="39.08984375" style="122" customWidth="1"/>
    <col min="8437" max="8437" width="12" style="122" customWidth="1"/>
    <col min="8438" max="8438" width="14.453125" style="122" customWidth="1"/>
    <col min="8439" max="8439" width="11.90625" style="122" customWidth="1"/>
    <col min="8440" max="8440" width="14.08984375" style="122" customWidth="1"/>
    <col min="8441" max="8441" width="13.90625" style="122" customWidth="1"/>
    <col min="8442" max="8443" width="12.81640625" style="122" customWidth="1"/>
    <col min="8444" max="8444" width="13.54296875" style="122" customWidth="1"/>
    <col min="8445" max="8445" width="15.36328125" style="122" customWidth="1"/>
    <col min="8446" max="8446" width="12.81640625" style="122" customWidth="1"/>
    <col min="8447" max="8447" width="13.90625" style="122" customWidth="1"/>
    <col min="8448" max="8448" width="1.90625" style="122" customWidth="1"/>
    <col min="8449" max="8449" width="13" style="122" customWidth="1"/>
    <col min="8450" max="8689" width="8.90625" style="122"/>
    <col min="8690" max="8690" width="6" style="122" customWidth="1"/>
    <col min="8691" max="8691" width="1.453125" style="122" customWidth="1"/>
    <col min="8692" max="8692" width="39.08984375" style="122" customWidth="1"/>
    <col min="8693" max="8693" width="12" style="122" customWidth="1"/>
    <col min="8694" max="8694" width="14.453125" style="122" customWidth="1"/>
    <col min="8695" max="8695" width="11.90625" style="122" customWidth="1"/>
    <col min="8696" max="8696" width="14.08984375" style="122" customWidth="1"/>
    <col min="8697" max="8697" width="13.90625" style="122" customWidth="1"/>
    <col min="8698" max="8699" width="12.81640625" style="122" customWidth="1"/>
    <col min="8700" max="8700" width="13.54296875" style="122" customWidth="1"/>
    <col min="8701" max="8701" width="15.36328125" style="122" customWidth="1"/>
    <col min="8702" max="8702" width="12.81640625" style="122" customWidth="1"/>
    <col min="8703" max="8703" width="13.90625" style="122" customWidth="1"/>
    <col min="8704" max="8704" width="1.90625" style="122" customWidth="1"/>
    <col min="8705" max="8705" width="13" style="122" customWidth="1"/>
    <col min="8706" max="8945" width="8.90625" style="122"/>
    <col min="8946" max="8946" width="6" style="122" customWidth="1"/>
    <col min="8947" max="8947" width="1.453125" style="122" customWidth="1"/>
    <col min="8948" max="8948" width="39.08984375" style="122" customWidth="1"/>
    <col min="8949" max="8949" width="12" style="122" customWidth="1"/>
    <col min="8950" max="8950" width="14.453125" style="122" customWidth="1"/>
    <col min="8951" max="8951" width="11.90625" style="122" customWidth="1"/>
    <col min="8952" max="8952" width="14.08984375" style="122" customWidth="1"/>
    <col min="8953" max="8953" width="13.90625" style="122" customWidth="1"/>
    <col min="8954" max="8955" width="12.81640625" style="122" customWidth="1"/>
    <col min="8956" max="8956" width="13.54296875" style="122" customWidth="1"/>
    <col min="8957" max="8957" width="15.36328125" style="122" customWidth="1"/>
    <col min="8958" max="8958" width="12.81640625" style="122" customWidth="1"/>
    <col min="8959" max="8959" width="13.90625" style="122" customWidth="1"/>
    <col min="8960" max="8960" width="1.90625" style="122" customWidth="1"/>
    <col min="8961" max="8961" width="13" style="122" customWidth="1"/>
    <col min="8962" max="9201" width="8.90625" style="122"/>
    <col min="9202" max="9202" width="6" style="122" customWidth="1"/>
    <col min="9203" max="9203" width="1.453125" style="122" customWidth="1"/>
    <col min="9204" max="9204" width="39.08984375" style="122" customWidth="1"/>
    <col min="9205" max="9205" width="12" style="122" customWidth="1"/>
    <col min="9206" max="9206" width="14.453125" style="122" customWidth="1"/>
    <col min="9207" max="9207" width="11.90625" style="122" customWidth="1"/>
    <col min="9208" max="9208" width="14.08984375" style="122" customWidth="1"/>
    <col min="9209" max="9209" width="13.90625" style="122" customWidth="1"/>
    <col min="9210" max="9211" width="12.81640625" style="122" customWidth="1"/>
    <col min="9212" max="9212" width="13.54296875" style="122" customWidth="1"/>
    <col min="9213" max="9213" width="15.36328125" style="122" customWidth="1"/>
    <col min="9214" max="9214" width="12.81640625" style="122" customWidth="1"/>
    <col min="9215" max="9215" width="13.90625" style="122" customWidth="1"/>
    <col min="9216" max="9216" width="1.90625" style="122" customWidth="1"/>
    <col min="9217" max="9217" width="13" style="122" customWidth="1"/>
    <col min="9218" max="9457" width="8.90625" style="122"/>
    <col min="9458" max="9458" width="6" style="122" customWidth="1"/>
    <col min="9459" max="9459" width="1.453125" style="122" customWidth="1"/>
    <col min="9460" max="9460" width="39.08984375" style="122" customWidth="1"/>
    <col min="9461" max="9461" width="12" style="122" customWidth="1"/>
    <col min="9462" max="9462" width="14.453125" style="122" customWidth="1"/>
    <col min="9463" max="9463" width="11.90625" style="122" customWidth="1"/>
    <col min="9464" max="9464" width="14.08984375" style="122" customWidth="1"/>
    <col min="9465" max="9465" width="13.90625" style="122" customWidth="1"/>
    <col min="9466" max="9467" width="12.81640625" style="122" customWidth="1"/>
    <col min="9468" max="9468" width="13.54296875" style="122" customWidth="1"/>
    <col min="9469" max="9469" width="15.36328125" style="122" customWidth="1"/>
    <col min="9470" max="9470" width="12.81640625" style="122" customWidth="1"/>
    <col min="9471" max="9471" width="13.90625" style="122" customWidth="1"/>
    <col min="9472" max="9472" width="1.90625" style="122" customWidth="1"/>
    <col min="9473" max="9473" width="13" style="122" customWidth="1"/>
    <col min="9474" max="9713" width="8.90625" style="122"/>
    <col min="9714" max="9714" width="6" style="122" customWidth="1"/>
    <col min="9715" max="9715" width="1.453125" style="122" customWidth="1"/>
    <col min="9716" max="9716" width="39.08984375" style="122" customWidth="1"/>
    <col min="9717" max="9717" width="12" style="122" customWidth="1"/>
    <col min="9718" max="9718" width="14.453125" style="122" customWidth="1"/>
    <col min="9719" max="9719" width="11.90625" style="122" customWidth="1"/>
    <col min="9720" max="9720" width="14.08984375" style="122" customWidth="1"/>
    <col min="9721" max="9721" width="13.90625" style="122" customWidth="1"/>
    <col min="9722" max="9723" width="12.81640625" style="122" customWidth="1"/>
    <col min="9724" max="9724" width="13.54296875" style="122" customWidth="1"/>
    <col min="9725" max="9725" width="15.36328125" style="122" customWidth="1"/>
    <col min="9726" max="9726" width="12.81640625" style="122" customWidth="1"/>
    <col min="9727" max="9727" width="13.90625" style="122" customWidth="1"/>
    <col min="9728" max="9728" width="1.90625" style="122" customWidth="1"/>
    <col min="9729" max="9729" width="13" style="122" customWidth="1"/>
    <col min="9730" max="9969" width="8.90625" style="122"/>
    <col min="9970" max="9970" width="6" style="122" customWidth="1"/>
    <col min="9971" max="9971" width="1.453125" style="122" customWidth="1"/>
    <col min="9972" max="9972" width="39.08984375" style="122" customWidth="1"/>
    <col min="9973" max="9973" width="12" style="122" customWidth="1"/>
    <col min="9974" max="9974" width="14.453125" style="122" customWidth="1"/>
    <col min="9975" max="9975" width="11.90625" style="122" customWidth="1"/>
    <col min="9976" max="9976" width="14.08984375" style="122" customWidth="1"/>
    <col min="9977" max="9977" width="13.90625" style="122" customWidth="1"/>
    <col min="9978" max="9979" width="12.81640625" style="122" customWidth="1"/>
    <col min="9980" max="9980" width="13.54296875" style="122" customWidth="1"/>
    <col min="9981" max="9981" width="15.36328125" style="122" customWidth="1"/>
    <col min="9982" max="9982" width="12.81640625" style="122" customWidth="1"/>
    <col min="9983" max="9983" width="13.90625" style="122" customWidth="1"/>
    <col min="9984" max="9984" width="1.90625" style="122" customWidth="1"/>
    <col min="9985" max="9985" width="13" style="122" customWidth="1"/>
    <col min="9986" max="10225" width="8.90625" style="122"/>
    <col min="10226" max="10226" width="6" style="122" customWidth="1"/>
    <col min="10227" max="10227" width="1.453125" style="122" customWidth="1"/>
    <col min="10228" max="10228" width="39.08984375" style="122" customWidth="1"/>
    <col min="10229" max="10229" width="12" style="122" customWidth="1"/>
    <col min="10230" max="10230" width="14.453125" style="122" customWidth="1"/>
    <col min="10231" max="10231" width="11.90625" style="122" customWidth="1"/>
    <col min="10232" max="10232" width="14.08984375" style="122" customWidth="1"/>
    <col min="10233" max="10233" width="13.90625" style="122" customWidth="1"/>
    <col min="10234" max="10235" width="12.81640625" style="122" customWidth="1"/>
    <col min="10236" max="10236" width="13.54296875" style="122" customWidth="1"/>
    <col min="10237" max="10237" width="15.36328125" style="122" customWidth="1"/>
    <col min="10238" max="10238" width="12.81640625" style="122" customWidth="1"/>
    <col min="10239" max="10239" width="13.90625" style="122" customWidth="1"/>
    <col min="10240" max="10240" width="1.90625" style="122" customWidth="1"/>
    <col min="10241" max="10241" width="13" style="122" customWidth="1"/>
    <col min="10242" max="10481" width="8.90625" style="122"/>
    <col min="10482" max="10482" width="6" style="122" customWidth="1"/>
    <col min="10483" max="10483" width="1.453125" style="122" customWidth="1"/>
    <col min="10484" max="10484" width="39.08984375" style="122" customWidth="1"/>
    <col min="10485" max="10485" width="12" style="122" customWidth="1"/>
    <col min="10486" max="10486" width="14.453125" style="122" customWidth="1"/>
    <col min="10487" max="10487" width="11.90625" style="122" customWidth="1"/>
    <col min="10488" max="10488" width="14.08984375" style="122" customWidth="1"/>
    <col min="10489" max="10489" width="13.90625" style="122" customWidth="1"/>
    <col min="10490" max="10491" width="12.81640625" style="122" customWidth="1"/>
    <col min="10492" max="10492" width="13.54296875" style="122" customWidth="1"/>
    <col min="10493" max="10493" width="15.36328125" style="122" customWidth="1"/>
    <col min="10494" max="10494" width="12.81640625" style="122" customWidth="1"/>
    <col min="10495" max="10495" width="13.90625" style="122" customWidth="1"/>
    <col min="10496" max="10496" width="1.90625" style="122" customWidth="1"/>
    <col min="10497" max="10497" width="13" style="122" customWidth="1"/>
    <col min="10498" max="10737" width="8.90625" style="122"/>
    <col min="10738" max="10738" width="6" style="122" customWidth="1"/>
    <col min="10739" max="10739" width="1.453125" style="122" customWidth="1"/>
    <col min="10740" max="10740" width="39.08984375" style="122" customWidth="1"/>
    <col min="10741" max="10741" width="12" style="122" customWidth="1"/>
    <col min="10742" max="10742" width="14.453125" style="122" customWidth="1"/>
    <col min="10743" max="10743" width="11.90625" style="122" customWidth="1"/>
    <col min="10744" max="10744" width="14.08984375" style="122" customWidth="1"/>
    <col min="10745" max="10745" width="13.90625" style="122" customWidth="1"/>
    <col min="10746" max="10747" width="12.81640625" style="122" customWidth="1"/>
    <col min="10748" max="10748" width="13.54296875" style="122" customWidth="1"/>
    <col min="10749" max="10749" width="15.36328125" style="122" customWidth="1"/>
    <col min="10750" max="10750" width="12.81640625" style="122" customWidth="1"/>
    <col min="10751" max="10751" width="13.90625" style="122" customWidth="1"/>
    <col min="10752" max="10752" width="1.90625" style="122" customWidth="1"/>
    <col min="10753" max="10753" width="13" style="122" customWidth="1"/>
    <col min="10754" max="10993" width="8.90625" style="122"/>
    <col min="10994" max="10994" width="6" style="122" customWidth="1"/>
    <col min="10995" max="10995" width="1.453125" style="122" customWidth="1"/>
    <col min="10996" max="10996" width="39.08984375" style="122" customWidth="1"/>
    <col min="10997" max="10997" width="12" style="122" customWidth="1"/>
    <col min="10998" max="10998" width="14.453125" style="122" customWidth="1"/>
    <col min="10999" max="10999" width="11.90625" style="122" customWidth="1"/>
    <col min="11000" max="11000" width="14.08984375" style="122" customWidth="1"/>
    <col min="11001" max="11001" width="13.90625" style="122" customWidth="1"/>
    <col min="11002" max="11003" width="12.81640625" style="122" customWidth="1"/>
    <col min="11004" max="11004" width="13.54296875" style="122" customWidth="1"/>
    <col min="11005" max="11005" width="15.36328125" style="122" customWidth="1"/>
    <col min="11006" max="11006" width="12.81640625" style="122" customWidth="1"/>
    <col min="11007" max="11007" width="13.90625" style="122" customWidth="1"/>
    <col min="11008" max="11008" width="1.90625" style="122" customWidth="1"/>
    <col min="11009" max="11009" width="13" style="122" customWidth="1"/>
    <col min="11010" max="11249" width="8.90625" style="122"/>
    <col min="11250" max="11250" width="6" style="122" customWidth="1"/>
    <col min="11251" max="11251" width="1.453125" style="122" customWidth="1"/>
    <col min="11252" max="11252" width="39.08984375" style="122" customWidth="1"/>
    <col min="11253" max="11253" width="12" style="122" customWidth="1"/>
    <col min="11254" max="11254" width="14.453125" style="122" customWidth="1"/>
    <col min="11255" max="11255" width="11.90625" style="122" customWidth="1"/>
    <col min="11256" max="11256" width="14.08984375" style="122" customWidth="1"/>
    <col min="11257" max="11257" width="13.90625" style="122" customWidth="1"/>
    <col min="11258" max="11259" width="12.81640625" style="122" customWidth="1"/>
    <col min="11260" max="11260" width="13.54296875" style="122" customWidth="1"/>
    <col min="11261" max="11261" width="15.36328125" style="122" customWidth="1"/>
    <col min="11262" max="11262" width="12.81640625" style="122" customWidth="1"/>
    <col min="11263" max="11263" width="13.90625" style="122" customWidth="1"/>
    <col min="11264" max="11264" width="1.90625" style="122" customWidth="1"/>
    <col min="11265" max="11265" width="13" style="122" customWidth="1"/>
    <col min="11266" max="11505" width="8.90625" style="122"/>
    <col min="11506" max="11506" width="6" style="122" customWidth="1"/>
    <col min="11507" max="11507" width="1.453125" style="122" customWidth="1"/>
    <col min="11508" max="11508" width="39.08984375" style="122" customWidth="1"/>
    <col min="11509" max="11509" width="12" style="122" customWidth="1"/>
    <col min="11510" max="11510" width="14.453125" style="122" customWidth="1"/>
    <col min="11511" max="11511" width="11.90625" style="122" customWidth="1"/>
    <col min="11512" max="11512" width="14.08984375" style="122" customWidth="1"/>
    <col min="11513" max="11513" width="13.90625" style="122" customWidth="1"/>
    <col min="11514" max="11515" width="12.81640625" style="122" customWidth="1"/>
    <col min="11516" max="11516" width="13.54296875" style="122" customWidth="1"/>
    <col min="11517" max="11517" width="15.36328125" style="122" customWidth="1"/>
    <col min="11518" max="11518" width="12.81640625" style="122" customWidth="1"/>
    <col min="11519" max="11519" width="13.90625" style="122" customWidth="1"/>
    <col min="11520" max="11520" width="1.90625" style="122" customWidth="1"/>
    <col min="11521" max="11521" width="13" style="122" customWidth="1"/>
    <col min="11522" max="11761" width="8.90625" style="122"/>
    <col min="11762" max="11762" width="6" style="122" customWidth="1"/>
    <col min="11763" max="11763" width="1.453125" style="122" customWidth="1"/>
    <col min="11764" max="11764" width="39.08984375" style="122" customWidth="1"/>
    <col min="11765" max="11765" width="12" style="122" customWidth="1"/>
    <col min="11766" max="11766" width="14.453125" style="122" customWidth="1"/>
    <col min="11767" max="11767" width="11.90625" style="122" customWidth="1"/>
    <col min="11768" max="11768" width="14.08984375" style="122" customWidth="1"/>
    <col min="11769" max="11769" width="13.90625" style="122" customWidth="1"/>
    <col min="11770" max="11771" width="12.81640625" style="122" customWidth="1"/>
    <col min="11772" max="11772" width="13.54296875" style="122" customWidth="1"/>
    <col min="11773" max="11773" width="15.36328125" style="122" customWidth="1"/>
    <col min="11774" max="11774" width="12.81640625" style="122" customWidth="1"/>
    <col min="11775" max="11775" width="13.90625" style="122" customWidth="1"/>
    <col min="11776" max="11776" width="1.90625" style="122" customWidth="1"/>
    <col min="11777" max="11777" width="13" style="122" customWidth="1"/>
    <col min="11778" max="12017" width="8.90625" style="122"/>
    <col min="12018" max="12018" width="6" style="122" customWidth="1"/>
    <col min="12019" max="12019" width="1.453125" style="122" customWidth="1"/>
    <col min="12020" max="12020" width="39.08984375" style="122" customWidth="1"/>
    <col min="12021" max="12021" width="12" style="122" customWidth="1"/>
    <col min="12022" max="12022" width="14.453125" style="122" customWidth="1"/>
    <col min="12023" max="12023" width="11.90625" style="122" customWidth="1"/>
    <col min="12024" max="12024" width="14.08984375" style="122" customWidth="1"/>
    <col min="12025" max="12025" width="13.90625" style="122" customWidth="1"/>
    <col min="12026" max="12027" width="12.81640625" style="122" customWidth="1"/>
    <col min="12028" max="12028" width="13.54296875" style="122" customWidth="1"/>
    <col min="12029" max="12029" width="15.36328125" style="122" customWidth="1"/>
    <col min="12030" max="12030" width="12.81640625" style="122" customWidth="1"/>
    <col min="12031" max="12031" width="13.90625" style="122" customWidth="1"/>
    <col min="12032" max="12032" width="1.90625" style="122" customWidth="1"/>
    <col min="12033" max="12033" width="13" style="122" customWidth="1"/>
    <col min="12034" max="12273" width="8.90625" style="122"/>
    <col min="12274" max="12274" width="6" style="122" customWidth="1"/>
    <col min="12275" max="12275" width="1.453125" style="122" customWidth="1"/>
    <col min="12276" max="12276" width="39.08984375" style="122" customWidth="1"/>
    <col min="12277" max="12277" width="12" style="122" customWidth="1"/>
    <col min="12278" max="12278" width="14.453125" style="122" customWidth="1"/>
    <col min="12279" max="12279" width="11.90625" style="122" customWidth="1"/>
    <col min="12280" max="12280" width="14.08984375" style="122" customWidth="1"/>
    <col min="12281" max="12281" width="13.90625" style="122" customWidth="1"/>
    <col min="12282" max="12283" width="12.81640625" style="122" customWidth="1"/>
    <col min="12284" max="12284" width="13.54296875" style="122" customWidth="1"/>
    <col min="12285" max="12285" width="15.36328125" style="122" customWidth="1"/>
    <col min="12286" max="12286" width="12.81640625" style="122" customWidth="1"/>
    <col min="12287" max="12287" width="13.90625" style="122" customWidth="1"/>
    <col min="12288" max="12288" width="1.90625" style="122" customWidth="1"/>
    <col min="12289" max="12289" width="13" style="122" customWidth="1"/>
    <col min="12290" max="12529" width="8.90625" style="122"/>
    <col min="12530" max="12530" width="6" style="122" customWidth="1"/>
    <col min="12531" max="12531" width="1.453125" style="122" customWidth="1"/>
    <col min="12532" max="12532" width="39.08984375" style="122" customWidth="1"/>
    <col min="12533" max="12533" width="12" style="122" customWidth="1"/>
    <col min="12534" max="12534" width="14.453125" style="122" customWidth="1"/>
    <col min="12535" max="12535" width="11.90625" style="122" customWidth="1"/>
    <col min="12536" max="12536" width="14.08984375" style="122" customWidth="1"/>
    <col min="12537" max="12537" width="13.90625" style="122" customWidth="1"/>
    <col min="12538" max="12539" width="12.81640625" style="122" customWidth="1"/>
    <col min="12540" max="12540" width="13.54296875" style="122" customWidth="1"/>
    <col min="12541" max="12541" width="15.36328125" style="122" customWidth="1"/>
    <col min="12542" max="12542" width="12.81640625" style="122" customWidth="1"/>
    <col min="12543" max="12543" width="13.90625" style="122" customWidth="1"/>
    <col min="12544" max="12544" width="1.90625" style="122" customWidth="1"/>
    <col min="12545" max="12545" width="13" style="122" customWidth="1"/>
    <col min="12546" max="12785" width="8.90625" style="122"/>
    <col min="12786" max="12786" width="6" style="122" customWidth="1"/>
    <col min="12787" max="12787" width="1.453125" style="122" customWidth="1"/>
    <col min="12788" max="12788" width="39.08984375" style="122" customWidth="1"/>
    <col min="12789" max="12789" width="12" style="122" customWidth="1"/>
    <col min="12790" max="12790" width="14.453125" style="122" customWidth="1"/>
    <col min="12791" max="12791" width="11.90625" style="122" customWidth="1"/>
    <col min="12792" max="12792" width="14.08984375" style="122" customWidth="1"/>
    <col min="12793" max="12793" width="13.90625" style="122" customWidth="1"/>
    <col min="12794" max="12795" width="12.81640625" style="122" customWidth="1"/>
    <col min="12796" max="12796" width="13.54296875" style="122" customWidth="1"/>
    <col min="12797" max="12797" width="15.36328125" style="122" customWidth="1"/>
    <col min="12798" max="12798" width="12.81640625" style="122" customWidth="1"/>
    <col min="12799" max="12799" width="13.90625" style="122" customWidth="1"/>
    <col min="12800" max="12800" width="1.90625" style="122" customWidth="1"/>
    <col min="12801" max="12801" width="13" style="122" customWidth="1"/>
    <col min="12802" max="13041" width="8.90625" style="122"/>
    <col min="13042" max="13042" width="6" style="122" customWidth="1"/>
    <col min="13043" max="13043" width="1.453125" style="122" customWidth="1"/>
    <col min="13044" max="13044" width="39.08984375" style="122" customWidth="1"/>
    <col min="13045" max="13045" width="12" style="122" customWidth="1"/>
    <col min="13046" max="13046" width="14.453125" style="122" customWidth="1"/>
    <col min="13047" max="13047" width="11.90625" style="122" customWidth="1"/>
    <col min="13048" max="13048" width="14.08984375" style="122" customWidth="1"/>
    <col min="13049" max="13049" width="13.90625" style="122" customWidth="1"/>
    <col min="13050" max="13051" width="12.81640625" style="122" customWidth="1"/>
    <col min="13052" max="13052" width="13.54296875" style="122" customWidth="1"/>
    <col min="13053" max="13053" width="15.36328125" style="122" customWidth="1"/>
    <col min="13054" max="13054" width="12.81640625" style="122" customWidth="1"/>
    <col min="13055" max="13055" width="13.90625" style="122" customWidth="1"/>
    <col min="13056" max="13056" width="1.90625" style="122" customWidth="1"/>
    <col min="13057" max="13057" width="13" style="122" customWidth="1"/>
    <col min="13058" max="13297" width="8.90625" style="122"/>
    <col min="13298" max="13298" width="6" style="122" customWidth="1"/>
    <col min="13299" max="13299" width="1.453125" style="122" customWidth="1"/>
    <col min="13300" max="13300" width="39.08984375" style="122" customWidth="1"/>
    <col min="13301" max="13301" width="12" style="122" customWidth="1"/>
    <col min="13302" max="13302" width="14.453125" style="122" customWidth="1"/>
    <col min="13303" max="13303" width="11.90625" style="122" customWidth="1"/>
    <col min="13304" max="13304" width="14.08984375" style="122" customWidth="1"/>
    <col min="13305" max="13305" width="13.90625" style="122" customWidth="1"/>
    <col min="13306" max="13307" width="12.81640625" style="122" customWidth="1"/>
    <col min="13308" max="13308" width="13.54296875" style="122" customWidth="1"/>
    <col min="13309" max="13309" width="15.36328125" style="122" customWidth="1"/>
    <col min="13310" max="13310" width="12.81640625" style="122" customWidth="1"/>
    <col min="13311" max="13311" width="13.90625" style="122" customWidth="1"/>
    <col min="13312" max="13312" width="1.90625" style="122" customWidth="1"/>
    <col min="13313" max="13313" width="13" style="122" customWidth="1"/>
    <col min="13314" max="13553" width="8.90625" style="122"/>
    <col min="13554" max="13554" width="6" style="122" customWidth="1"/>
    <col min="13555" max="13555" width="1.453125" style="122" customWidth="1"/>
    <col min="13556" max="13556" width="39.08984375" style="122" customWidth="1"/>
    <col min="13557" max="13557" width="12" style="122" customWidth="1"/>
    <col min="13558" max="13558" width="14.453125" style="122" customWidth="1"/>
    <col min="13559" max="13559" width="11.90625" style="122" customWidth="1"/>
    <col min="13560" max="13560" width="14.08984375" style="122" customWidth="1"/>
    <col min="13561" max="13561" width="13.90625" style="122" customWidth="1"/>
    <col min="13562" max="13563" width="12.81640625" style="122" customWidth="1"/>
    <col min="13564" max="13564" width="13.54296875" style="122" customWidth="1"/>
    <col min="13565" max="13565" width="15.36328125" style="122" customWidth="1"/>
    <col min="13566" max="13566" width="12.81640625" style="122" customWidth="1"/>
    <col min="13567" max="13567" width="13.90625" style="122" customWidth="1"/>
    <col min="13568" max="13568" width="1.90625" style="122" customWidth="1"/>
    <col min="13569" max="13569" width="13" style="122" customWidth="1"/>
    <col min="13570" max="13809" width="8.90625" style="122"/>
    <col min="13810" max="13810" width="6" style="122" customWidth="1"/>
    <col min="13811" max="13811" width="1.453125" style="122" customWidth="1"/>
    <col min="13812" max="13812" width="39.08984375" style="122" customWidth="1"/>
    <col min="13813" max="13813" width="12" style="122" customWidth="1"/>
    <col min="13814" max="13814" width="14.453125" style="122" customWidth="1"/>
    <col min="13815" max="13815" width="11.90625" style="122" customWidth="1"/>
    <col min="13816" max="13816" width="14.08984375" style="122" customWidth="1"/>
    <col min="13817" max="13817" width="13.90625" style="122" customWidth="1"/>
    <col min="13818" max="13819" width="12.81640625" style="122" customWidth="1"/>
    <col min="13820" max="13820" width="13.54296875" style="122" customWidth="1"/>
    <col min="13821" max="13821" width="15.36328125" style="122" customWidth="1"/>
    <col min="13822" max="13822" width="12.81640625" style="122" customWidth="1"/>
    <col min="13823" max="13823" width="13.90625" style="122" customWidth="1"/>
    <col min="13824" max="13824" width="1.90625" style="122" customWidth="1"/>
    <col min="13825" max="13825" width="13" style="122" customWidth="1"/>
    <col min="13826" max="14065" width="8.90625" style="122"/>
    <col min="14066" max="14066" width="6" style="122" customWidth="1"/>
    <col min="14067" max="14067" width="1.453125" style="122" customWidth="1"/>
    <col min="14068" max="14068" width="39.08984375" style="122" customWidth="1"/>
    <col min="14069" max="14069" width="12" style="122" customWidth="1"/>
    <col min="14070" max="14070" width="14.453125" style="122" customWidth="1"/>
    <col min="14071" max="14071" width="11.90625" style="122" customWidth="1"/>
    <col min="14072" max="14072" width="14.08984375" style="122" customWidth="1"/>
    <col min="14073" max="14073" width="13.90625" style="122" customWidth="1"/>
    <col min="14074" max="14075" width="12.81640625" style="122" customWidth="1"/>
    <col min="14076" max="14076" width="13.54296875" style="122" customWidth="1"/>
    <col min="14077" max="14077" width="15.36328125" style="122" customWidth="1"/>
    <col min="14078" max="14078" width="12.81640625" style="122" customWidth="1"/>
    <col min="14079" max="14079" width="13.90625" style="122" customWidth="1"/>
    <col min="14080" max="14080" width="1.90625" style="122" customWidth="1"/>
    <col min="14081" max="14081" width="13" style="122" customWidth="1"/>
    <col min="14082" max="14321" width="8.90625" style="122"/>
    <col min="14322" max="14322" width="6" style="122" customWidth="1"/>
    <col min="14323" max="14323" width="1.453125" style="122" customWidth="1"/>
    <col min="14324" max="14324" width="39.08984375" style="122" customWidth="1"/>
    <col min="14325" max="14325" width="12" style="122" customWidth="1"/>
    <col min="14326" max="14326" width="14.453125" style="122" customWidth="1"/>
    <col min="14327" max="14327" width="11.90625" style="122" customWidth="1"/>
    <col min="14328" max="14328" width="14.08984375" style="122" customWidth="1"/>
    <col min="14329" max="14329" width="13.90625" style="122" customWidth="1"/>
    <col min="14330" max="14331" width="12.81640625" style="122" customWidth="1"/>
    <col min="14332" max="14332" width="13.54296875" style="122" customWidth="1"/>
    <col min="14333" max="14333" width="15.36328125" style="122" customWidth="1"/>
    <col min="14334" max="14334" width="12.81640625" style="122" customWidth="1"/>
    <col min="14335" max="14335" width="13.90625" style="122" customWidth="1"/>
    <col min="14336" max="14336" width="1.90625" style="122" customWidth="1"/>
    <col min="14337" max="14337" width="13" style="122" customWidth="1"/>
    <col min="14338" max="14577" width="8.90625" style="122"/>
    <col min="14578" max="14578" width="6" style="122" customWidth="1"/>
    <col min="14579" max="14579" width="1.453125" style="122" customWidth="1"/>
    <col min="14580" max="14580" width="39.08984375" style="122" customWidth="1"/>
    <col min="14581" max="14581" width="12" style="122" customWidth="1"/>
    <col min="14582" max="14582" width="14.453125" style="122" customWidth="1"/>
    <col min="14583" max="14583" width="11.90625" style="122" customWidth="1"/>
    <col min="14584" max="14584" width="14.08984375" style="122" customWidth="1"/>
    <col min="14585" max="14585" width="13.90625" style="122" customWidth="1"/>
    <col min="14586" max="14587" width="12.81640625" style="122" customWidth="1"/>
    <col min="14588" max="14588" width="13.54296875" style="122" customWidth="1"/>
    <col min="14589" max="14589" width="15.36328125" style="122" customWidth="1"/>
    <col min="14590" max="14590" width="12.81640625" style="122" customWidth="1"/>
    <col min="14591" max="14591" width="13.90625" style="122" customWidth="1"/>
    <col min="14592" max="14592" width="1.90625" style="122" customWidth="1"/>
    <col min="14593" max="14593" width="13" style="122" customWidth="1"/>
    <col min="14594" max="14833" width="8.90625" style="122"/>
    <col min="14834" max="14834" width="6" style="122" customWidth="1"/>
    <col min="14835" max="14835" width="1.453125" style="122" customWidth="1"/>
    <col min="14836" max="14836" width="39.08984375" style="122" customWidth="1"/>
    <col min="14837" max="14837" width="12" style="122" customWidth="1"/>
    <col min="14838" max="14838" width="14.453125" style="122" customWidth="1"/>
    <col min="14839" max="14839" width="11.90625" style="122" customWidth="1"/>
    <col min="14840" max="14840" width="14.08984375" style="122" customWidth="1"/>
    <col min="14841" max="14841" width="13.90625" style="122" customWidth="1"/>
    <col min="14842" max="14843" width="12.81640625" style="122" customWidth="1"/>
    <col min="14844" max="14844" width="13.54296875" style="122" customWidth="1"/>
    <col min="14845" max="14845" width="15.36328125" style="122" customWidth="1"/>
    <col min="14846" max="14846" width="12.81640625" style="122" customWidth="1"/>
    <col min="14847" max="14847" width="13.90625" style="122" customWidth="1"/>
    <col min="14848" max="14848" width="1.90625" style="122" customWidth="1"/>
    <col min="14849" max="14849" width="13" style="122" customWidth="1"/>
    <col min="14850" max="15089" width="8.90625" style="122"/>
    <col min="15090" max="15090" width="6" style="122" customWidth="1"/>
    <col min="15091" max="15091" width="1.453125" style="122" customWidth="1"/>
    <col min="15092" max="15092" width="39.08984375" style="122" customWidth="1"/>
    <col min="15093" max="15093" width="12" style="122" customWidth="1"/>
    <col min="15094" max="15094" width="14.453125" style="122" customWidth="1"/>
    <col min="15095" max="15095" width="11.90625" style="122" customWidth="1"/>
    <col min="15096" max="15096" width="14.08984375" style="122" customWidth="1"/>
    <col min="15097" max="15097" width="13.90625" style="122" customWidth="1"/>
    <col min="15098" max="15099" width="12.81640625" style="122" customWidth="1"/>
    <col min="15100" max="15100" width="13.54296875" style="122" customWidth="1"/>
    <col min="15101" max="15101" width="15.36328125" style="122" customWidth="1"/>
    <col min="15102" max="15102" width="12.81640625" style="122" customWidth="1"/>
    <col min="15103" max="15103" width="13.90625" style="122" customWidth="1"/>
    <col min="15104" max="15104" width="1.90625" style="122" customWidth="1"/>
    <col min="15105" max="15105" width="13" style="122" customWidth="1"/>
    <col min="15106" max="15345" width="8.90625" style="122"/>
    <col min="15346" max="15346" width="6" style="122" customWidth="1"/>
    <col min="15347" max="15347" width="1.453125" style="122" customWidth="1"/>
    <col min="15348" max="15348" width="39.08984375" style="122" customWidth="1"/>
    <col min="15349" max="15349" width="12" style="122" customWidth="1"/>
    <col min="15350" max="15350" width="14.453125" style="122" customWidth="1"/>
    <col min="15351" max="15351" width="11.90625" style="122" customWidth="1"/>
    <col min="15352" max="15352" width="14.08984375" style="122" customWidth="1"/>
    <col min="15353" max="15353" width="13.90625" style="122" customWidth="1"/>
    <col min="15354" max="15355" width="12.81640625" style="122" customWidth="1"/>
    <col min="15356" max="15356" width="13.54296875" style="122" customWidth="1"/>
    <col min="15357" max="15357" width="15.36328125" style="122" customWidth="1"/>
    <col min="15358" max="15358" width="12.81640625" style="122" customWidth="1"/>
    <col min="15359" max="15359" width="13.90625" style="122" customWidth="1"/>
    <col min="15360" max="15360" width="1.90625" style="122" customWidth="1"/>
    <col min="15361" max="15361" width="13" style="122" customWidth="1"/>
    <col min="15362" max="15601" width="8.90625" style="122"/>
    <col min="15602" max="15602" width="6" style="122" customWidth="1"/>
    <col min="15603" max="15603" width="1.453125" style="122" customWidth="1"/>
    <col min="15604" max="15604" width="39.08984375" style="122" customWidth="1"/>
    <col min="15605" max="15605" width="12" style="122" customWidth="1"/>
    <col min="15606" max="15606" width="14.453125" style="122" customWidth="1"/>
    <col min="15607" max="15607" width="11.90625" style="122" customWidth="1"/>
    <col min="15608" max="15608" width="14.08984375" style="122" customWidth="1"/>
    <col min="15609" max="15609" width="13.90625" style="122" customWidth="1"/>
    <col min="15610" max="15611" width="12.81640625" style="122" customWidth="1"/>
    <col min="15612" max="15612" width="13.54296875" style="122" customWidth="1"/>
    <col min="15613" max="15613" width="15.36328125" style="122" customWidth="1"/>
    <col min="15614" max="15614" width="12.81640625" style="122" customWidth="1"/>
    <col min="15615" max="15615" width="13.90625" style="122" customWidth="1"/>
    <col min="15616" max="15616" width="1.90625" style="122" customWidth="1"/>
    <col min="15617" max="15617" width="13" style="122" customWidth="1"/>
    <col min="15618" max="15857" width="8.90625" style="122"/>
    <col min="15858" max="15858" width="6" style="122" customWidth="1"/>
    <col min="15859" max="15859" width="1.453125" style="122" customWidth="1"/>
    <col min="15860" max="15860" width="39.08984375" style="122" customWidth="1"/>
    <col min="15861" max="15861" width="12" style="122" customWidth="1"/>
    <col min="15862" max="15862" width="14.453125" style="122" customWidth="1"/>
    <col min="15863" max="15863" width="11.90625" style="122" customWidth="1"/>
    <col min="15864" max="15864" width="14.08984375" style="122" customWidth="1"/>
    <col min="15865" max="15865" width="13.90625" style="122" customWidth="1"/>
    <col min="15866" max="15867" width="12.81640625" style="122" customWidth="1"/>
    <col min="15868" max="15868" width="13.54296875" style="122" customWidth="1"/>
    <col min="15869" max="15869" width="15.36328125" style="122" customWidth="1"/>
    <col min="15870" max="15870" width="12.81640625" style="122" customWidth="1"/>
    <col min="15871" max="15871" width="13.90625" style="122" customWidth="1"/>
    <col min="15872" max="15872" width="1.90625" style="122" customWidth="1"/>
    <col min="15873" max="15873" width="13" style="122" customWidth="1"/>
    <col min="15874" max="16113" width="8.90625" style="122"/>
    <col min="16114" max="16114" width="6" style="122" customWidth="1"/>
    <col min="16115" max="16115" width="1.453125" style="122" customWidth="1"/>
    <col min="16116" max="16116" width="39.08984375" style="122" customWidth="1"/>
    <col min="16117" max="16117" width="12" style="122" customWidth="1"/>
    <col min="16118" max="16118" width="14.453125" style="122" customWidth="1"/>
    <col min="16119" max="16119" width="11.90625" style="122" customWidth="1"/>
    <col min="16120" max="16120" width="14.08984375" style="122" customWidth="1"/>
    <col min="16121" max="16121" width="13.90625" style="122" customWidth="1"/>
    <col min="16122" max="16123" width="12.81640625" style="122" customWidth="1"/>
    <col min="16124" max="16124" width="13.54296875" style="122" customWidth="1"/>
    <col min="16125" max="16125" width="15.36328125" style="122" customWidth="1"/>
    <col min="16126" max="16126" width="12.81640625" style="122" customWidth="1"/>
    <col min="16127" max="16127" width="13.90625" style="122" customWidth="1"/>
    <col min="16128" max="16128" width="1.90625" style="122" customWidth="1"/>
    <col min="16129" max="16129" width="13" style="122" customWidth="1"/>
    <col min="16130" max="16369" width="8.90625" style="122"/>
    <col min="16370" max="16384" width="8.90625" style="122" customWidth="1"/>
  </cols>
  <sheetData>
    <row r="1" spans="2:50">
      <c r="O1" s="373" t="s">
        <v>306</v>
      </c>
    </row>
    <row r="2" spans="2:50">
      <c r="O2" s="373" t="s">
        <v>350</v>
      </c>
    </row>
    <row r="3" spans="2:50">
      <c r="O3" s="156" t="s">
        <v>294</v>
      </c>
    </row>
    <row r="4" spans="2:50">
      <c r="B4" s="126"/>
      <c r="D4" s="94"/>
      <c r="E4" s="94"/>
      <c r="F4" s="94"/>
      <c r="G4" s="94"/>
      <c r="H4" s="99"/>
      <c r="I4" s="94"/>
      <c r="J4" s="94"/>
      <c r="K4" s="94"/>
      <c r="L4" s="94"/>
      <c r="N4" s="99"/>
      <c r="O4" s="156" t="str">
        <f>DEOK!G7</f>
        <v>For the 12 months ended: 12/31/2018</v>
      </c>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row>
    <row r="5" spans="2:50">
      <c r="B5" s="126"/>
      <c r="D5" s="95"/>
      <c r="E5" s="94"/>
      <c r="F5" s="94"/>
      <c r="G5" s="94"/>
      <c r="H5" s="99"/>
      <c r="I5" s="94"/>
      <c r="J5" s="94"/>
      <c r="K5" s="94"/>
      <c r="L5" s="94"/>
      <c r="N5" s="99"/>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row>
    <row r="6" spans="2:50">
      <c r="B6" s="201" t="s">
        <v>263</v>
      </c>
      <c r="C6" s="249"/>
      <c r="D6" s="249"/>
      <c r="E6" s="200"/>
      <c r="F6" s="201"/>
      <c r="G6" s="201"/>
      <c r="H6" s="249"/>
      <c r="I6" s="201"/>
      <c r="J6" s="201"/>
      <c r="K6" s="201"/>
      <c r="L6" s="201"/>
      <c r="M6" s="249"/>
      <c r="N6" s="199"/>
      <c r="O6" s="249"/>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row>
    <row r="7" spans="2:50">
      <c r="B7" s="201" t="s">
        <v>307</v>
      </c>
      <c r="C7" s="249"/>
      <c r="D7" s="200"/>
      <c r="E7" s="200"/>
      <c r="F7" s="201"/>
      <c r="G7" s="201"/>
      <c r="H7" s="249"/>
      <c r="I7" s="201"/>
      <c r="J7" s="201"/>
      <c r="K7" s="201"/>
      <c r="L7" s="201"/>
      <c r="M7" s="199"/>
      <c r="N7" s="199"/>
      <c r="O7" s="249"/>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row>
    <row r="8" spans="2:50" ht="14.25" customHeight="1">
      <c r="B8" s="248"/>
      <c r="D8" s="94"/>
      <c r="E8" s="94"/>
      <c r="F8" s="94"/>
      <c r="G8" s="94"/>
      <c r="I8" s="201"/>
      <c r="J8" s="94"/>
      <c r="K8" s="94"/>
      <c r="L8" s="94"/>
      <c r="N8" s="99"/>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row>
    <row r="9" spans="2:50">
      <c r="B9" s="201" t="str">
        <f>DEOK!A11</f>
        <v>DUKE ENERGY OHIO AND DUKE ENERGY KENTUCKY (DEOK)</v>
      </c>
      <c r="C9" s="249"/>
      <c r="D9" s="249"/>
      <c r="E9" s="249"/>
      <c r="F9" s="201"/>
      <c r="G9" s="201"/>
      <c r="H9" s="249"/>
      <c r="I9" s="201"/>
      <c r="J9" s="201"/>
      <c r="K9" s="201"/>
      <c r="L9" s="201"/>
      <c r="M9" s="201"/>
      <c r="N9" s="199"/>
      <c r="O9" s="199"/>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row>
    <row r="10" spans="2:50">
      <c r="B10" s="201" t="s">
        <v>305</v>
      </c>
      <c r="C10" s="249"/>
      <c r="D10" s="249"/>
      <c r="E10" s="249"/>
      <c r="F10" s="200"/>
      <c r="G10" s="200"/>
      <c r="H10" s="200"/>
      <c r="I10" s="200"/>
      <c r="J10" s="200"/>
      <c r="K10" s="200"/>
      <c r="L10" s="200"/>
      <c r="M10" s="200"/>
      <c r="N10" s="200"/>
      <c r="O10" s="200"/>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row>
    <row r="11" spans="2:50">
      <c r="B11" s="201"/>
      <c r="C11" s="249"/>
      <c r="D11" s="249"/>
      <c r="E11" s="249"/>
      <c r="F11" s="200"/>
      <c r="G11" s="200"/>
      <c r="H11" s="200"/>
      <c r="I11" s="200"/>
      <c r="J11" s="200"/>
      <c r="K11" s="200"/>
      <c r="L11" s="200"/>
      <c r="M11" s="200"/>
      <c r="N11" s="200"/>
      <c r="O11" s="200"/>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row>
    <row r="12" spans="2:50" ht="15.6">
      <c r="B12" s="250" t="s">
        <v>279</v>
      </c>
      <c r="C12" s="249"/>
      <c r="D12" s="201"/>
      <c r="E12" s="201"/>
      <c r="F12" s="249"/>
      <c r="G12" s="250"/>
      <c r="H12" s="249"/>
      <c r="I12" s="200"/>
      <c r="J12" s="200"/>
      <c r="K12" s="200"/>
      <c r="L12" s="200"/>
      <c r="M12" s="200"/>
      <c r="N12" s="199"/>
      <c r="O12" s="199"/>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row>
    <row r="13" spans="2:50" ht="15.6">
      <c r="B13" s="126"/>
      <c r="D13" s="94"/>
      <c r="E13" s="94"/>
      <c r="F13" s="134"/>
      <c r="G13" s="134"/>
      <c r="I13" s="98"/>
      <c r="J13" s="98"/>
      <c r="K13" s="98"/>
      <c r="L13" s="98"/>
      <c r="M13" s="98"/>
      <c r="N13" s="99"/>
      <c r="O13" s="99"/>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row>
    <row r="14" spans="2:50" ht="15.6">
      <c r="B14" s="126"/>
      <c r="D14" s="157">
        <v>-1</v>
      </c>
      <c r="E14" s="157">
        <v>-2</v>
      </c>
      <c r="F14" s="157">
        <v>-3</v>
      </c>
      <c r="G14" s="157">
        <v>-4</v>
      </c>
      <c r="H14" s="157">
        <v>-5</v>
      </c>
      <c r="I14" s="157">
        <v>-6</v>
      </c>
      <c r="J14" s="157">
        <v>-7</v>
      </c>
      <c r="K14" s="157">
        <v>-8</v>
      </c>
      <c r="L14" s="157">
        <v>-9</v>
      </c>
      <c r="M14" s="157">
        <v>-10</v>
      </c>
      <c r="N14" s="157">
        <v>-11</v>
      </c>
      <c r="O14" s="157">
        <v>-12</v>
      </c>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row>
    <row r="15" spans="2:50" ht="62.4">
      <c r="B15" s="158" t="s">
        <v>233</v>
      </c>
      <c r="C15" s="159"/>
      <c r="D15" s="159" t="s">
        <v>212</v>
      </c>
      <c r="E15" s="160" t="s">
        <v>348</v>
      </c>
      <c r="F15" s="161" t="s">
        <v>235</v>
      </c>
      <c r="G15" s="161" t="s">
        <v>228</v>
      </c>
      <c r="H15" s="162" t="s">
        <v>236</v>
      </c>
      <c r="I15" s="161" t="s">
        <v>237</v>
      </c>
      <c r="J15" s="161" t="s">
        <v>232</v>
      </c>
      <c r="K15" s="162" t="s">
        <v>238</v>
      </c>
      <c r="L15" s="161" t="s">
        <v>239</v>
      </c>
      <c r="M15" s="163" t="s">
        <v>240</v>
      </c>
      <c r="N15" s="164" t="s">
        <v>241</v>
      </c>
      <c r="O15" s="163" t="s">
        <v>242</v>
      </c>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row>
    <row r="16" spans="2:50" ht="46.5" customHeight="1">
      <c r="B16" s="165"/>
      <c r="C16" s="166"/>
      <c r="D16" s="166"/>
      <c r="E16" s="166"/>
      <c r="F16" s="167" t="s">
        <v>16</v>
      </c>
      <c r="G16" s="556" t="s">
        <v>767</v>
      </c>
      <c r="H16" s="168"/>
      <c r="I16" s="167" t="s">
        <v>17</v>
      </c>
      <c r="J16" s="556" t="s">
        <v>768</v>
      </c>
      <c r="K16" s="168"/>
      <c r="L16" s="167" t="s">
        <v>245</v>
      </c>
      <c r="M16" s="168" t="s">
        <v>246</v>
      </c>
      <c r="N16" s="169" t="s">
        <v>208</v>
      </c>
      <c r="O16" s="170" t="s">
        <v>247</v>
      </c>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row>
    <row r="17" spans="2:50">
      <c r="B17" s="171"/>
      <c r="C17" s="98"/>
      <c r="D17" s="98"/>
      <c r="E17" s="98"/>
      <c r="F17" s="98"/>
      <c r="G17" s="98"/>
      <c r="H17" s="172"/>
      <c r="I17" s="98"/>
      <c r="J17" s="98"/>
      <c r="K17" s="172"/>
      <c r="L17" s="98"/>
      <c r="M17" s="172"/>
      <c r="N17" s="99"/>
      <c r="O17" s="173"/>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row>
    <row r="18" spans="2:50">
      <c r="B18" s="576" t="s">
        <v>1</v>
      </c>
      <c r="C18" s="577"/>
      <c r="D18" s="578"/>
      <c r="E18" s="579"/>
      <c r="F18" s="582">
        <f>'Appx B - DEO(RTEP)'!O66+'Appx B - DEK(RTEP)'!O66</f>
        <v>0</v>
      </c>
      <c r="G18" s="581"/>
      <c r="H18" s="1108">
        <f>'Appx B - DEO(RTEP)'!Q66+'Appx B - DEK(RTEP)'!Q66</f>
        <v>0</v>
      </c>
      <c r="I18" s="175">
        <f>'Appx B - DEO(RTEP)'!R66+'Appx B - DEK(RTEP)'!R66</f>
        <v>0</v>
      </c>
      <c r="J18" s="140"/>
      <c r="K18" s="1108">
        <f>'Appx B - DEO(RTEP)'!T66+'Appx B - DEK(RTEP)'!T66</f>
        <v>0</v>
      </c>
      <c r="L18" s="1109">
        <f>'Appx B - DEO(RTEP)'!U66+'Appx B - DEK(RTEP)'!U66</f>
        <v>0</v>
      </c>
      <c r="M18" s="1108">
        <f>H18+K18+L18</f>
        <v>0</v>
      </c>
      <c r="N18" s="177">
        <f>'Appx B - DEO(RTEP)'!W66+'Appx B - DEK(RTEP)'!W66</f>
        <v>0</v>
      </c>
      <c r="O18" s="1108">
        <f>M18+N18</f>
        <v>0</v>
      </c>
    </row>
    <row r="19" spans="2:50">
      <c r="B19" s="576" t="s">
        <v>250</v>
      </c>
      <c r="C19" s="577"/>
      <c r="D19" s="577"/>
      <c r="E19" s="577"/>
      <c r="F19" s="582">
        <f>'Appx B - DEO(RTEP)'!O67+'Appx B - DEK(RTEP)'!O67</f>
        <v>0</v>
      </c>
      <c r="G19" s="581"/>
      <c r="H19" s="1108">
        <f>'Appx B - DEO(RTEP)'!Q67+'Appx B - DEK(RTEP)'!Q67</f>
        <v>0</v>
      </c>
      <c r="I19" s="175">
        <f>'Appx B - DEO(RTEP)'!R67+'Appx B - DEK(RTEP)'!R67</f>
        <v>0</v>
      </c>
      <c r="J19" s="140"/>
      <c r="K19" s="1108">
        <f>'Appx B - DEO(RTEP)'!T67+'Appx B - DEK(RTEP)'!T67</f>
        <v>0</v>
      </c>
      <c r="L19" s="1109">
        <f>'Appx B - DEO(RTEP)'!U67+'Appx B - DEK(RTEP)'!U67</f>
        <v>0</v>
      </c>
      <c r="M19" s="1108">
        <f>H19+K19+L19</f>
        <v>0</v>
      </c>
      <c r="N19" s="177">
        <f>'Appx B - DEO(RTEP)'!W67+'Appx B - DEK(RTEP)'!W67</f>
        <v>0</v>
      </c>
      <c r="O19" s="1108">
        <f>M19+N19</f>
        <v>0</v>
      </c>
    </row>
    <row r="20" spans="2:50">
      <c r="B20" s="576" t="s">
        <v>253</v>
      </c>
      <c r="C20" s="577"/>
      <c r="D20" s="577"/>
      <c r="E20" s="577"/>
      <c r="F20" s="582">
        <f>'Appx B - DEO(RTEP)'!O68+'Appx B - DEK(RTEP)'!O68</f>
        <v>0</v>
      </c>
      <c r="G20" s="581"/>
      <c r="H20" s="1108">
        <f>'Appx B - DEO(RTEP)'!Q68+'Appx B - DEK(RTEP)'!Q68</f>
        <v>0</v>
      </c>
      <c r="I20" s="175">
        <f>'Appx B - DEO(RTEP)'!R68+'Appx B - DEK(RTEP)'!R68</f>
        <v>0</v>
      </c>
      <c r="J20" s="140"/>
      <c r="K20" s="1108">
        <f>'Appx B - DEO(RTEP)'!T68+'Appx B - DEK(RTEP)'!T68</f>
        <v>0</v>
      </c>
      <c r="L20" s="1109">
        <f>'Appx B - DEO(RTEP)'!U68+'Appx B - DEK(RTEP)'!U68</f>
        <v>0</v>
      </c>
      <c r="M20" s="1108">
        <f>H20+K20+L20</f>
        <v>0</v>
      </c>
      <c r="N20" s="175">
        <f>'Appx B - DEO(RTEP)'!W68+'Appx B - DEK(RTEP)'!W68</f>
        <v>0</v>
      </c>
      <c r="O20" s="1108">
        <f>M20+N20</f>
        <v>0</v>
      </c>
    </row>
    <row r="21" spans="2:50">
      <c r="B21" s="174"/>
      <c r="H21" s="176"/>
      <c r="K21" s="176"/>
      <c r="M21" s="176"/>
      <c r="O21" s="176"/>
    </row>
    <row r="22" spans="2:50">
      <c r="B22" s="174"/>
      <c r="H22" s="176"/>
      <c r="K22" s="176"/>
      <c r="M22" s="176"/>
      <c r="O22" s="176"/>
    </row>
    <row r="23" spans="2:50">
      <c r="B23" s="174"/>
      <c r="H23" s="176"/>
      <c r="K23" s="176"/>
      <c r="M23" s="176"/>
      <c r="O23" s="176"/>
    </row>
    <row r="24" spans="2:50">
      <c r="B24" s="174"/>
      <c r="H24" s="176"/>
      <c r="K24" s="176"/>
      <c r="M24" s="176"/>
      <c r="O24" s="176"/>
    </row>
    <row r="25" spans="2:50">
      <c r="B25" s="174"/>
      <c r="H25" s="176"/>
      <c r="K25" s="176"/>
      <c r="M25" s="176"/>
      <c r="O25" s="176"/>
    </row>
    <row r="26" spans="2:50">
      <c r="B26" s="174"/>
      <c r="D26" s="178"/>
      <c r="E26" s="178"/>
      <c r="F26" s="178"/>
      <c r="G26" s="178"/>
      <c r="H26" s="179"/>
      <c r="I26" s="178"/>
      <c r="J26" s="178"/>
      <c r="K26" s="179"/>
      <c r="L26" s="178"/>
      <c r="M26" s="179"/>
      <c r="N26" s="178"/>
      <c r="O26" s="179"/>
    </row>
    <row r="27" spans="2:50">
      <c r="B27" s="174"/>
      <c r="D27" s="178"/>
      <c r="E27" s="178"/>
      <c r="F27" s="178"/>
      <c r="G27" s="178"/>
      <c r="H27" s="179"/>
      <c r="I27" s="178"/>
      <c r="J27" s="178"/>
      <c r="K27" s="179"/>
      <c r="L27" s="178"/>
      <c r="M27" s="179"/>
      <c r="N27" s="178"/>
      <c r="O27" s="179"/>
    </row>
    <row r="28" spans="2:50">
      <c r="B28" s="174"/>
      <c r="D28" s="178"/>
      <c r="E28" s="178"/>
      <c r="F28" s="178"/>
      <c r="G28" s="178"/>
      <c r="H28" s="179"/>
      <c r="I28" s="178"/>
      <c r="J28" s="178"/>
      <c r="K28" s="179"/>
      <c r="L28" s="178"/>
      <c r="M28" s="179"/>
      <c r="N28" s="178"/>
      <c r="O28" s="179"/>
    </row>
    <row r="29" spans="2:50">
      <c r="B29" s="174"/>
      <c r="D29" s="178"/>
      <c r="E29" s="178"/>
      <c r="F29" s="178"/>
      <c r="G29" s="178"/>
      <c r="H29" s="179"/>
      <c r="I29" s="178"/>
      <c r="J29" s="178"/>
      <c r="K29" s="179"/>
      <c r="L29" s="178"/>
      <c r="M29" s="179"/>
      <c r="N29" s="178"/>
      <c r="O29" s="179"/>
    </row>
    <row r="30" spans="2:50">
      <c r="B30" s="174"/>
      <c r="D30" s="178"/>
      <c r="E30" s="178"/>
      <c r="F30" s="178"/>
      <c r="G30" s="178"/>
      <c r="H30" s="179"/>
      <c r="I30" s="178"/>
      <c r="J30" s="178"/>
      <c r="K30" s="179"/>
      <c r="L30" s="178"/>
      <c r="M30" s="179"/>
      <c r="N30" s="178"/>
      <c r="O30" s="179"/>
    </row>
    <row r="31" spans="2:50">
      <c r="B31" s="174"/>
      <c r="D31" s="178"/>
      <c r="E31" s="178"/>
      <c r="F31" s="178"/>
      <c r="G31" s="178"/>
      <c r="H31" s="179"/>
      <c r="I31" s="178"/>
      <c r="J31" s="178"/>
      <c r="K31" s="179"/>
      <c r="L31" s="178"/>
      <c r="M31" s="179"/>
      <c r="N31" s="178"/>
      <c r="O31" s="179"/>
    </row>
    <row r="32" spans="2:50">
      <c r="B32" s="174"/>
      <c r="D32" s="178"/>
      <c r="E32" s="178"/>
      <c r="F32" s="178"/>
      <c r="G32" s="178"/>
      <c r="H32" s="179"/>
      <c r="I32" s="178"/>
      <c r="J32" s="178"/>
      <c r="K32" s="179"/>
      <c r="L32" s="178"/>
      <c r="M32" s="179"/>
      <c r="N32" s="178"/>
      <c r="O32" s="179"/>
    </row>
    <row r="33" spans="2:15">
      <c r="B33" s="174"/>
      <c r="D33" s="178"/>
      <c r="E33" s="178"/>
      <c r="F33" s="178"/>
      <c r="G33" s="178"/>
      <c r="H33" s="179"/>
      <c r="I33" s="178"/>
      <c r="J33" s="178"/>
      <c r="K33" s="179"/>
      <c r="L33" s="178"/>
      <c r="M33" s="179"/>
      <c r="N33" s="178"/>
      <c r="O33" s="179"/>
    </row>
    <row r="34" spans="2:15">
      <c r="B34" s="174"/>
      <c r="D34" s="178"/>
      <c r="E34" s="178"/>
      <c r="F34" s="178"/>
      <c r="G34" s="178"/>
      <c r="H34" s="179"/>
      <c r="I34" s="178"/>
      <c r="J34" s="178"/>
      <c r="K34" s="179"/>
      <c r="L34" s="178"/>
      <c r="M34" s="179"/>
      <c r="N34" s="178"/>
      <c r="O34" s="179"/>
    </row>
    <row r="35" spans="2:15">
      <c r="B35" s="174"/>
      <c r="D35" s="178"/>
      <c r="E35" s="178"/>
      <c r="F35" s="178"/>
      <c r="G35" s="178"/>
      <c r="H35" s="179"/>
      <c r="I35" s="178"/>
      <c r="J35" s="178"/>
      <c r="K35" s="179"/>
      <c r="L35" s="178"/>
      <c r="M35" s="179"/>
      <c r="N35" s="178"/>
      <c r="O35" s="179"/>
    </row>
    <row r="36" spans="2:15">
      <c r="B36" s="174"/>
      <c r="D36" s="178"/>
      <c r="E36" s="178"/>
      <c r="F36" s="178"/>
      <c r="G36" s="178"/>
      <c r="H36" s="179"/>
      <c r="I36" s="178"/>
      <c r="J36" s="178"/>
      <c r="K36" s="179"/>
      <c r="L36" s="178"/>
      <c r="M36" s="179"/>
      <c r="N36" s="178"/>
      <c r="O36" s="179"/>
    </row>
    <row r="37" spans="2:15">
      <c r="B37" s="180"/>
      <c r="C37" s="181"/>
      <c r="D37" s="182"/>
      <c r="E37" s="182"/>
      <c r="F37" s="182"/>
      <c r="G37" s="182"/>
      <c r="H37" s="183"/>
      <c r="I37" s="182"/>
      <c r="J37" s="182"/>
      <c r="K37" s="183"/>
      <c r="L37" s="182"/>
      <c r="M37" s="183"/>
      <c r="N37" s="182"/>
      <c r="O37" s="183"/>
    </row>
    <row r="38" spans="2:15">
      <c r="B38" s="128" t="s">
        <v>256</v>
      </c>
      <c r="C38" s="150"/>
      <c r="D38" s="95" t="s">
        <v>257</v>
      </c>
      <c r="E38" s="95"/>
      <c r="F38" s="101"/>
      <c r="G38" s="101"/>
      <c r="H38" s="99"/>
      <c r="I38" s="99"/>
      <c r="J38" s="99"/>
      <c r="K38" s="99"/>
      <c r="L38" s="99"/>
      <c r="M38" s="989">
        <f>SUM(M18:M37)</f>
        <v>0</v>
      </c>
      <c r="N38" s="989">
        <f>SUM(N18:N37)</f>
        <v>0</v>
      </c>
      <c r="O38" s="989">
        <f>SUM(O18:O37)</f>
        <v>0</v>
      </c>
    </row>
    <row r="39" spans="2:15">
      <c r="B39" s="89"/>
      <c r="C39" s="178"/>
      <c r="D39" s="178"/>
      <c r="E39" s="178"/>
      <c r="F39" s="178"/>
      <c r="G39" s="178"/>
      <c r="H39" s="178"/>
      <c r="I39" s="178"/>
      <c r="J39" s="178"/>
      <c r="K39" s="178"/>
      <c r="L39" s="178"/>
      <c r="M39" s="1107"/>
      <c r="N39" s="1107"/>
      <c r="O39" s="1107"/>
    </row>
    <row r="40" spans="2:15">
      <c r="B40" s="184">
        <v>3</v>
      </c>
      <c r="C40" s="178"/>
      <c r="D40" s="557" t="s">
        <v>566</v>
      </c>
      <c r="E40" s="551"/>
      <c r="F40" s="551"/>
      <c r="G40" s="551"/>
      <c r="H40" s="551"/>
      <c r="I40" s="551"/>
      <c r="J40" s="551"/>
      <c r="K40" s="551"/>
      <c r="L40" s="551"/>
      <c r="M40" s="989"/>
      <c r="N40" s="1107"/>
      <c r="O40" s="989">
        <f>O38</f>
        <v>0</v>
      </c>
    </row>
    <row r="41" spans="2:15">
      <c r="B41" s="178"/>
      <c r="C41" s="178"/>
      <c r="D41" s="551"/>
      <c r="E41" s="551"/>
      <c r="F41" s="551"/>
      <c r="G41" s="551"/>
      <c r="H41" s="551"/>
      <c r="I41" s="551"/>
      <c r="J41" s="551"/>
      <c r="K41" s="551"/>
      <c r="L41" s="551"/>
      <c r="M41" s="551"/>
      <c r="N41" s="551"/>
      <c r="O41" s="551"/>
    </row>
    <row r="42" spans="2:15">
      <c r="B42" s="178"/>
      <c r="C42" s="178"/>
      <c r="D42" s="551"/>
      <c r="E42" s="551"/>
      <c r="F42" s="551"/>
      <c r="G42" s="551"/>
      <c r="H42" s="551"/>
      <c r="I42" s="551"/>
      <c r="J42" s="551"/>
      <c r="K42" s="551"/>
      <c r="L42" s="551"/>
      <c r="M42" s="551"/>
      <c r="N42" s="551"/>
      <c r="O42" s="551"/>
    </row>
    <row r="43" spans="2:15">
      <c r="B43" s="552" t="s">
        <v>94</v>
      </c>
      <c r="C43" s="178"/>
      <c r="D43" s="551"/>
      <c r="E43" s="551"/>
      <c r="F43" s="551"/>
      <c r="G43" s="551"/>
      <c r="H43" s="551"/>
      <c r="I43" s="551"/>
      <c r="J43" s="551"/>
      <c r="K43" s="551"/>
      <c r="L43" s="551"/>
      <c r="M43" s="551"/>
      <c r="N43" s="551"/>
      <c r="O43" s="551"/>
    </row>
    <row r="44" spans="2:15" ht="15.6" thickBot="1">
      <c r="B44" s="970" t="s">
        <v>95</v>
      </c>
      <c r="C44" s="178"/>
      <c r="D44" s="551"/>
      <c r="E44" s="551"/>
      <c r="F44" s="551"/>
      <c r="G44" s="551"/>
      <c r="H44" s="551"/>
      <c r="I44" s="551"/>
      <c r="J44" s="551"/>
      <c r="K44" s="551"/>
      <c r="L44" s="551"/>
      <c r="M44" s="551"/>
      <c r="N44" s="551"/>
      <c r="O44" s="551"/>
    </row>
    <row r="45" spans="2:15">
      <c r="B45" s="185" t="s">
        <v>96</v>
      </c>
      <c r="C45" s="97"/>
      <c r="D45" s="1189" t="s">
        <v>608</v>
      </c>
      <c r="E45" s="1190"/>
      <c r="F45" s="1190"/>
      <c r="G45" s="1190"/>
      <c r="H45" s="1190"/>
      <c r="I45" s="1190"/>
      <c r="J45" s="1190"/>
      <c r="K45" s="1190"/>
      <c r="L45" s="1190"/>
      <c r="M45" s="1190"/>
      <c r="N45" s="1190"/>
      <c r="O45" s="1190"/>
    </row>
    <row r="46" spans="2:15">
      <c r="B46" s="185" t="s">
        <v>97</v>
      </c>
      <c r="C46" s="97"/>
      <c r="D46" s="1189" t="s">
        <v>609</v>
      </c>
      <c r="E46" s="1190"/>
      <c r="F46" s="1190"/>
      <c r="G46" s="1190"/>
      <c r="H46" s="1190"/>
      <c r="I46" s="1190"/>
      <c r="J46" s="1190"/>
      <c r="K46" s="1190"/>
      <c r="L46" s="1190"/>
      <c r="M46" s="1190"/>
      <c r="N46" s="1190"/>
      <c r="O46" s="1190"/>
    </row>
    <row r="47" spans="2:15" ht="27.75" customHeight="1">
      <c r="B47" s="186" t="s">
        <v>98</v>
      </c>
      <c r="C47" s="97"/>
      <c r="D47" s="1191" t="s">
        <v>258</v>
      </c>
      <c r="E47" s="1191"/>
      <c r="F47" s="1191"/>
      <c r="G47" s="1191"/>
      <c r="H47" s="1191"/>
      <c r="I47" s="1191"/>
      <c r="J47" s="1191"/>
      <c r="K47" s="1191"/>
      <c r="L47" s="1191"/>
      <c r="M47" s="1191"/>
      <c r="N47" s="1191"/>
      <c r="O47" s="1191"/>
    </row>
    <row r="48" spans="2:15" ht="15" customHeight="1">
      <c r="B48" s="186" t="s">
        <v>99</v>
      </c>
      <c r="C48" s="97"/>
      <c r="D48" s="1191" t="s">
        <v>259</v>
      </c>
      <c r="E48" s="1191"/>
      <c r="F48" s="1191"/>
      <c r="G48" s="1191"/>
      <c r="H48" s="1191"/>
      <c r="I48" s="1191"/>
      <c r="J48" s="1191"/>
      <c r="K48" s="1191"/>
      <c r="L48" s="1191"/>
      <c r="M48" s="1191"/>
      <c r="N48" s="1191"/>
      <c r="O48" s="1191"/>
    </row>
    <row r="49" spans="1:15">
      <c r="B49" s="185" t="s">
        <v>100</v>
      </c>
      <c r="C49" s="97"/>
      <c r="D49" s="1190" t="s">
        <v>322</v>
      </c>
      <c r="E49" s="1190"/>
      <c r="F49" s="1190"/>
      <c r="G49" s="1190"/>
      <c r="H49" s="1190"/>
      <c r="I49" s="1190"/>
      <c r="J49" s="1190"/>
      <c r="K49" s="1190"/>
      <c r="L49" s="1190"/>
      <c r="M49" s="1190"/>
      <c r="N49" s="1190"/>
      <c r="O49" s="1190"/>
    </row>
    <row r="50" spans="1:15">
      <c r="B50" s="185" t="s">
        <v>101</v>
      </c>
      <c r="C50" s="97"/>
      <c r="D50" s="1190" t="s">
        <v>260</v>
      </c>
      <c r="E50" s="1190"/>
      <c r="F50" s="1190"/>
      <c r="G50" s="1190"/>
      <c r="H50" s="1190"/>
      <c r="I50" s="1190"/>
      <c r="J50" s="1190"/>
      <c r="K50" s="1190"/>
      <c r="L50" s="1190"/>
      <c r="M50" s="1190"/>
      <c r="N50" s="1190"/>
      <c r="O50" s="1190"/>
    </row>
    <row r="51" spans="1:15">
      <c r="B51" s="185" t="s">
        <v>102</v>
      </c>
      <c r="C51" s="97"/>
      <c r="D51" s="1189" t="s">
        <v>565</v>
      </c>
      <c r="E51" s="1190"/>
      <c r="F51" s="1190"/>
      <c r="G51" s="1190"/>
      <c r="H51" s="1190"/>
      <c r="I51" s="1190"/>
      <c r="J51" s="1190"/>
      <c r="K51" s="1190"/>
      <c r="L51" s="1190"/>
      <c r="M51" s="1190"/>
      <c r="N51" s="1190"/>
      <c r="O51" s="1190"/>
    </row>
    <row r="52" spans="1:15">
      <c r="B52" s="358" t="s">
        <v>104</v>
      </c>
      <c r="C52" s="125"/>
      <c r="D52" s="1189" t="s">
        <v>346</v>
      </c>
      <c r="E52" s="1189"/>
      <c r="F52" s="1189"/>
      <c r="G52" s="1189"/>
      <c r="H52" s="1189"/>
      <c r="I52" s="1189"/>
      <c r="J52" s="1189"/>
      <c r="K52" s="1189"/>
      <c r="L52" s="1189"/>
      <c r="M52" s="1189"/>
      <c r="N52" s="1189"/>
      <c r="O52" s="1189"/>
    </row>
    <row r="53" spans="1:15">
      <c r="A53" s="139"/>
      <c r="B53" s="178"/>
      <c r="C53" s="178"/>
      <c r="D53" s="178"/>
      <c r="E53" s="178"/>
      <c r="F53" s="178"/>
    </row>
    <row r="54" spans="1:15">
      <c r="A54" s="139"/>
      <c r="B54" s="178"/>
      <c r="C54" s="178"/>
      <c r="D54" s="178"/>
      <c r="E54" s="178"/>
      <c r="F54" s="178"/>
    </row>
    <row r="55" spans="1:15">
      <c r="A55" s="178"/>
      <c r="B55" s="178"/>
      <c r="C55" s="178"/>
      <c r="D55" s="178"/>
      <c r="E55" s="178"/>
      <c r="F55" s="178"/>
    </row>
    <row r="56" spans="1:15">
      <c r="A56" s="178"/>
      <c r="B56" s="178"/>
      <c r="C56" s="178"/>
      <c r="D56" s="178"/>
      <c r="E56" s="178"/>
      <c r="F56" s="178"/>
    </row>
    <row r="57" spans="1:15">
      <c r="A57" s="178"/>
      <c r="B57" s="178"/>
      <c r="C57" s="178"/>
      <c r="D57" s="178"/>
      <c r="E57" s="178"/>
      <c r="F57" s="178"/>
    </row>
    <row r="58" spans="1:15">
      <c r="A58" s="178"/>
      <c r="B58" s="178"/>
      <c r="C58" s="178"/>
      <c r="D58" s="178"/>
      <c r="E58" s="178"/>
      <c r="F58" s="178"/>
    </row>
    <row r="59" spans="1:15">
      <c r="A59" s="178"/>
      <c r="B59" s="178"/>
      <c r="C59" s="178"/>
      <c r="D59" s="178"/>
      <c r="E59" s="178"/>
      <c r="F59" s="178"/>
    </row>
    <row r="60" spans="1:15">
      <c r="A60" s="178"/>
      <c r="B60" s="178"/>
      <c r="C60" s="178"/>
      <c r="D60" s="178"/>
      <c r="E60" s="178"/>
      <c r="F60" s="178"/>
    </row>
    <row r="61" spans="1:15">
      <c r="A61" s="178"/>
      <c r="B61" s="178"/>
      <c r="C61" s="178"/>
      <c r="D61" s="178"/>
      <c r="E61" s="178"/>
      <c r="F61" s="178"/>
    </row>
    <row r="62" spans="1:15">
      <c r="A62" s="178"/>
      <c r="B62" s="178"/>
      <c r="C62" s="178"/>
      <c r="D62" s="178"/>
      <c r="E62" s="178"/>
      <c r="F62" s="178"/>
    </row>
    <row r="63" spans="1:15">
      <c r="A63" s="178"/>
      <c r="B63" s="178"/>
      <c r="C63" s="178"/>
      <c r="D63" s="178"/>
      <c r="E63" s="178"/>
      <c r="F63" s="178"/>
    </row>
    <row r="64" spans="1:15">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8"/>
    </row>
    <row r="85" spans="1:6">
      <c r="A85" s="178"/>
      <c r="B85" s="178"/>
      <c r="C85" s="178"/>
      <c r="D85" s="178"/>
      <c r="E85" s="178"/>
      <c r="F85" s="178"/>
    </row>
    <row r="86" spans="1:6">
      <c r="A86" s="178"/>
      <c r="B86" s="178"/>
      <c r="C86" s="178"/>
      <c r="D86" s="178"/>
      <c r="E86" s="178"/>
      <c r="F86" s="178"/>
    </row>
    <row r="87" spans="1:6">
      <c r="A87" s="178"/>
      <c r="B87" s="178"/>
      <c r="C87" s="178"/>
      <c r="D87" s="178"/>
      <c r="E87" s="178"/>
      <c r="F87" s="178"/>
    </row>
    <row r="88" spans="1:6">
      <c r="A88" s="178"/>
      <c r="B88" s="178"/>
      <c r="C88" s="178"/>
      <c r="D88" s="178"/>
      <c r="E88" s="178"/>
      <c r="F88" s="178"/>
    </row>
    <row r="89" spans="1:6">
      <c r="A89" s="178"/>
      <c r="B89" s="178"/>
      <c r="C89" s="178"/>
      <c r="D89" s="178"/>
      <c r="E89" s="178"/>
      <c r="F89" s="178"/>
    </row>
    <row r="90" spans="1:6">
      <c r="A90" s="178"/>
      <c r="B90" s="178"/>
      <c r="C90" s="178"/>
      <c r="D90" s="178"/>
      <c r="E90" s="178"/>
      <c r="F90" s="178"/>
    </row>
    <row r="91" spans="1:6">
      <c r="A91" s="178"/>
      <c r="B91" s="178"/>
      <c r="C91" s="178"/>
      <c r="D91" s="178"/>
      <c r="E91" s="178"/>
      <c r="F91" s="178"/>
    </row>
    <row r="92" spans="1:6">
      <c r="A92" s="178"/>
      <c r="B92" s="178"/>
      <c r="C92" s="178"/>
      <c r="D92" s="178"/>
      <c r="E92" s="178"/>
      <c r="F92" s="178"/>
    </row>
    <row r="93" spans="1:6">
      <c r="A93" s="178"/>
      <c r="B93" s="178"/>
      <c r="C93" s="178"/>
      <c r="D93" s="178"/>
      <c r="E93" s="178"/>
      <c r="F93" s="178"/>
    </row>
    <row r="94" spans="1:6">
      <c r="A94" s="178"/>
      <c r="B94" s="178"/>
      <c r="C94" s="178"/>
      <c r="D94" s="178"/>
      <c r="E94" s="178"/>
      <c r="F94" s="178"/>
    </row>
    <row r="95" spans="1:6">
      <c r="A95" s="178"/>
      <c r="B95" s="178"/>
      <c r="C95" s="178"/>
      <c r="D95" s="178"/>
      <c r="E95" s="178"/>
      <c r="F95" s="178"/>
    </row>
    <row r="96" spans="1:6">
      <c r="A96" s="178"/>
      <c r="B96" s="178"/>
      <c r="C96" s="178"/>
      <c r="D96" s="178"/>
      <c r="E96" s="178"/>
      <c r="F96" s="178"/>
    </row>
    <row r="97" spans="1:6">
      <c r="A97" s="178"/>
      <c r="B97" s="178"/>
      <c r="C97" s="178"/>
      <c r="D97" s="178"/>
      <c r="E97" s="178"/>
      <c r="F97" s="178"/>
    </row>
    <row r="98" spans="1:6">
      <c r="A98" s="178"/>
      <c r="B98" s="178"/>
      <c r="C98" s="178"/>
      <c r="D98" s="178"/>
      <c r="E98" s="178"/>
      <c r="F98" s="178"/>
    </row>
    <row r="99" spans="1:6">
      <c r="A99" s="178"/>
      <c r="B99" s="178"/>
      <c r="C99" s="178"/>
      <c r="D99" s="178"/>
      <c r="E99" s="178"/>
      <c r="F99" s="178"/>
    </row>
    <row r="100" spans="1:6">
      <c r="A100" s="178"/>
      <c r="B100" s="178"/>
      <c r="C100" s="178"/>
      <c r="D100" s="178"/>
      <c r="E100" s="178"/>
      <c r="F100" s="178"/>
    </row>
    <row r="101" spans="1:6">
      <c r="A101" s="178"/>
      <c r="B101" s="178"/>
      <c r="C101" s="178"/>
      <c r="D101" s="178"/>
      <c r="E101" s="178"/>
      <c r="F101" s="178"/>
    </row>
    <row r="102" spans="1:6">
      <c r="A102" s="178"/>
      <c r="B102" s="178"/>
      <c r="C102" s="178"/>
      <c r="D102" s="178"/>
      <c r="E102" s="178"/>
      <c r="F102" s="178"/>
    </row>
    <row r="103" spans="1:6">
      <c r="A103" s="178"/>
      <c r="B103" s="178"/>
      <c r="C103" s="178"/>
      <c r="D103" s="178"/>
      <c r="E103" s="178"/>
      <c r="F103" s="178"/>
    </row>
    <row r="104" spans="1:6">
      <c r="A104" s="178"/>
      <c r="B104" s="178"/>
      <c r="C104" s="178"/>
      <c r="D104" s="178"/>
      <c r="E104" s="178"/>
      <c r="F104" s="178"/>
    </row>
    <row r="105" spans="1:6">
      <c r="A105" s="178"/>
      <c r="B105" s="178"/>
      <c r="C105" s="178"/>
      <c r="D105" s="178"/>
      <c r="E105" s="178"/>
      <c r="F105" s="178"/>
    </row>
    <row r="106" spans="1:6">
      <c r="A106" s="178"/>
      <c r="B106" s="178"/>
      <c r="C106" s="178"/>
      <c r="D106" s="178"/>
      <c r="E106" s="178"/>
      <c r="F106" s="178"/>
    </row>
    <row r="107" spans="1:6">
      <c r="A107" s="178"/>
      <c r="B107" s="178"/>
      <c r="C107" s="178"/>
      <c r="D107" s="178"/>
      <c r="E107" s="178"/>
      <c r="F107" s="178"/>
    </row>
    <row r="108" spans="1:6">
      <c r="A108" s="178"/>
      <c r="B108" s="178"/>
      <c r="C108" s="178"/>
      <c r="D108" s="178"/>
      <c r="E108" s="178"/>
      <c r="F108" s="178"/>
    </row>
    <row r="109" spans="1:6">
      <c r="A109" s="178"/>
      <c r="B109" s="178"/>
      <c r="C109" s="178"/>
      <c r="D109" s="178"/>
      <c r="E109" s="178"/>
      <c r="F109" s="178"/>
    </row>
    <row r="110" spans="1:6">
      <c r="A110" s="178"/>
      <c r="B110" s="178"/>
      <c r="C110" s="178"/>
      <c r="D110" s="178"/>
      <c r="E110" s="178"/>
      <c r="F110" s="178"/>
    </row>
    <row r="111" spans="1:6">
      <c r="A111" s="178"/>
      <c r="B111" s="178"/>
      <c r="C111" s="178"/>
      <c r="D111" s="178"/>
      <c r="E111" s="178"/>
      <c r="F111" s="178"/>
    </row>
    <row r="112" spans="1:6">
      <c r="A112" s="178"/>
      <c r="B112" s="178"/>
      <c r="C112" s="178"/>
      <c r="D112" s="178"/>
      <c r="E112" s="178"/>
      <c r="F112" s="178"/>
    </row>
    <row r="113" spans="1:6">
      <c r="A113" s="178"/>
      <c r="B113" s="178"/>
      <c r="C113" s="178"/>
      <c r="D113" s="178"/>
      <c r="E113" s="178"/>
      <c r="F113" s="178"/>
    </row>
    <row r="114" spans="1:6">
      <c r="A114" s="178"/>
      <c r="B114" s="178"/>
      <c r="C114" s="178"/>
      <c r="D114" s="178"/>
      <c r="E114" s="178"/>
      <c r="F114" s="178"/>
    </row>
    <row r="115" spans="1:6">
      <c r="A115" s="178"/>
      <c r="B115" s="178"/>
      <c r="C115" s="178"/>
      <c r="D115" s="178"/>
      <c r="E115" s="178"/>
      <c r="F115" s="178"/>
    </row>
    <row r="116" spans="1:6">
      <c r="A116" s="178"/>
      <c r="B116" s="178"/>
      <c r="C116" s="178"/>
      <c r="D116" s="178"/>
      <c r="E116" s="178"/>
      <c r="F116" s="178"/>
    </row>
    <row r="117" spans="1:6">
      <c r="A117" s="178"/>
      <c r="B117" s="178"/>
      <c r="C117" s="178"/>
      <c r="D117" s="178"/>
      <c r="E117" s="178"/>
      <c r="F117" s="178"/>
    </row>
    <row r="118" spans="1:6">
      <c r="A118" s="178"/>
      <c r="B118" s="178"/>
      <c r="C118" s="178"/>
      <c r="D118" s="178"/>
      <c r="E118" s="178"/>
      <c r="F118" s="178"/>
    </row>
    <row r="119" spans="1:6">
      <c r="A119" s="178"/>
      <c r="B119" s="178"/>
      <c r="C119" s="178"/>
      <c r="D119" s="178"/>
      <c r="E119" s="178"/>
      <c r="F119" s="178"/>
    </row>
    <row r="120" spans="1:6">
      <c r="A120" s="178"/>
      <c r="B120" s="178"/>
      <c r="C120" s="178"/>
      <c r="D120" s="178"/>
      <c r="E120" s="178"/>
      <c r="F120" s="178"/>
    </row>
    <row r="121" spans="1:6">
      <c r="A121" s="178"/>
      <c r="B121" s="178"/>
      <c r="C121" s="178"/>
      <c r="D121" s="178"/>
      <c r="E121" s="178"/>
      <c r="F121" s="178"/>
    </row>
    <row r="122" spans="1:6">
      <c r="A122" s="178"/>
      <c r="B122" s="178"/>
      <c r="C122" s="178"/>
      <c r="D122" s="178"/>
      <c r="E122" s="178"/>
      <c r="F122" s="178"/>
    </row>
    <row r="123" spans="1:6">
      <c r="A123" s="178"/>
      <c r="B123" s="178"/>
      <c r="C123" s="178"/>
      <c r="D123" s="178"/>
      <c r="E123" s="178"/>
      <c r="F123" s="178"/>
    </row>
    <row r="124" spans="1:6">
      <c r="A124" s="178"/>
      <c r="B124" s="178"/>
      <c r="C124" s="178"/>
      <c r="D124" s="178"/>
      <c r="E124" s="178"/>
      <c r="F124" s="178"/>
    </row>
    <row r="125" spans="1:6">
      <c r="A125" s="178"/>
      <c r="B125" s="178"/>
      <c r="C125" s="178"/>
      <c r="D125" s="178"/>
      <c r="E125" s="178"/>
      <c r="F125" s="178"/>
    </row>
    <row r="126" spans="1:6">
      <c r="A126" s="178"/>
      <c r="B126" s="178"/>
      <c r="C126" s="178"/>
      <c r="D126" s="178"/>
      <c r="E126" s="178"/>
      <c r="F126" s="178"/>
    </row>
    <row r="127" spans="1:6">
      <c r="A127" s="178"/>
      <c r="B127" s="178"/>
      <c r="C127" s="178"/>
      <c r="D127" s="178"/>
      <c r="E127" s="178"/>
      <c r="F127" s="178"/>
    </row>
    <row r="128" spans="1:6">
      <c r="A128" s="178"/>
      <c r="B128" s="178"/>
      <c r="C128" s="178"/>
      <c r="D128" s="178"/>
      <c r="E128" s="178"/>
      <c r="F128" s="178"/>
    </row>
    <row r="129" spans="1:6">
      <c r="A129" s="178"/>
      <c r="B129" s="178"/>
      <c r="C129" s="178"/>
      <c r="D129" s="178"/>
      <c r="E129" s="178"/>
      <c r="F129" s="178"/>
    </row>
    <row r="130" spans="1:6">
      <c r="A130" s="178"/>
      <c r="B130" s="178"/>
      <c r="C130" s="178"/>
      <c r="D130" s="178"/>
      <c r="E130" s="178"/>
      <c r="F130" s="178"/>
    </row>
    <row r="131" spans="1:6">
      <c r="A131" s="178"/>
      <c r="B131" s="178"/>
      <c r="C131" s="178"/>
      <c r="D131" s="178"/>
      <c r="E131" s="178"/>
      <c r="F131" s="178"/>
    </row>
    <row r="132" spans="1:6">
      <c r="A132" s="178"/>
      <c r="B132" s="178"/>
      <c r="C132" s="178"/>
      <c r="D132" s="178"/>
      <c r="E132" s="178"/>
      <c r="F132" s="178"/>
    </row>
    <row r="133" spans="1:6">
      <c r="A133" s="178"/>
      <c r="B133" s="178"/>
      <c r="C133" s="178"/>
      <c r="D133" s="178"/>
      <c r="E133" s="178"/>
      <c r="F133" s="178"/>
    </row>
    <row r="134" spans="1:6">
      <c r="A134" s="178"/>
      <c r="B134" s="178"/>
      <c r="C134" s="178"/>
      <c r="D134" s="178"/>
      <c r="E134" s="178"/>
      <c r="F134" s="178"/>
    </row>
    <row r="135" spans="1:6">
      <c r="A135" s="178"/>
      <c r="B135" s="178"/>
      <c r="C135" s="178"/>
      <c r="D135" s="178"/>
      <c r="E135" s="178"/>
      <c r="F135" s="178"/>
    </row>
    <row r="136" spans="1:6">
      <c r="A136" s="178"/>
      <c r="B136" s="178"/>
      <c r="C136" s="178"/>
      <c r="D136" s="178"/>
      <c r="E136" s="178"/>
      <c r="F136" s="178"/>
    </row>
    <row r="137" spans="1:6">
      <c r="A137" s="178"/>
      <c r="B137" s="178"/>
      <c r="C137" s="178"/>
      <c r="D137" s="178"/>
      <c r="E137" s="178"/>
      <c r="F137" s="178"/>
    </row>
    <row r="138" spans="1:6">
      <c r="A138" s="178"/>
      <c r="B138" s="178"/>
      <c r="C138" s="178"/>
      <c r="D138" s="178"/>
      <c r="E138" s="178"/>
      <c r="F138" s="178"/>
    </row>
    <row r="139" spans="1:6">
      <c r="A139" s="178"/>
      <c r="B139" s="178"/>
      <c r="C139" s="178"/>
      <c r="D139" s="178"/>
      <c r="E139" s="178"/>
      <c r="F139" s="178"/>
    </row>
    <row r="140" spans="1:6">
      <c r="A140" s="178"/>
      <c r="B140" s="178"/>
      <c r="C140" s="178"/>
      <c r="D140" s="178"/>
      <c r="E140" s="178"/>
      <c r="F140" s="178"/>
    </row>
    <row r="141" spans="1:6">
      <c r="A141" s="178"/>
      <c r="B141" s="178"/>
      <c r="C141" s="178"/>
      <c r="D141" s="178"/>
      <c r="E141" s="178"/>
      <c r="F141" s="178"/>
    </row>
    <row r="142" spans="1:6">
      <c r="A142" s="178"/>
      <c r="B142" s="178"/>
      <c r="C142" s="178"/>
      <c r="D142" s="178"/>
      <c r="E142" s="178"/>
      <c r="F142" s="178"/>
    </row>
    <row r="143" spans="1:6">
      <c r="A143" s="178"/>
      <c r="B143" s="178"/>
      <c r="C143" s="178"/>
      <c r="D143" s="178"/>
      <c r="E143" s="178"/>
      <c r="F143" s="178"/>
    </row>
    <row r="144" spans="1:6">
      <c r="A144" s="178"/>
      <c r="B144" s="178"/>
      <c r="C144" s="178"/>
      <c r="D144" s="178"/>
      <c r="E144" s="178"/>
      <c r="F144" s="178"/>
    </row>
    <row r="145" spans="1:6">
      <c r="A145" s="178"/>
      <c r="B145" s="178"/>
      <c r="C145" s="178"/>
      <c r="D145" s="178"/>
      <c r="E145" s="178"/>
      <c r="F145" s="178"/>
    </row>
    <row r="146" spans="1:6">
      <c r="A146" s="178"/>
      <c r="B146" s="178"/>
      <c r="C146" s="178"/>
      <c r="D146" s="178"/>
      <c r="E146" s="178"/>
      <c r="F146" s="178"/>
    </row>
    <row r="147" spans="1:6">
      <c r="A147" s="178"/>
      <c r="B147" s="178"/>
      <c r="C147" s="178"/>
      <c r="D147" s="178"/>
      <c r="E147" s="178"/>
      <c r="F147" s="178"/>
    </row>
    <row r="148" spans="1:6">
      <c r="A148" s="178"/>
      <c r="B148" s="178"/>
      <c r="C148" s="178"/>
      <c r="D148" s="178"/>
      <c r="E148" s="178"/>
      <c r="F148" s="178"/>
    </row>
    <row r="149" spans="1:6">
      <c r="A149" s="178"/>
      <c r="B149" s="178"/>
      <c r="C149" s="178"/>
      <c r="D149" s="178"/>
      <c r="E149" s="178"/>
      <c r="F149" s="178"/>
    </row>
    <row r="150" spans="1:6">
      <c r="A150" s="178"/>
      <c r="B150" s="178"/>
      <c r="C150" s="178"/>
      <c r="D150" s="178"/>
      <c r="E150" s="178"/>
      <c r="F150" s="178"/>
    </row>
    <row r="151" spans="1:6">
      <c r="A151" s="178"/>
      <c r="B151" s="178"/>
      <c r="C151" s="178"/>
      <c r="D151" s="178"/>
      <c r="E151" s="178"/>
      <c r="F151" s="178"/>
    </row>
    <row r="152" spans="1:6">
      <c r="A152" s="178"/>
      <c r="B152" s="178"/>
      <c r="C152" s="178"/>
      <c r="D152" s="178"/>
      <c r="E152" s="178"/>
      <c r="F152" s="178"/>
    </row>
    <row r="153" spans="1:6">
      <c r="A153" s="178"/>
      <c r="B153" s="178"/>
      <c r="C153" s="178"/>
      <c r="D153" s="178"/>
      <c r="E153" s="178"/>
      <c r="F153" s="178"/>
    </row>
    <row r="154" spans="1:6">
      <c r="A154" s="178"/>
      <c r="B154" s="178"/>
      <c r="C154" s="178"/>
      <c r="D154" s="178"/>
      <c r="E154" s="178"/>
      <c r="F154" s="178"/>
    </row>
    <row r="155" spans="1:6">
      <c r="A155" s="178"/>
      <c r="B155" s="178"/>
      <c r="C155" s="178"/>
      <c r="D155" s="178"/>
      <c r="E155" s="178"/>
      <c r="F155" s="178"/>
    </row>
    <row r="156" spans="1:6">
      <c r="A156" s="178"/>
      <c r="B156" s="178"/>
      <c r="C156" s="178"/>
      <c r="D156" s="178"/>
      <c r="E156" s="178"/>
      <c r="F156" s="178"/>
    </row>
    <row r="157" spans="1:6">
      <c r="A157" s="178"/>
      <c r="B157" s="178"/>
      <c r="C157" s="178"/>
      <c r="D157" s="178"/>
      <c r="E157" s="178"/>
      <c r="F157" s="178"/>
    </row>
    <row r="158" spans="1:6">
      <c r="A158" s="178"/>
      <c r="B158" s="178"/>
      <c r="C158" s="178"/>
      <c r="D158" s="178"/>
      <c r="E158" s="178"/>
      <c r="F158" s="178"/>
    </row>
    <row r="159" spans="1:6">
      <c r="A159" s="178"/>
      <c r="B159" s="178"/>
      <c r="C159" s="178"/>
      <c r="D159" s="178"/>
      <c r="E159" s="178"/>
      <c r="F159" s="178"/>
    </row>
    <row r="160" spans="1:6">
      <c r="A160" s="178"/>
      <c r="B160" s="178"/>
      <c r="C160" s="178"/>
      <c r="D160" s="178"/>
      <c r="E160" s="178"/>
      <c r="F160" s="178"/>
    </row>
    <row r="161" spans="1:6">
      <c r="A161" s="178"/>
      <c r="B161" s="178"/>
      <c r="C161" s="178"/>
      <c r="D161" s="178"/>
      <c r="E161" s="178"/>
      <c r="F161" s="178"/>
    </row>
    <row r="162" spans="1:6">
      <c r="A162" s="178"/>
      <c r="B162" s="178"/>
      <c r="C162" s="178"/>
      <c r="D162" s="178"/>
      <c r="E162" s="178"/>
      <c r="F162" s="178"/>
    </row>
    <row r="163" spans="1:6">
      <c r="A163" s="178"/>
      <c r="B163" s="178"/>
      <c r="C163" s="178"/>
      <c r="D163" s="178"/>
      <c r="E163" s="178"/>
      <c r="F163" s="178"/>
    </row>
    <row r="164" spans="1:6">
      <c r="A164" s="178"/>
      <c r="B164" s="178"/>
      <c r="C164" s="178"/>
      <c r="D164" s="178"/>
      <c r="E164" s="178"/>
      <c r="F164" s="178"/>
    </row>
    <row r="165" spans="1:6">
      <c r="A165" s="178"/>
      <c r="B165" s="178"/>
      <c r="C165" s="178"/>
      <c r="D165" s="178"/>
      <c r="E165" s="178"/>
      <c r="F165" s="178"/>
    </row>
    <row r="166" spans="1:6">
      <c r="A166" s="178"/>
      <c r="B166" s="178"/>
      <c r="C166" s="178"/>
      <c r="D166" s="178"/>
      <c r="E166" s="178"/>
      <c r="F166" s="178"/>
    </row>
    <row r="167" spans="1:6">
      <c r="A167" s="178"/>
      <c r="B167" s="178"/>
      <c r="C167" s="178"/>
      <c r="D167" s="178"/>
      <c r="E167" s="178"/>
      <c r="F167" s="178"/>
    </row>
    <row r="168" spans="1:6">
      <c r="A168" s="178"/>
      <c r="B168" s="178"/>
      <c r="C168" s="178"/>
      <c r="D168" s="178"/>
      <c r="E168" s="178"/>
      <c r="F168" s="178"/>
    </row>
    <row r="169" spans="1:6">
      <c r="A169" s="178"/>
      <c r="B169" s="178"/>
      <c r="C169" s="178"/>
      <c r="D169" s="178"/>
      <c r="E169" s="178"/>
      <c r="F169" s="178"/>
    </row>
    <row r="170" spans="1:6">
      <c r="A170" s="178"/>
      <c r="B170" s="178"/>
      <c r="C170" s="178"/>
      <c r="D170" s="178"/>
      <c r="E170" s="178"/>
      <c r="F170" s="178"/>
    </row>
    <row r="171" spans="1:6">
      <c r="A171" s="178"/>
      <c r="B171" s="178"/>
      <c r="C171" s="178"/>
      <c r="D171" s="178"/>
      <c r="E171" s="178"/>
      <c r="F171" s="178"/>
    </row>
    <row r="172" spans="1:6">
      <c r="A172" s="178"/>
      <c r="B172" s="178"/>
      <c r="C172" s="178"/>
      <c r="D172" s="178"/>
      <c r="E172" s="178"/>
      <c r="F172" s="178"/>
    </row>
    <row r="173" spans="1:6">
      <c r="A173" s="178"/>
      <c r="B173" s="178"/>
      <c r="C173" s="178"/>
      <c r="D173" s="178"/>
      <c r="E173" s="178"/>
      <c r="F173" s="178"/>
    </row>
    <row r="174" spans="1:6">
      <c r="A174" s="178"/>
      <c r="B174" s="178"/>
      <c r="C174" s="178"/>
      <c r="D174" s="178"/>
      <c r="E174" s="178"/>
      <c r="F174" s="178"/>
    </row>
    <row r="175" spans="1:6">
      <c r="A175" s="178"/>
      <c r="B175" s="178"/>
      <c r="C175" s="178"/>
      <c r="D175" s="178"/>
      <c r="E175" s="178"/>
      <c r="F175" s="178"/>
    </row>
    <row r="176" spans="1:6">
      <c r="A176" s="178"/>
      <c r="B176" s="178"/>
      <c r="C176" s="178"/>
      <c r="D176" s="178"/>
      <c r="E176" s="178"/>
      <c r="F176" s="178"/>
    </row>
    <row r="177" spans="1:6">
      <c r="A177" s="178"/>
      <c r="B177" s="178"/>
      <c r="C177" s="178"/>
      <c r="D177" s="178"/>
      <c r="E177" s="178"/>
      <c r="F177" s="178"/>
    </row>
    <row r="178" spans="1:6">
      <c r="A178" s="178"/>
      <c r="B178" s="178"/>
      <c r="C178" s="178"/>
      <c r="D178" s="178"/>
      <c r="E178" s="178"/>
      <c r="F178" s="178"/>
    </row>
    <row r="179" spans="1:6">
      <c r="A179" s="178"/>
      <c r="B179" s="178"/>
      <c r="C179" s="178"/>
      <c r="D179" s="178"/>
      <c r="E179" s="178"/>
      <c r="F179" s="178"/>
    </row>
    <row r="180" spans="1:6">
      <c r="A180" s="178"/>
      <c r="B180" s="178"/>
      <c r="C180" s="178"/>
      <c r="D180" s="178"/>
      <c r="E180" s="178"/>
      <c r="F180" s="178"/>
    </row>
    <row r="181" spans="1:6">
      <c r="A181" s="178"/>
      <c r="B181" s="178"/>
      <c r="C181" s="178"/>
      <c r="D181" s="178"/>
      <c r="E181" s="178"/>
      <c r="F181" s="178"/>
    </row>
    <row r="182" spans="1:6">
      <c r="A182" s="178"/>
      <c r="B182" s="178"/>
      <c r="C182" s="178"/>
      <c r="D182" s="178"/>
      <c r="E182" s="178"/>
      <c r="F182" s="178"/>
    </row>
    <row r="183" spans="1:6">
      <c r="A183" s="178"/>
      <c r="B183" s="178"/>
      <c r="C183" s="178"/>
      <c r="D183" s="178"/>
      <c r="E183" s="178"/>
      <c r="F183" s="178"/>
    </row>
    <row r="184" spans="1:6">
      <c r="A184" s="178"/>
      <c r="B184" s="178"/>
      <c r="C184" s="178"/>
      <c r="D184" s="178"/>
      <c r="E184" s="178"/>
      <c r="F184" s="178"/>
    </row>
    <row r="185" spans="1:6">
      <c r="A185" s="178"/>
      <c r="B185" s="178"/>
      <c r="C185" s="178"/>
      <c r="D185" s="178"/>
      <c r="E185" s="178"/>
      <c r="F185" s="178"/>
    </row>
    <row r="186" spans="1:6">
      <c r="A186" s="178"/>
      <c r="B186" s="178"/>
      <c r="C186" s="178"/>
      <c r="D186" s="178"/>
      <c r="E186" s="178"/>
      <c r="F186" s="178"/>
    </row>
    <row r="187" spans="1:6">
      <c r="A187" s="178"/>
      <c r="B187" s="178"/>
      <c r="C187" s="178"/>
      <c r="D187" s="178"/>
      <c r="E187" s="178"/>
      <c r="F187" s="178"/>
    </row>
    <row r="188" spans="1:6">
      <c r="A188" s="178"/>
      <c r="B188" s="178"/>
      <c r="C188" s="178"/>
      <c r="D188" s="178"/>
      <c r="E188" s="178"/>
      <c r="F188" s="178"/>
    </row>
    <row r="189" spans="1:6">
      <c r="A189" s="178"/>
      <c r="B189" s="178"/>
      <c r="C189" s="178"/>
      <c r="D189" s="178"/>
      <c r="E189" s="178"/>
      <c r="F189" s="178"/>
    </row>
    <row r="190" spans="1:6">
      <c r="A190" s="178"/>
      <c r="B190" s="178"/>
      <c r="C190" s="178"/>
      <c r="D190" s="178"/>
      <c r="E190" s="178"/>
      <c r="F190" s="178"/>
    </row>
    <row r="191" spans="1:6">
      <c r="A191" s="178"/>
      <c r="B191" s="178"/>
      <c r="C191" s="178"/>
      <c r="D191" s="178"/>
      <c r="E191" s="178"/>
      <c r="F191" s="178"/>
    </row>
    <row r="192" spans="1:6">
      <c r="A192" s="178"/>
      <c r="B192" s="178"/>
      <c r="C192" s="178"/>
      <c r="D192" s="178"/>
      <c r="E192" s="178"/>
      <c r="F192" s="178"/>
    </row>
    <row r="193" spans="1:6">
      <c r="A193" s="178"/>
      <c r="B193" s="178"/>
      <c r="C193" s="178"/>
      <c r="D193" s="178"/>
      <c r="E193" s="178"/>
      <c r="F193" s="178"/>
    </row>
    <row r="194" spans="1:6">
      <c r="A194" s="178"/>
      <c r="B194" s="178"/>
      <c r="C194" s="178"/>
      <c r="D194" s="178"/>
      <c r="E194" s="178"/>
      <c r="F194" s="178"/>
    </row>
    <row r="195" spans="1:6">
      <c r="A195" s="178"/>
      <c r="B195" s="178"/>
      <c r="C195" s="178"/>
      <c r="D195" s="178"/>
      <c r="E195" s="178"/>
      <c r="F195" s="178"/>
    </row>
    <row r="196" spans="1:6">
      <c r="A196" s="178"/>
      <c r="B196" s="178"/>
      <c r="C196" s="178"/>
      <c r="D196" s="178"/>
      <c r="E196" s="178"/>
      <c r="F196" s="178"/>
    </row>
    <row r="197" spans="1:6">
      <c r="A197" s="178"/>
      <c r="B197" s="178"/>
      <c r="C197" s="178"/>
      <c r="D197" s="178"/>
      <c r="E197" s="178"/>
      <c r="F197" s="178"/>
    </row>
    <row r="198" spans="1:6">
      <c r="A198" s="178"/>
      <c r="B198" s="178"/>
      <c r="C198" s="178"/>
      <c r="D198" s="178"/>
      <c r="E198" s="178"/>
      <c r="F198" s="178"/>
    </row>
    <row r="199" spans="1:6">
      <c r="A199" s="178"/>
      <c r="B199" s="178"/>
      <c r="C199" s="178"/>
      <c r="D199" s="178"/>
      <c r="E199" s="178"/>
      <c r="F199" s="178"/>
    </row>
    <row r="200" spans="1:6">
      <c r="A200" s="178"/>
      <c r="B200" s="178"/>
      <c r="C200" s="178"/>
      <c r="D200" s="178"/>
      <c r="E200" s="178"/>
      <c r="F200" s="178"/>
    </row>
    <row r="201" spans="1:6">
      <c r="A201" s="178"/>
      <c r="B201" s="178"/>
      <c r="C201" s="178"/>
      <c r="D201" s="178"/>
      <c r="E201" s="178"/>
      <c r="F201" s="178"/>
    </row>
    <row r="202" spans="1:6">
      <c r="A202" s="178"/>
      <c r="B202" s="178"/>
      <c r="C202" s="178"/>
      <c r="D202" s="178"/>
      <c r="E202" s="178"/>
      <c r="F202" s="178"/>
    </row>
    <row r="203" spans="1:6">
      <c r="A203" s="178"/>
      <c r="B203" s="178"/>
      <c r="C203" s="178"/>
      <c r="D203" s="178"/>
      <c r="E203" s="178"/>
      <c r="F203" s="178"/>
    </row>
    <row r="204" spans="1:6">
      <c r="A204" s="178"/>
      <c r="B204" s="178"/>
      <c r="C204" s="178"/>
      <c r="D204" s="178"/>
      <c r="E204" s="178"/>
      <c r="F204" s="178"/>
    </row>
    <row r="205" spans="1:6">
      <c r="A205" s="178"/>
      <c r="B205" s="178"/>
      <c r="C205" s="178"/>
      <c r="D205" s="178"/>
      <c r="E205" s="178"/>
      <c r="F205" s="178"/>
    </row>
    <row r="206" spans="1:6">
      <c r="A206" s="178"/>
      <c r="B206" s="178"/>
      <c r="C206" s="178"/>
      <c r="D206" s="178"/>
      <c r="E206" s="178"/>
      <c r="F206" s="178"/>
    </row>
    <row r="207" spans="1:6">
      <c r="A207" s="178"/>
      <c r="B207" s="178"/>
      <c r="C207" s="178"/>
      <c r="D207" s="178"/>
      <c r="E207" s="178"/>
      <c r="F207" s="178"/>
    </row>
    <row r="208" spans="1:6">
      <c r="A208" s="178"/>
      <c r="B208" s="178"/>
      <c r="C208" s="178"/>
      <c r="D208" s="178"/>
      <c r="E208" s="178"/>
      <c r="F208" s="178"/>
    </row>
    <row r="209" spans="1:6">
      <c r="A209" s="178"/>
      <c r="B209" s="178"/>
      <c r="C209" s="178"/>
      <c r="D209" s="178"/>
      <c r="E209" s="178"/>
      <c r="F209" s="178"/>
    </row>
    <row r="210" spans="1:6">
      <c r="A210" s="178"/>
      <c r="B210" s="178"/>
      <c r="C210" s="178"/>
      <c r="D210" s="178"/>
      <c r="E210" s="178"/>
      <c r="F210" s="178"/>
    </row>
    <row r="211" spans="1:6">
      <c r="A211" s="178"/>
      <c r="B211" s="178"/>
      <c r="C211" s="178"/>
      <c r="D211" s="178"/>
      <c r="E211" s="178"/>
      <c r="F211" s="178"/>
    </row>
    <row r="212" spans="1:6">
      <c r="A212" s="178"/>
      <c r="B212" s="178"/>
      <c r="C212" s="178"/>
      <c r="D212" s="178"/>
      <c r="E212" s="178"/>
      <c r="F212" s="178"/>
    </row>
    <row r="213" spans="1:6">
      <c r="A213" s="178"/>
      <c r="B213" s="178"/>
      <c r="C213" s="178"/>
      <c r="D213" s="178"/>
      <c r="E213" s="178"/>
      <c r="F213" s="178"/>
    </row>
    <row r="214" spans="1:6">
      <c r="A214" s="178"/>
      <c r="B214" s="178"/>
      <c r="C214" s="178"/>
      <c r="D214" s="178"/>
      <c r="E214" s="178"/>
      <c r="F214" s="178"/>
    </row>
    <row r="215" spans="1:6">
      <c r="A215" s="178"/>
      <c r="B215" s="178"/>
      <c r="C215" s="178"/>
      <c r="D215" s="178"/>
      <c r="E215" s="178"/>
      <c r="F215" s="178"/>
    </row>
    <row r="216" spans="1:6">
      <c r="A216" s="178"/>
      <c r="B216" s="178"/>
      <c r="C216" s="178"/>
      <c r="D216" s="178"/>
      <c r="E216" s="178"/>
      <c r="F216" s="178"/>
    </row>
    <row r="217" spans="1:6">
      <c r="A217" s="178"/>
      <c r="B217" s="178"/>
      <c r="C217" s="178"/>
      <c r="D217" s="178"/>
      <c r="E217" s="178"/>
      <c r="F217" s="178"/>
    </row>
    <row r="218" spans="1:6">
      <c r="A218" s="178"/>
      <c r="B218" s="178"/>
      <c r="C218" s="178"/>
      <c r="D218" s="178"/>
      <c r="E218" s="178"/>
      <c r="F218" s="178"/>
    </row>
    <row r="219" spans="1:6">
      <c r="A219" s="178"/>
      <c r="B219" s="178"/>
      <c r="C219" s="178"/>
      <c r="D219" s="178"/>
      <c r="E219" s="178"/>
      <c r="F219" s="178"/>
    </row>
    <row r="220" spans="1:6">
      <c r="A220" s="178"/>
      <c r="B220" s="178"/>
      <c r="C220" s="178"/>
      <c r="D220" s="178"/>
      <c r="E220" s="178"/>
      <c r="F220" s="178"/>
    </row>
    <row r="221" spans="1:6">
      <c r="A221" s="178"/>
      <c r="B221" s="178"/>
      <c r="C221" s="178"/>
      <c r="D221" s="178"/>
      <c r="E221" s="178"/>
      <c r="F221" s="178"/>
    </row>
    <row r="222" spans="1:6">
      <c r="A222" s="178"/>
      <c r="B222" s="178"/>
      <c r="C222" s="178"/>
      <c r="D222" s="178"/>
      <c r="E222" s="178"/>
      <c r="F222" s="178"/>
    </row>
    <row r="223" spans="1:6">
      <c r="A223" s="178"/>
      <c r="B223" s="178"/>
      <c r="C223" s="178"/>
      <c r="D223" s="178"/>
      <c r="E223" s="178"/>
      <c r="F223" s="178"/>
    </row>
    <row r="224" spans="1:6">
      <c r="A224" s="178"/>
      <c r="B224" s="178"/>
      <c r="C224" s="178"/>
      <c r="D224" s="178"/>
      <c r="E224" s="178"/>
      <c r="F224" s="178"/>
    </row>
    <row r="225" spans="1:6">
      <c r="A225" s="178"/>
      <c r="B225" s="178"/>
      <c r="C225" s="178"/>
      <c r="D225" s="178"/>
      <c r="E225" s="178"/>
      <c r="F225" s="178"/>
    </row>
    <row r="226" spans="1:6">
      <c r="A226" s="178"/>
      <c r="B226" s="178"/>
      <c r="C226" s="178"/>
      <c r="D226" s="178"/>
      <c r="E226" s="178"/>
      <c r="F226" s="178"/>
    </row>
    <row r="227" spans="1:6">
      <c r="A227" s="178"/>
      <c r="B227" s="178"/>
      <c r="C227" s="178"/>
      <c r="D227" s="178"/>
      <c r="E227" s="178"/>
      <c r="F227" s="178"/>
    </row>
    <row r="228" spans="1:6">
      <c r="A228" s="178"/>
      <c r="B228" s="178"/>
      <c r="C228" s="178"/>
      <c r="D228" s="178"/>
      <c r="E228" s="178"/>
      <c r="F228" s="178"/>
    </row>
    <row r="229" spans="1:6">
      <c r="A229" s="178"/>
      <c r="B229" s="178"/>
      <c r="C229" s="178"/>
      <c r="D229" s="178"/>
      <c r="E229" s="178"/>
      <c r="F229" s="178"/>
    </row>
    <row r="230" spans="1:6">
      <c r="A230" s="178"/>
      <c r="B230" s="178"/>
      <c r="C230" s="178"/>
      <c r="D230" s="178"/>
      <c r="E230" s="178"/>
      <c r="F230" s="178"/>
    </row>
    <row r="231" spans="1:6">
      <c r="A231" s="178"/>
      <c r="B231" s="178"/>
      <c r="C231" s="178"/>
      <c r="D231" s="178"/>
      <c r="E231" s="178"/>
      <c r="F231" s="178"/>
    </row>
    <row r="232" spans="1:6">
      <c r="A232" s="178"/>
      <c r="B232" s="178"/>
      <c r="C232" s="178"/>
      <c r="D232" s="178"/>
      <c r="E232" s="178"/>
      <c r="F232" s="178"/>
    </row>
    <row r="233" spans="1:6">
      <c r="A233" s="178"/>
      <c r="B233" s="178"/>
      <c r="C233" s="178"/>
      <c r="D233" s="178"/>
      <c r="E233" s="178"/>
      <c r="F233" s="178"/>
    </row>
    <row r="234" spans="1:6">
      <c r="A234" s="178"/>
      <c r="B234" s="178"/>
      <c r="C234" s="178"/>
      <c r="D234" s="178"/>
      <c r="E234" s="178"/>
      <c r="F234" s="178"/>
    </row>
    <row r="235" spans="1:6">
      <c r="A235" s="178"/>
      <c r="B235" s="178"/>
      <c r="C235" s="178"/>
      <c r="D235" s="178"/>
      <c r="E235" s="178"/>
      <c r="F235" s="178"/>
    </row>
    <row r="236" spans="1:6">
      <c r="A236" s="178"/>
      <c r="B236" s="178"/>
      <c r="C236" s="178"/>
      <c r="D236" s="178"/>
      <c r="E236" s="178"/>
      <c r="F236" s="178"/>
    </row>
    <row r="237" spans="1:6">
      <c r="A237" s="178"/>
      <c r="B237" s="178"/>
      <c r="C237" s="178"/>
      <c r="D237" s="178"/>
      <c r="E237" s="178"/>
      <c r="F237" s="178"/>
    </row>
    <row r="238" spans="1:6">
      <c r="A238" s="178"/>
      <c r="B238" s="178"/>
      <c r="C238" s="178"/>
      <c r="D238" s="178"/>
      <c r="E238" s="178"/>
      <c r="F238" s="178"/>
    </row>
    <row r="239" spans="1:6">
      <c r="A239" s="178"/>
      <c r="B239" s="178"/>
      <c r="C239" s="178"/>
      <c r="D239" s="178"/>
      <c r="E239" s="178"/>
      <c r="F239" s="178"/>
    </row>
    <row r="240" spans="1:6">
      <c r="A240" s="178"/>
      <c r="B240" s="178"/>
      <c r="C240" s="178"/>
      <c r="D240" s="178"/>
      <c r="E240" s="178"/>
      <c r="F240" s="178"/>
    </row>
    <row r="241" spans="1:6">
      <c r="A241" s="178"/>
      <c r="B241" s="178"/>
      <c r="C241" s="178"/>
      <c r="D241" s="178"/>
      <c r="E241" s="178"/>
      <c r="F241" s="178"/>
    </row>
    <row r="242" spans="1:6">
      <c r="A242" s="178"/>
      <c r="B242" s="178"/>
      <c r="C242" s="178"/>
      <c r="D242" s="178"/>
      <c r="E242" s="178"/>
      <c r="F242" s="178"/>
    </row>
    <row r="243" spans="1:6">
      <c r="A243" s="178"/>
    </row>
    <row r="244" spans="1:6">
      <c r="A244" s="178"/>
    </row>
    <row r="245" spans="1:6">
      <c r="A245" s="178"/>
    </row>
    <row r="246" spans="1:6">
      <c r="A246" s="178"/>
    </row>
    <row r="247" spans="1:6">
      <c r="A247" s="178"/>
    </row>
    <row r="248" spans="1:6">
      <c r="A248" s="178"/>
    </row>
    <row r="249" spans="1:6">
      <c r="A249" s="178"/>
    </row>
    <row r="250" spans="1:6">
      <c r="A250" s="178"/>
    </row>
  </sheetData>
  <mergeCells count="8">
    <mergeCell ref="D52:O52"/>
    <mergeCell ref="D51:O51"/>
    <mergeCell ref="D45:O45"/>
    <mergeCell ref="D46:O46"/>
    <mergeCell ref="D47:O47"/>
    <mergeCell ref="D48:O48"/>
    <mergeCell ref="D49:O49"/>
    <mergeCell ref="D50:O50"/>
  </mergeCells>
  <printOptions horizontalCentered="1"/>
  <pageMargins left="0.75" right="0.75" top="0.75" bottom="0.5" header="0.5" footer="0.5"/>
  <pageSetup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030A0"/>
    <pageSetUpPr fitToPage="1"/>
  </sheetPr>
  <dimension ref="A1:BG298"/>
  <sheetViews>
    <sheetView zoomScale="75" zoomScaleNormal="75" workbookViewId="0"/>
  </sheetViews>
  <sheetFormatPr defaultRowHeight="15"/>
  <cols>
    <col min="1" max="1" width="6" style="122" customWidth="1"/>
    <col min="2" max="2" width="1.453125" style="122" customWidth="1"/>
    <col min="3" max="3" width="50" style="122" customWidth="1"/>
    <col min="4" max="4" width="1.453125" style="122" customWidth="1"/>
    <col min="5" max="5" width="37.08984375" style="122" customWidth="1"/>
    <col min="6" max="6" width="1.08984375" style="122" customWidth="1"/>
    <col min="7" max="7" width="14.08984375" style="122" customWidth="1"/>
    <col min="8" max="8" width="1" style="122" customWidth="1"/>
    <col min="9" max="10" width="12.81640625" style="122" customWidth="1"/>
    <col min="11" max="11" width="5.1796875" style="122" customWidth="1"/>
    <col min="12" max="12" width="2.1796875" style="122" customWidth="1"/>
    <col min="13" max="13" width="26.1796875" style="122" customWidth="1"/>
    <col min="14" max="14" width="9.81640625" style="122" customWidth="1"/>
    <col min="15" max="15" width="9" style="122" customWidth="1"/>
    <col min="16" max="16" width="14" style="122" customWidth="1"/>
    <col min="17" max="17" width="13.36328125" style="122" customWidth="1"/>
    <col min="18" max="18" width="9" style="122" customWidth="1"/>
    <col min="19" max="19" width="14.6328125" style="122" customWidth="1"/>
    <col min="20" max="20" width="12.54296875" style="122" customWidth="1"/>
    <col min="21" max="21" width="12.08984375" style="122" customWidth="1"/>
    <col min="22" max="22" width="16.6328125" style="122" customWidth="1"/>
    <col min="23" max="23" width="11.54296875" style="122" customWidth="1"/>
    <col min="24" max="24" width="15.81640625" style="122" customWidth="1"/>
    <col min="25" max="242" width="8.90625" style="122"/>
    <col min="243" max="243" width="6" style="122" customWidth="1"/>
    <col min="244" max="244" width="1.453125" style="122" customWidth="1"/>
    <col min="245" max="245" width="39.08984375" style="122" customWidth="1"/>
    <col min="246" max="246" width="12" style="122" customWidth="1"/>
    <col min="247" max="247" width="14.453125" style="122" customWidth="1"/>
    <col min="248" max="248" width="11.90625" style="122" customWidth="1"/>
    <col min="249" max="249" width="14.08984375" style="122" customWidth="1"/>
    <col min="250" max="250" width="13.90625" style="122" customWidth="1"/>
    <col min="251" max="252" width="12.81640625" style="122" customWidth="1"/>
    <col min="253" max="253" width="13.54296875" style="122" customWidth="1"/>
    <col min="254" max="254" width="15.36328125" style="122" customWidth="1"/>
    <col min="255" max="255" width="12.81640625" style="122" customWidth="1"/>
    <col min="256" max="256" width="13.90625" style="122" customWidth="1"/>
    <col min="257" max="257" width="1.90625" style="122" customWidth="1"/>
    <col min="258" max="258" width="13" style="122" customWidth="1"/>
    <col min="259" max="498" width="8.90625" style="122"/>
    <col min="499" max="499" width="6" style="122" customWidth="1"/>
    <col min="500" max="500" width="1.453125" style="122" customWidth="1"/>
    <col min="501" max="501" width="39.08984375" style="122" customWidth="1"/>
    <col min="502" max="502" width="12" style="122" customWidth="1"/>
    <col min="503" max="503" width="14.453125" style="122" customWidth="1"/>
    <col min="504" max="504" width="11.90625" style="122" customWidth="1"/>
    <col min="505" max="505" width="14.08984375" style="122" customWidth="1"/>
    <col min="506" max="506" width="13.90625" style="122" customWidth="1"/>
    <col min="507" max="508" width="12.81640625" style="122" customWidth="1"/>
    <col min="509" max="509" width="13.54296875" style="122" customWidth="1"/>
    <col min="510" max="510" width="15.36328125" style="122" customWidth="1"/>
    <col min="511" max="511" width="12.81640625" style="122" customWidth="1"/>
    <col min="512" max="512" width="13.90625" style="122" customWidth="1"/>
    <col min="513" max="513" width="1.90625" style="122" customWidth="1"/>
    <col min="514" max="514" width="13" style="122" customWidth="1"/>
    <col min="515" max="754" width="8.90625" style="122"/>
    <col min="755" max="755" width="6" style="122" customWidth="1"/>
    <col min="756" max="756" width="1.453125" style="122" customWidth="1"/>
    <col min="757" max="757" width="39.08984375" style="122" customWidth="1"/>
    <col min="758" max="758" width="12" style="122" customWidth="1"/>
    <col min="759" max="759" width="14.453125" style="122" customWidth="1"/>
    <col min="760" max="760" width="11.90625" style="122" customWidth="1"/>
    <col min="761" max="761" width="14.08984375" style="122" customWidth="1"/>
    <col min="762" max="762" width="13.90625" style="122" customWidth="1"/>
    <col min="763" max="764" width="12.81640625" style="122" customWidth="1"/>
    <col min="765" max="765" width="13.54296875" style="122" customWidth="1"/>
    <col min="766" max="766" width="15.36328125" style="122" customWidth="1"/>
    <col min="767" max="767" width="12.81640625" style="122" customWidth="1"/>
    <col min="768" max="768" width="13.90625" style="122" customWidth="1"/>
    <col min="769" max="769" width="1.90625" style="122" customWidth="1"/>
    <col min="770" max="770" width="13" style="122" customWidth="1"/>
    <col min="771" max="1010" width="8.90625" style="122"/>
    <col min="1011" max="1011" width="6" style="122" customWidth="1"/>
    <col min="1012" max="1012" width="1.453125" style="122" customWidth="1"/>
    <col min="1013" max="1013" width="39.08984375" style="122" customWidth="1"/>
    <col min="1014" max="1014" width="12" style="122" customWidth="1"/>
    <col min="1015" max="1015" width="14.453125" style="122" customWidth="1"/>
    <col min="1016" max="1016" width="11.90625" style="122" customWidth="1"/>
    <col min="1017" max="1017" width="14.08984375" style="122" customWidth="1"/>
    <col min="1018" max="1018" width="13.90625" style="122" customWidth="1"/>
    <col min="1019" max="1020" width="12.81640625" style="122" customWidth="1"/>
    <col min="1021" max="1021" width="13.54296875" style="122" customWidth="1"/>
    <col min="1022" max="1022" width="15.36328125" style="122" customWidth="1"/>
    <col min="1023" max="1023" width="12.81640625" style="122" customWidth="1"/>
    <col min="1024" max="1024" width="13.90625" style="122" customWidth="1"/>
    <col min="1025" max="1025" width="1.90625" style="122" customWidth="1"/>
    <col min="1026" max="1026" width="13" style="122" customWidth="1"/>
    <col min="1027" max="1266" width="8.90625" style="122"/>
    <col min="1267" max="1267" width="6" style="122" customWidth="1"/>
    <col min="1268" max="1268" width="1.453125" style="122" customWidth="1"/>
    <col min="1269" max="1269" width="39.08984375" style="122" customWidth="1"/>
    <col min="1270" max="1270" width="12" style="122" customWidth="1"/>
    <col min="1271" max="1271" width="14.453125" style="122" customWidth="1"/>
    <col min="1272" max="1272" width="11.90625" style="122" customWidth="1"/>
    <col min="1273" max="1273" width="14.08984375" style="122" customWidth="1"/>
    <col min="1274" max="1274" width="13.90625" style="122" customWidth="1"/>
    <col min="1275" max="1276" width="12.81640625" style="122" customWidth="1"/>
    <col min="1277" max="1277" width="13.54296875" style="122" customWidth="1"/>
    <col min="1278" max="1278" width="15.36328125" style="122" customWidth="1"/>
    <col min="1279" max="1279" width="12.81640625" style="122" customWidth="1"/>
    <col min="1280" max="1280" width="13.90625" style="122" customWidth="1"/>
    <col min="1281" max="1281" width="1.90625" style="122" customWidth="1"/>
    <col min="1282" max="1282" width="13" style="122" customWidth="1"/>
    <col min="1283" max="1522" width="8.90625" style="122"/>
    <col min="1523" max="1523" width="6" style="122" customWidth="1"/>
    <col min="1524" max="1524" width="1.453125" style="122" customWidth="1"/>
    <col min="1525" max="1525" width="39.08984375" style="122" customWidth="1"/>
    <col min="1526" max="1526" width="12" style="122" customWidth="1"/>
    <col min="1527" max="1527" width="14.453125" style="122" customWidth="1"/>
    <col min="1528" max="1528" width="11.90625" style="122" customWidth="1"/>
    <col min="1529" max="1529" width="14.08984375" style="122" customWidth="1"/>
    <col min="1530" max="1530" width="13.90625" style="122" customWidth="1"/>
    <col min="1531" max="1532" width="12.81640625" style="122" customWidth="1"/>
    <col min="1533" max="1533" width="13.54296875" style="122" customWidth="1"/>
    <col min="1534" max="1534" width="15.36328125" style="122" customWidth="1"/>
    <col min="1535" max="1535" width="12.81640625" style="122" customWidth="1"/>
    <col min="1536" max="1536" width="13.90625" style="122" customWidth="1"/>
    <col min="1537" max="1537" width="1.90625" style="122" customWidth="1"/>
    <col min="1538" max="1538" width="13" style="122" customWidth="1"/>
    <col min="1539" max="1778" width="8.90625" style="122"/>
    <col min="1779" max="1779" width="6" style="122" customWidth="1"/>
    <col min="1780" max="1780" width="1.453125" style="122" customWidth="1"/>
    <col min="1781" max="1781" width="39.08984375" style="122" customWidth="1"/>
    <col min="1782" max="1782" width="12" style="122" customWidth="1"/>
    <col min="1783" max="1783" width="14.453125" style="122" customWidth="1"/>
    <col min="1784" max="1784" width="11.90625" style="122" customWidth="1"/>
    <col min="1785" max="1785" width="14.08984375" style="122" customWidth="1"/>
    <col min="1786" max="1786" width="13.90625" style="122" customWidth="1"/>
    <col min="1787" max="1788" width="12.81640625" style="122" customWidth="1"/>
    <col min="1789" max="1789" width="13.54296875" style="122" customWidth="1"/>
    <col min="1790" max="1790" width="15.36328125" style="122" customWidth="1"/>
    <col min="1791" max="1791" width="12.81640625" style="122" customWidth="1"/>
    <col min="1792" max="1792" width="13.90625" style="122" customWidth="1"/>
    <col min="1793" max="1793" width="1.90625" style="122" customWidth="1"/>
    <col min="1794" max="1794" width="13" style="122" customWidth="1"/>
    <col min="1795" max="2034" width="8.90625" style="122"/>
    <col min="2035" max="2035" width="6" style="122" customWidth="1"/>
    <col min="2036" max="2036" width="1.453125" style="122" customWidth="1"/>
    <col min="2037" max="2037" width="39.08984375" style="122" customWidth="1"/>
    <col min="2038" max="2038" width="12" style="122" customWidth="1"/>
    <col min="2039" max="2039" width="14.453125" style="122" customWidth="1"/>
    <col min="2040" max="2040" width="11.90625" style="122" customWidth="1"/>
    <col min="2041" max="2041" width="14.08984375" style="122" customWidth="1"/>
    <col min="2042" max="2042" width="13.90625" style="122" customWidth="1"/>
    <col min="2043" max="2044" width="12.81640625" style="122" customWidth="1"/>
    <col min="2045" max="2045" width="13.54296875" style="122" customWidth="1"/>
    <col min="2046" max="2046" width="15.36328125" style="122" customWidth="1"/>
    <col min="2047" max="2047" width="12.81640625" style="122" customWidth="1"/>
    <col min="2048" max="2048" width="13.90625" style="122" customWidth="1"/>
    <col min="2049" max="2049" width="1.90625" style="122" customWidth="1"/>
    <col min="2050" max="2050" width="13" style="122" customWidth="1"/>
    <col min="2051" max="2290" width="8.90625" style="122"/>
    <col min="2291" max="2291" width="6" style="122" customWidth="1"/>
    <col min="2292" max="2292" width="1.453125" style="122" customWidth="1"/>
    <col min="2293" max="2293" width="39.08984375" style="122" customWidth="1"/>
    <col min="2294" max="2294" width="12" style="122" customWidth="1"/>
    <col min="2295" max="2295" width="14.453125" style="122" customWidth="1"/>
    <col min="2296" max="2296" width="11.90625" style="122" customWidth="1"/>
    <col min="2297" max="2297" width="14.08984375" style="122" customWidth="1"/>
    <col min="2298" max="2298" width="13.90625" style="122" customWidth="1"/>
    <col min="2299" max="2300" width="12.81640625" style="122" customWidth="1"/>
    <col min="2301" max="2301" width="13.54296875" style="122" customWidth="1"/>
    <col min="2302" max="2302" width="15.36328125" style="122" customWidth="1"/>
    <col min="2303" max="2303" width="12.81640625" style="122" customWidth="1"/>
    <col min="2304" max="2304" width="13.90625" style="122" customWidth="1"/>
    <col min="2305" max="2305" width="1.90625" style="122" customWidth="1"/>
    <col min="2306" max="2306" width="13" style="122" customWidth="1"/>
    <col min="2307" max="2546" width="8.90625" style="122"/>
    <col min="2547" max="2547" width="6" style="122" customWidth="1"/>
    <col min="2548" max="2548" width="1.453125" style="122" customWidth="1"/>
    <col min="2549" max="2549" width="39.08984375" style="122" customWidth="1"/>
    <col min="2550" max="2550" width="12" style="122" customWidth="1"/>
    <col min="2551" max="2551" width="14.453125" style="122" customWidth="1"/>
    <col min="2552" max="2552" width="11.90625" style="122" customWidth="1"/>
    <col min="2553" max="2553" width="14.08984375" style="122" customWidth="1"/>
    <col min="2554" max="2554" width="13.90625" style="122" customWidth="1"/>
    <col min="2555" max="2556" width="12.81640625" style="122" customWidth="1"/>
    <col min="2557" max="2557" width="13.54296875" style="122" customWidth="1"/>
    <col min="2558" max="2558" width="15.36328125" style="122" customWidth="1"/>
    <col min="2559" max="2559" width="12.81640625" style="122" customWidth="1"/>
    <col min="2560" max="2560" width="13.90625" style="122" customWidth="1"/>
    <col min="2561" max="2561" width="1.90625" style="122" customWidth="1"/>
    <col min="2562" max="2562" width="13" style="122" customWidth="1"/>
    <col min="2563" max="2802" width="8.90625" style="122"/>
    <col min="2803" max="2803" width="6" style="122" customWidth="1"/>
    <col min="2804" max="2804" width="1.453125" style="122" customWidth="1"/>
    <col min="2805" max="2805" width="39.08984375" style="122" customWidth="1"/>
    <col min="2806" max="2806" width="12" style="122" customWidth="1"/>
    <col min="2807" max="2807" width="14.453125" style="122" customWidth="1"/>
    <col min="2808" max="2808" width="11.90625" style="122" customWidth="1"/>
    <col min="2809" max="2809" width="14.08984375" style="122" customWidth="1"/>
    <col min="2810" max="2810" width="13.90625" style="122" customWidth="1"/>
    <col min="2811" max="2812" width="12.81640625" style="122" customWidth="1"/>
    <col min="2813" max="2813" width="13.54296875" style="122" customWidth="1"/>
    <col min="2814" max="2814" width="15.36328125" style="122" customWidth="1"/>
    <col min="2815" max="2815" width="12.81640625" style="122" customWidth="1"/>
    <col min="2816" max="2816" width="13.90625" style="122" customWidth="1"/>
    <col min="2817" max="2817" width="1.90625" style="122" customWidth="1"/>
    <col min="2818" max="2818" width="13" style="122" customWidth="1"/>
    <col min="2819" max="3058" width="8.90625" style="122"/>
    <col min="3059" max="3059" width="6" style="122" customWidth="1"/>
    <col min="3060" max="3060" width="1.453125" style="122" customWidth="1"/>
    <col min="3061" max="3061" width="39.08984375" style="122" customWidth="1"/>
    <col min="3062" max="3062" width="12" style="122" customWidth="1"/>
    <col min="3063" max="3063" width="14.453125" style="122" customWidth="1"/>
    <col min="3064" max="3064" width="11.90625" style="122" customWidth="1"/>
    <col min="3065" max="3065" width="14.08984375" style="122" customWidth="1"/>
    <col min="3066" max="3066" width="13.90625" style="122" customWidth="1"/>
    <col min="3067" max="3068" width="12.81640625" style="122" customWidth="1"/>
    <col min="3069" max="3069" width="13.54296875" style="122" customWidth="1"/>
    <col min="3070" max="3070" width="15.36328125" style="122" customWidth="1"/>
    <col min="3071" max="3071" width="12.81640625" style="122" customWidth="1"/>
    <col min="3072" max="3072" width="13.90625" style="122" customWidth="1"/>
    <col min="3073" max="3073" width="1.90625" style="122" customWidth="1"/>
    <col min="3074" max="3074" width="13" style="122" customWidth="1"/>
    <col min="3075" max="3314" width="8.90625" style="122"/>
    <col min="3315" max="3315" width="6" style="122" customWidth="1"/>
    <col min="3316" max="3316" width="1.453125" style="122" customWidth="1"/>
    <col min="3317" max="3317" width="39.08984375" style="122" customWidth="1"/>
    <col min="3318" max="3318" width="12" style="122" customWidth="1"/>
    <col min="3319" max="3319" width="14.453125" style="122" customWidth="1"/>
    <col min="3320" max="3320" width="11.90625" style="122" customWidth="1"/>
    <col min="3321" max="3321" width="14.08984375" style="122" customWidth="1"/>
    <col min="3322" max="3322" width="13.90625" style="122" customWidth="1"/>
    <col min="3323" max="3324" width="12.81640625" style="122" customWidth="1"/>
    <col min="3325" max="3325" width="13.54296875" style="122" customWidth="1"/>
    <col min="3326" max="3326" width="15.36328125" style="122" customWidth="1"/>
    <col min="3327" max="3327" width="12.81640625" style="122" customWidth="1"/>
    <col min="3328" max="3328" width="13.90625" style="122" customWidth="1"/>
    <col min="3329" max="3329" width="1.90625" style="122" customWidth="1"/>
    <col min="3330" max="3330" width="13" style="122" customWidth="1"/>
    <col min="3331" max="3570" width="8.90625" style="122"/>
    <col min="3571" max="3571" width="6" style="122" customWidth="1"/>
    <col min="3572" max="3572" width="1.453125" style="122" customWidth="1"/>
    <col min="3573" max="3573" width="39.08984375" style="122" customWidth="1"/>
    <col min="3574" max="3574" width="12" style="122" customWidth="1"/>
    <col min="3575" max="3575" width="14.453125" style="122" customWidth="1"/>
    <col min="3576" max="3576" width="11.90625" style="122" customWidth="1"/>
    <col min="3577" max="3577" width="14.08984375" style="122" customWidth="1"/>
    <col min="3578" max="3578" width="13.90625" style="122" customWidth="1"/>
    <col min="3579" max="3580" width="12.81640625" style="122" customWidth="1"/>
    <col min="3581" max="3581" width="13.54296875" style="122" customWidth="1"/>
    <col min="3582" max="3582" width="15.36328125" style="122" customWidth="1"/>
    <col min="3583" max="3583" width="12.81640625" style="122" customWidth="1"/>
    <col min="3584" max="3584" width="13.90625" style="122" customWidth="1"/>
    <col min="3585" max="3585" width="1.90625" style="122" customWidth="1"/>
    <col min="3586" max="3586" width="13" style="122" customWidth="1"/>
    <col min="3587" max="3826" width="8.90625" style="122"/>
    <col min="3827" max="3827" width="6" style="122" customWidth="1"/>
    <col min="3828" max="3828" width="1.453125" style="122" customWidth="1"/>
    <col min="3829" max="3829" width="39.08984375" style="122" customWidth="1"/>
    <col min="3830" max="3830" width="12" style="122" customWidth="1"/>
    <col min="3831" max="3831" width="14.453125" style="122" customWidth="1"/>
    <col min="3832" max="3832" width="11.90625" style="122" customWidth="1"/>
    <col min="3833" max="3833" width="14.08984375" style="122" customWidth="1"/>
    <col min="3834" max="3834" width="13.90625" style="122" customWidth="1"/>
    <col min="3835" max="3836" width="12.81640625" style="122" customWidth="1"/>
    <col min="3837" max="3837" width="13.54296875" style="122" customWidth="1"/>
    <col min="3838" max="3838" width="15.36328125" style="122" customWidth="1"/>
    <col min="3839" max="3839" width="12.81640625" style="122" customWidth="1"/>
    <col min="3840" max="3840" width="13.90625" style="122" customWidth="1"/>
    <col min="3841" max="3841" width="1.90625" style="122" customWidth="1"/>
    <col min="3842" max="3842" width="13" style="122" customWidth="1"/>
    <col min="3843" max="4082" width="8.90625" style="122"/>
    <col min="4083" max="4083" width="6" style="122" customWidth="1"/>
    <col min="4084" max="4084" width="1.453125" style="122" customWidth="1"/>
    <col min="4085" max="4085" width="39.08984375" style="122" customWidth="1"/>
    <col min="4086" max="4086" width="12" style="122" customWidth="1"/>
    <col min="4087" max="4087" width="14.453125" style="122" customWidth="1"/>
    <col min="4088" max="4088" width="11.90625" style="122" customWidth="1"/>
    <col min="4089" max="4089" width="14.08984375" style="122" customWidth="1"/>
    <col min="4090" max="4090" width="13.90625" style="122" customWidth="1"/>
    <col min="4091" max="4092" width="12.81640625" style="122" customWidth="1"/>
    <col min="4093" max="4093" width="13.54296875" style="122" customWidth="1"/>
    <col min="4094" max="4094" width="15.36328125" style="122" customWidth="1"/>
    <col min="4095" max="4095" width="12.81640625" style="122" customWidth="1"/>
    <col min="4096" max="4096" width="13.90625" style="122" customWidth="1"/>
    <col min="4097" max="4097" width="1.90625" style="122" customWidth="1"/>
    <col min="4098" max="4098" width="13" style="122" customWidth="1"/>
    <col min="4099" max="4338" width="8.90625" style="122"/>
    <col min="4339" max="4339" width="6" style="122" customWidth="1"/>
    <col min="4340" max="4340" width="1.453125" style="122" customWidth="1"/>
    <col min="4341" max="4341" width="39.08984375" style="122" customWidth="1"/>
    <col min="4342" max="4342" width="12" style="122" customWidth="1"/>
    <col min="4343" max="4343" width="14.453125" style="122" customWidth="1"/>
    <col min="4344" max="4344" width="11.90625" style="122" customWidth="1"/>
    <col min="4345" max="4345" width="14.08984375" style="122" customWidth="1"/>
    <col min="4346" max="4346" width="13.90625" style="122" customWidth="1"/>
    <col min="4347" max="4348" width="12.81640625" style="122" customWidth="1"/>
    <col min="4349" max="4349" width="13.54296875" style="122" customWidth="1"/>
    <col min="4350" max="4350" width="15.36328125" style="122" customWidth="1"/>
    <col min="4351" max="4351" width="12.81640625" style="122" customWidth="1"/>
    <col min="4352" max="4352" width="13.90625" style="122" customWidth="1"/>
    <col min="4353" max="4353" width="1.90625" style="122" customWidth="1"/>
    <col min="4354" max="4354" width="13" style="122" customWidth="1"/>
    <col min="4355" max="4594" width="8.90625" style="122"/>
    <col min="4595" max="4595" width="6" style="122" customWidth="1"/>
    <col min="4596" max="4596" width="1.453125" style="122" customWidth="1"/>
    <col min="4597" max="4597" width="39.08984375" style="122" customWidth="1"/>
    <col min="4598" max="4598" width="12" style="122" customWidth="1"/>
    <col min="4599" max="4599" width="14.453125" style="122" customWidth="1"/>
    <col min="4600" max="4600" width="11.90625" style="122" customWidth="1"/>
    <col min="4601" max="4601" width="14.08984375" style="122" customWidth="1"/>
    <col min="4602" max="4602" width="13.90625" style="122" customWidth="1"/>
    <col min="4603" max="4604" width="12.81640625" style="122" customWidth="1"/>
    <col min="4605" max="4605" width="13.54296875" style="122" customWidth="1"/>
    <col min="4606" max="4606" width="15.36328125" style="122" customWidth="1"/>
    <col min="4607" max="4607" width="12.81640625" style="122" customWidth="1"/>
    <col min="4608" max="4608" width="13.90625" style="122" customWidth="1"/>
    <col min="4609" max="4609" width="1.90625" style="122" customWidth="1"/>
    <col min="4610" max="4610" width="13" style="122" customWidth="1"/>
    <col min="4611" max="4850" width="8.90625" style="122"/>
    <col min="4851" max="4851" width="6" style="122" customWidth="1"/>
    <col min="4852" max="4852" width="1.453125" style="122" customWidth="1"/>
    <col min="4853" max="4853" width="39.08984375" style="122" customWidth="1"/>
    <col min="4854" max="4854" width="12" style="122" customWidth="1"/>
    <col min="4855" max="4855" width="14.453125" style="122" customWidth="1"/>
    <col min="4856" max="4856" width="11.90625" style="122" customWidth="1"/>
    <col min="4857" max="4857" width="14.08984375" style="122" customWidth="1"/>
    <col min="4858" max="4858" width="13.90625" style="122" customWidth="1"/>
    <col min="4859" max="4860" width="12.81640625" style="122" customWidth="1"/>
    <col min="4861" max="4861" width="13.54296875" style="122" customWidth="1"/>
    <col min="4862" max="4862" width="15.36328125" style="122" customWidth="1"/>
    <col min="4863" max="4863" width="12.81640625" style="122" customWidth="1"/>
    <col min="4864" max="4864" width="13.90625" style="122" customWidth="1"/>
    <col min="4865" max="4865" width="1.90625" style="122" customWidth="1"/>
    <col min="4866" max="4866" width="13" style="122" customWidth="1"/>
    <col min="4867" max="5106" width="8.90625" style="122"/>
    <col min="5107" max="5107" width="6" style="122" customWidth="1"/>
    <col min="5108" max="5108" width="1.453125" style="122" customWidth="1"/>
    <col min="5109" max="5109" width="39.08984375" style="122" customWidth="1"/>
    <col min="5110" max="5110" width="12" style="122" customWidth="1"/>
    <col min="5111" max="5111" width="14.453125" style="122" customWidth="1"/>
    <col min="5112" max="5112" width="11.90625" style="122" customWidth="1"/>
    <col min="5113" max="5113" width="14.08984375" style="122" customWidth="1"/>
    <col min="5114" max="5114" width="13.90625" style="122" customWidth="1"/>
    <col min="5115" max="5116" width="12.81640625" style="122" customWidth="1"/>
    <col min="5117" max="5117" width="13.54296875" style="122" customWidth="1"/>
    <col min="5118" max="5118" width="15.36328125" style="122" customWidth="1"/>
    <col min="5119" max="5119" width="12.81640625" style="122" customWidth="1"/>
    <col min="5120" max="5120" width="13.90625" style="122" customWidth="1"/>
    <col min="5121" max="5121" width="1.90625" style="122" customWidth="1"/>
    <col min="5122" max="5122" width="13" style="122" customWidth="1"/>
    <col min="5123" max="5362" width="8.90625" style="122"/>
    <col min="5363" max="5363" width="6" style="122" customWidth="1"/>
    <col min="5364" max="5364" width="1.453125" style="122" customWidth="1"/>
    <col min="5365" max="5365" width="39.08984375" style="122" customWidth="1"/>
    <col min="5366" max="5366" width="12" style="122" customWidth="1"/>
    <col min="5367" max="5367" width="14.453125" style="122" customWidth="1"/>
    <col min="5368" max="5368" width="11.90625" style="122" customWidth="1"/>
    <col min="5369" max="5369" width="14.08984375" style="122" customWidth="1"/>
    <col min="5370" max="5370" width="13.90625" style="122" customWidth="1"/>
    <col min="5371" max="5372" width="12.81640625" style="122" customWidth="1"/>
    <col min="5373" max="5373" width="13.54296875" style="122" customWidth="1"/>
    <col min="5374" max="5374" width="15.36328125" style="122" customWidth="1"/>
    <col min="5375" max="5375" width="12.81640625" style="122" customWidth="1"/>
    <col min="5376" max="5376" width="13.90625" style="122" customWidth="1"/>
    <col min="5377" max="5377" width="1.90625" style="122" customWidth="1"/>
    <col min="5378" max="5378" width="13" style="122" customWidth="1"/>
    <col min="5379" max="5618" width="8.90625" style="122"/>
    <col min="5619" max="5619" width="6" style="122" customWidth="1"/>
    <col min="5620" max="5620" width="1.453125" style="122" customWidth="1"/>
    <col min="5621" max="5621" width="39.08984375" style="122" customWidth="1"/>
    <col min="5622" max="5622" width="12" style="122" customWidth="1"/>
    <col min="5623" max="5623" width="14.453125" style="122" customWidth="1"/>
    <col min="5624" max="5624" width="11.90625" style="122" customWidth="1"/>
    <col min="5625" max="5625" width="14.08984375" style="122" customWidth="1"/>
    <col min="5626" max="5626" width="13.90625" style="122" customWidth="1"/>
    <col min="5627" max="5628" width="12.81640625" style="122" customWidth="1"/>
    <col min="5629" max="5629" width="13.54296875" style="122" customWidth="1"/>
    <col min="5630" max="5630" width="15.36328125" style="122" customWidth="1"/>
    <col min="5631" max="5631" width="12.81640625" style="122" customWidth="1"/>
    <col min="5632" max="5632" width="13.90625" style="122" customWidth="1"/>
    <col min="5633" max="5633" width="1.90625" style="122" customWidth="1"/>
    <col min="5634" max="5634" width="13" style="122" customWidth="1"/>
    <col min="5635" max="5874" width="8.90625" style="122"/>
    <col min="5875" max="5875" width="6" style="122" customWidth="1"/>
    <col min="5876" max="5876" width="1.453125" style="122" customWidth="1"/>
    <col min="5877" max="5877" width="39.08984375" style="122" customWidth="1"/>
    <col min="5878" max="5878" width="12" style="122" customWidth="1"/>
    <col min="5879" max="5879" width="14.453125" style="122" customWidth="1"/>
    <col min="5880" max="5880" width="11.90625" style="122" customWidth="1"/>
    <col min="5881" max="5881" width="14.08984375" style="122" customWidth="1"/>
    <col min="5882" max="5882" width="13.90625" style="122" customWidth="1"/>
    <col min="5883" max="5884" width="12.81640625" style="122" customWidth="1"/>
    <col min="5885" max="5885" width="13.54296875" style="122" customWidth="1"/>
    <col min="5886" max="5886" width="15.36328125" style="122" customWidth="1"/>
    <col min="5887" max="5887" width="12.81640625" style="122" customWidth="1"/>
    <col min="5888" max="5888" width="13.90625" style="122" customWidth="1"/>
    <col min="5889" max="5889" width="1.90625" style="122" customWidth="1"/>
    <col min="5890" max="5890" width="13" style="122" customWidth="1"/>
    <col min="5891" max="6130" width="8.90625" style="122"/>
    <col min="6131" max="6131" width="6" style="122" customWidth="1"/>
    <col min="6132" max="6132" width="1.453125" style="122" customWidth="1"/>
    <col min="6133" max="6133" width="39.08984375" style="122" customWidth="1"/>
    <col min="6134" max="6134" width="12" style="122" customWidth="1"/>
    <col min="6135" max="6135" width="14.453125" style="122" customWidth="1"/>
    <col min="6136" max="6136" width="11.90625" style="122" customWidth="1"/>
    <col min="6137" max="6137" width="14.08984375" style="122" customWidth="1"/>
    <col min="6138" max="6138" width="13.90625" style="122" customWidth="1"/>
    <col min="6139" max="6140" width="12.81640625" style="122" customWidth="1"/>
    <col min="6141" max="6141" width="13.54296875" style="122" customWidth="1"/>
    <col min="6142" max="6142" width="15.36328125" style="122" customWidth="1"/>
    <col min="6143" max="6143" width="12.81640625" style="122" customWidth="1"/>
    <col min="6144" max="6144" width="13.90625" style="122" customWidth="1"/>
    <col min="6145" max="6145" width="1.90625" style="122" customWidth="1"/>
    <col min="6146" max="6146" width="13" style="122" customWidth="1"/>
    <col min="6147" max="6386" width="8.90625" style="122"/>
    <col min="6387" max="6387" width="6" style="122" customWidth="1"/>
    <col min="6388" max="6388" width="1.453125" style="122" customWidth="1"/>
    <col min="6389" max="6389" width="39.08984375" style="122" customWidth="1"/>
    <col min="6390" max="6390" width="12" style="122" customWidth="1"/>
    <col min="6391" max="6391" width="14.453125" style="122" customWidth="1"/>
    <col min="6392" max="6392" width="11.90625" style="122" customWidth="1"/>
    <col min="6393" max="6393" width="14.08984375" style="122" customWidth="1"/>
    <col min="6394" max="6394" width="13.90625" style="122" customWidth="1"/>
    <col min="6395" max="6396" width="12.81640625" style="122" customWidth="1"/>
    <col min="6397" max="6397" width="13.54296875" style="122" customWidth="1"/>
    <col min="6398" max="6398" width="15.36328125" style="122" customWidth="1"/>
    <col min="6399" max="6399" width="12.81640625" style="122" customWidth="1"/>
    <col min="6400" max="6400" width="13.90625" style="122" customWidth="1"/>
    <col min="6401" max="6401" width="1.90625" style="122" customWidth="1"/>
    <col min="6402" max="6402" width="13" style="122" customWidth="1"/>
    <col min="6403" max="6642" width="8.90625" style="122"/>
    <col min="6643" max="6643" width="6" style="122" customWidth="1"/>
    <col min="6644" max="6644" width="1.453125" style="122" customWidth="1"/>
    <col min="6645" max="6645" width="39.08984375" style="122" customWidth="1"/>
    <col min="6646" max="6646" width="12" style="122" customWidth="1"/>
    <col min="6647" max="6647" width="14.453125" style="122" customWidth="1"/>
    <col min="6648" max="6648" width="11.90625" style="122" customWidth="1"/>
    <col min="6649" max="6649" width="14.08984375" style="122" customWidth="1"/>
    <col min="6650" max="6650" width="13.90625" style="122" customWidth="1"/>
    <col min="6651" max="6652" width="12.81640625" style="122" customWidth="1"/>
    <col min="6653" max="6653" width="13.54296875" style="122" customWidth="1"/>
    <col min="6654" max="6654" width="15.36328125" style="122" customWidth="1"/>
    <col min="6655" max="6655" width="12.81640625" style="122" customWidth="1"/>
    <col min="6656" max="6656" width="13.90625" style="122" customWidth="1"/>
    <col min="6657" max="6657" width="1.90625" style="122" customWidth="1"/>
    <col min="6658" max="6658" width="13" style="122" customWidth="1"/>
    <col min="6659" max="6898" width="8.90625" style="122"/>
    <col min="6899" max="6899" width="6" style="122" customWidth="1"/>
    <col min="6900" max="6900" width="1.453125" style="122" customWidth="1"/>
    <col min="6901" max="6901" width="39.08984375" style="122" customWidth="1"/>
    <col min="6902" max="6902" width="12" style="122" customWidth="1"/>
    <col min="6903" max="6903" width="14.453125" style="122" customWidth="1"/>
    <col min="6904" max="6904" width="11.90625" style="122" customWidth="1"/>
    <col min="6905" max="6905" width="14.08984375" style="122" customWidth="1"/>
    <col min="6906" max="6906" width="13.90625" style="122" customWidth="1"/>
    <col min="6907" max="6908" width="12.81640625" style="122" customWidth="1"/>
    <col min="6909" max="6909" width="13.54296875" style="122" customWidth="1"/>
    <col min="6910" max="6910" width="15.36328125" style="122" customWidth="1"/>
    <col min="6911" max="6911" width="12.81640625" style="122" customWidth="1"/>
    <col min="6912" max="6912" width="13.90625" style="122" customWidth="1"/>
    <col min="6913" max="6913" width="1.90625" style="122" customWidth="1"/>
    <col min="6914" max="6914" width="13" style="122" customWidth="1"/>
    <col min="6915" max="7154" width="8.90625" style="122"/>
    <col min="7155" max="7155" width="6" style="122" customWidth="1"/>
    <col min="7156" max="7156" width="1.453125" style="122" customWidth="1"/>
    <col min="7157" max="7157" width="39.08984375" style="122" customWidth="1"/>
    <col min="7158" max="7158" width="12" style="122" customWidth="1"/>
    <col min="7159" max="7159" width="14.453125" style="122" customWidth="1"/>
    <col min="7160" max="7160" width="11.90625" style="122" customWidth="1"/>
    <col min="7161" max="7161" width="14.08984375" style="122" customWidth="1"/>
    <col min="7162" max="7162" width="13.90625" style="122" customWidth="1"/>
    <col min="7163" max="7164" width="12.81640625" style="122" customWidth="1"/>
    <col min="7165" max="7165" width="13.54296875" style="122" customWidth="1"/>
    <col min="7166" max="7166" width="15.36328125" style="122" customWidth="1"/>
    <col min="7167" max="7167" width="12.81640625" style="122" customWidth="1"/>
    <col min="7168" max="7168" width="13.90625" style="122" customWidth="1"/>
    <col min="7169" max="7169" width="1.90625" style="122" customWidth="1"/>
    <col min="7170" max="7170" width="13" style="122" customWidth="1"/>
    <col min="7171" max="7410" width="8.90625" style="122"/>
    <col min="7411" max="7411" width="6" style="122" customWidth="1"/>
    <col min="7412" max="7412" width="1.453125" style="122" customWidth="1"/>
    <col min="7413" max="7413" width="39.08984375" style="122" customWidth="1"/>
    <col min="7414" max="7414" width="12" style="122" customWidth="1"/>
    <col min="7415" max="7415" width="14.453125" style="122" customWidth="1"/>
    <col min="7416" max="7416" width="11.90625" style="122" customWidth="1"/>
    <col min="7417" max="7417" width="14.08984375" style="122" customWidth="1"/>
    <col min="7418" max="7418" width="13.90625" style="122" customWidth="1"/>
    <col min="7419" max="7420" width="12.81640625" style="122" customWidth="1"/>
    <col min="7421" max="7421" width="13.54296875" style="122" customWidth="1"/>
    <col min="7422" max="7422" width="15.36328125" style="122" customWidth="1"/>
    <col min="7423" max="7423" width="12.81640625" style="122" customWidth="1"/>
    <col min="7424" max="7424" width="13.90625" style="122" customWidth="1"/>
    <col min="7425" max="7425" width="1.90625" style="122" customWidth="1"/>
    <col min="7426" max="7426" width="13" style="122" customWidth="1"/>
    <col min="7427" max="7666" width="8.90625" style="122"/>
    <col min="7667" max="7667" width="6" style="122" customWidth="1"/>
    <col min="7668" max="7668" width="1.453125" style="122" customWidth="1"/>
    <col min="7669" max="7669" width="39.08984375" style="122" customWidth="1"/>
    <col min="7670" max="7670" width="12" style="122" customWidth="1"/>
    <col min="7671" max="7671" width="14.453125" style="122" customWidth="1"/>
    <col min="7672" max="7672" width="11.90625" style="122" customWidth="1"/>
    <col min="7673" max="7673" width="14.08984375" style="122" customWidth="1"/>
    <col min="7674" max="7674" width="13.90625" style="122" customWidth="1"/>
    <col min="7675" max="7676" width="12.81640625" style="122" customWidth="1"/>
    <col min="7677" max="7677" width="13.54296875" style="122" customWidth="1"/>
    <col min="7678" max="7678" width="15.36328125" style="122" customWidth="1"/>
    <col min="7679" max="7679" width="12.81640625" style="122" customWidth="1"/>
    <col min="7680" max="7680" width="13.90625" style="122" customWidth="1"/>
    <col min="7681" max="7681" width="1.90625" style="122" customWidth="1"/>
    <col min="7682" max="7682" width="13" style="122" customWidth="1"/>
    <col min="7683" max="7922" width="8.90625" style="122"/>
    <col min="7923" max="7923" width="6" style="122" customWidth="1"/>
    <col min="7924" max="7924" width="1.453125" style="122" customWidth="1"/>
    <col min="7925" max="7925" width="39.08984375" style="122" customWidth="1"/>
    <col min="7926" max="7926" width="12" style="122" customWidth="1"/>
    <col min="7927" max="7927" width="14.453125" style="122" customWidth="1"/>
    <col min="7928" max="7928" width="11.90625" style="122" customWidth="1"/>
    <col min="7929" max="7929" width="14.08984375" style="122" customWidth="1"/>
    <col min="7930" max="7930" width="13.90625" style="122" customWidth="1"/>
    <col min="7931" max="7932" width="12.81640625" style="122" customWidth="1"/>
    <col min="7933" max="7933" width="13.54296875" style="122" customWidth="1"/>
    <col min="7934" max="7934" width="15.36328125" style="122" customWidth="1"/>
    <col min="7935" max="7935" width="12.81640625" style="122" customWidth="1"/>
    <col min="7936" max="7936" width="13.90625" style="122" customWidth="1"/>
    <col min="7937" max="7937" width="1.90625" style="122" customWidth="1"/>
    <col min="7938" max="7938" width="13" style="122" customWidth="1"/>
    <col min="7939" max="8178" width="8.90625" style="122"/>
    <col min="8179" max="8179" width="6" style="122" customWidth="1"/>
    <col min="8180" max="8180" width="1.453125" style="122" customWidth="1"/>
    <col min="8181" max="8181" width="39.08984375" style="122" customWidth="1"/>
    <col min="8182" max="8182" width="12" style="122" customWidth="1"/>
    <col min="8183" max="8183" width="14.453125" style="122" customWidth="1"/>
    <col min="8184" max="8184" width="11.90625" style="122" customWidth="1"/>
    <col min="8185" max="8185" width="14.08984375" style="122" customWidth="1"/>
    <col min="8186" max="8186" width="13.90625" style="122" customWidth="1"/>
    <col min="8187" max="8188" width="12.81640625" style="122" customWidth="1"/>
    <col min="8189" max="8189" width="13.54296875" style="122" customWidth="1"/>
    <col min="8190" max="8190" width="15.36328125" style="122" customWidth="1"/>
    <col min="8191" max="8191" width="12.81640625" style="122" customWidth="1"/>
    <col min="8192" max="8192" width="13.90625" style="122" customWidth="1"/>
    <col min="8193" max="8193" width="1.90625" style="122" customWidth="1"/>
    <col min="8194" max="8194" width="13" style="122" customWidth="1"/>
    <col min="8195" max="8434" width="8.90625" style="122"/>
    <col min="8435" max="8435" width="6" style="122" customWidth="1"/>
    <col min="8436" max="8436" width="1.453125" style="122" customWidth="1"/>
    <col min="8437" max="8437" width="39.08984375" style="122" customWidth="1"/>
    <col min="8438" max="8438" width="12" style="122" customWidth="1"/>
    <col min="8439" max="8439" width="14.453125" style="122" customWidth="1"/>
    <col min="8440" max="8440" width="11.90625" style="122" customWidth="1"/>
    <col min="8441" max="8441" width="14.08984375" style="122" customWidth="1"/>
    <col min="8442" max="8442" width="13.90625" style="122" customWidth="1"/>
    <col min="8443" max="8444" width="12.81640625" style="122" customWidth="1"/>
    <col min="8445" max="8445" width="13.54296875" style="122" customWidth="1"/>
    <col min="8446" max="8446" width="15.36328125" style="122" customWidth="1"/>
    <col min="8447" max="8447" width="12.81640625" style="122" customWidth="1"/>
    <col min="8448" max="8448" width="13.90625" style="122" customWidth="1"/>
    <col min="8449" max="8449" width="1.90625" style="122" customWidth="1"/>
    <col min="8450" max="8450" width="13" style="122" customWidth="1"/>
    <col min="8451" max="8690" width="8.90625" style="122"/>
    <col min="8691" max="8691" width="6" style="122" customWidth="1"/>
    <col min="8692" max="8692" width="1.453125" style="122" customWidth="1"/>
    <col min="8693" max="8693" width="39.08984375" style="122" customWidth="1"/>
    <col min="8694" max="8694" width="12" style="122" customWidth="1"/>
    <col min="8695" max="8695" width="14.453125" style="122" customWidth="1"/>
    <col min="8696" max="8696" width="11.90625" style="122" customWidth="1"/>
    <col min="8697" max="8697" width="14.08984375" style="122" customWidth="1"/>
    <col min="8698" max="8698" width="13.90625" style="122" customWidth="1"/>
    <col min="8699" max="8700" width="12.81640625" style="122" customWidth="1"/>
    <col min="8701" max="8701" width="13.54296875" style="122" customWidth="1"/>
    <col min="8702" max="8702" width="15.36328125" style="122" customWidth="1"/>
    <col min="8703" max="8703" width="12.81640625" style="122" customWidth="1"/>
    <col min="8704" max="8704" width="13.90625" style="122" customWidth="1"/>
    <col min="8705" max="8705" width="1.90625" style="122" customWidth="1"/>
    <col min="8706" max="8706" width="13" style="122" customWidth="1"/>
    <col min="8707" max="8946" width="8.90625" style="122"/>
    <col min="8947" max="8947" width="6" style="122" customWidth="1"/>
    <col min="8948" max="8948" width="1.453125" style="122" customWidth="1"/>
    <col min="8949" max="8949" width="39.08984375" style="122" customWidth="1"/>
    <col min="8950" max="8950" width="12" style="122" customWidth="1"/>
    <col min="8951" max="8951" width="14.453125" style="122" customWidth="1"/>
    <col min="8952" max="8952" width="11.90625" style="122" customWidth="1"/>
    <col min="8953" max="8953" width="14.08984375" style="122" customWidth="1"/>
    <col min="8954" max="8954" width="13.90625" style="122" customWidth="1"/>
    <col min="8955" max="8956" width="12.81640625" style="122" customWidth="1"/>
    <col min="8957" max="8957" width="13.54296875" style="122" customWidth="1"/>
    <col min="8958" max="8958" width="15.36328125" style="122" customWidth="1"/>
    <col min="8959" max="8959" width="12.81640625" style="122" customWidth="1"/>
    <col min="8960" max="8960" width="13.90625" style="122" customWidth="1"/>
    <col min="8961" max="8961" width="1.90625" style="122" customWidth="1"/>
    <col min="8962" max="8962" width="13" style="122" customWidth="1"/>
    <col min="8963" max="9202" width="8.90625" style="122"/>
    <col min="9203" max="9203" width="6" style="122" customWidth="1"/>
    <col min="9204" max="9204" width="1.453125" style="122" customWidth="1"/>
    <col min="9205" max="9205" width="39.08984375" style="122" customWidth="1"/>
    <col min="9206" max="9206" width="12" style="122" customWidth="1"/>
    <col min="9207" max="9207" width="14.453125" style="122" customWidth="1"/>
    <col min="9208" max="9208" width="11.90625" style="122" customWidth="1"/>
    <col min="9209" max="9209" width="14.08984375" style="122" customWidth="1"/>
    <col min="9210" max="9210" width="13.90625" style="122" customWidth="1"/>
    <col min="9211" max="9212" width="12.81640625" style="122" customWidth="1"/>
    <col min="9213" max="9213" width="13.54296875" style="122" customWidth="1"/>
    <col min="9214" max="9214" width="15.36328125" style="122" customWidth="1"/>
    <col min="9215" max="9215" width="12.81640625" style="122" customWidth="1"/>
    <col min="9216" max="9216" width="13.90625" style="122" customWidth="1"/>
    <col min="9217" max="9217" width="1.90625" style="122" customWidth="1"/>
    <col min="9218" max="9218" width="13" style="122" customWidth="1"/>
    <col min="9219" max="9458" width="8.90625" style="122"/>
    <col min="9459" max="9459" width="6" style="122" customWidth="1"/>
    <col min="9460" max="9460" width="1.453125" style="122" customWidth="1"/>
    <col min="9461" max="9461" width="39.08984375" style="122" customWidth="1"/>
    <col min="9462" max="9462" width="12" style="122" customWidth="1"/>
    <col min="9463" max="9463" width="14.453125" style="122" customWidth="1"/>
    <col min="9464" max="9464" width="11.90625" style="122" customWidth="1"/>
    <col min="9465" max="9465" width="14.08984375" style="122" customWidth="1"/>
    <col min="9466" max="9466" width="13.90625" style="122" customWidth="1"/>
    <col min="9467" max="9468" width="12.81640625" style="122" customWidth="1"/>
    <col min="9469" max="9469" width="13.54296875" style="122" customWidth="1"/>
    <col min="9470" max="9470" width="15.36328125" style="122" customWidth="1"/>
    <col min="9471" max="9471" width="12.81640625" style="122" customWidth="1"/>
    <col min="9472" max="9472" width="13.90625" style="122" customWidth="1"/>
    <col min="9473" max="9473" width="1.90625" style="122" customWidth="1"/>
    <col min="9474" max="9474" width="13" style="122" customWidth="1"/>
    <col min="9475" max="9714" width="8.90625" style="122"/>
    <col min="9715" max="9715" width="6" style="122" customWidth="1"/>
    <col min="9716" max="9716" width="1.453125" style="122" customWidth="1"/>
    <col min="9717" max="9717" width="39.08984375" style="122" customWidth="1"/>
    <col min="9718" max="9718" width="12" style="122" customWidth="1"/>
    <col min="9719" max="9719" width="14.453125" style="122" customWidth="1"/>
    <col min="9720" max="9720" width="11.90625" style="122" customWidth="1"/>
    <col min="9721" max="9721" width="14.08984375" style="122" customWidth="1"/>
    <col min="9722" max="9722" width="13.90625" style="122" customWidth="1"/>
    <col min="9723" max="9724" width="12.81640625" style="122" customWidth="1"/>
    <col min="9725" max="9725" width="13.54296875" style="122" customWidth="1"/>
    <col min="9726" max="9726" width="15.36328125" style="122" customWidth="1"/>
    <col min="9727" max="9727" width="12.81640625" style="122" customWidth="1"/>
    <col min="9728" max="9728" width="13.90625" style="122" customWidth="1"/>
    <col min="9729" max="9729" width="1.90625" style="122" customWidth="1"/>
    <col min="9730" max="9730" width="13" style="122" customWidth="1"/>
    <col min="9731" max="9970" width="8.90625" style="122"/>
    <col min="9971" max="9971" width="6" style="122" customWidth="1"/>
    <col min="9972" max="9972" width="1.453125" style="122" customWidth="1"/>
    <col min="9973" max="9973" width="39.08984375" style="122" customWidth="1"/>
    <col min="9974" max="9974" width="12" style="122" customWidth="1"/>
    <col min="9975" max="9975" width="14.453125" style="122" customWidth="1"/>
    <col min="9976" max="9976" width="11.90625" style="122" customWidth="1"/>
    <col min="9977" max="9977" width="14.08984375" style="122" customWidth="1"/>
    <col min="9978" max="9978" width="13.90625" style="122" customWidth="1"/>
    <col min="9979" max="9980" width="12.81640625" style="122" customWidth="1"/>
    <col min="9981" max="9981" width="13.54296875" style="122" customWidth="1"/>
    <col min="9982" max="9982" width="15.36328125" style="122" customWidth="1"/>
    <col min="9983" max="9983" width="12.81640625" style="122" customWidth="1"/>
    <col min="9984" max="9984" width="13.90625" style="122" customWidth="1"/>
    <col min="9985" max="9985" width="1.90625" style="122" customWidth="1"/>
    <col min="9986" max="9986" width="13" style="122" customWidth="1"/>
    <col min="9987" max="10226" width="8.90625" style="122"/>
    <col min="10227" max="10227" width="6" style="122" customWidth="1"/>
    <col min="10228" max="10228" width="1.453125" style="122" customWidth="1"/>
    <col min="10229" max="10229" width="39.08984375" style="122" customWidth="1"/>
    <col min="10230" max="10230" width="12" style="122" customWidth="1"/>
    <col min="10231" max="10231" width="14.453125" style="122" customWidth="1"/>
    <col min="10232" max="10232" width="11.90625" style="122" customWidth="1"/>
    <col min="10233" max="10233" width="14.08984375" style="122" customWidth="1"/>
    <col min="10234" max="10234" width="13.90625" style="122" customWidth="1"/>
    <col min="10235" max="10236" width="12.81640625" style="122" customWidth="1"/>
    <col min="10237" max="10237" width="13.54296875" style="122" customWidth="1"/>
    <col min="10238" max="10238" width="15.36328125" style="122" customWidth="1"/>
    <col min="10239" max="10239" width="12.81640625" style="122" customWidth="1"/>
    <col min="10240" max="10240" width="13.90625" style="122" customWidth="1"/>
    <col min="10241" max="10241" width="1.90625" style="122" customWidth="1"/>
    <col min="10242" max="10242" width="13" style="122" customWidth="1"/>
    <col min="10243" max="10482" width="8.90625" style="122"/>
    <col min="10483" max="10483" width="6" style="122" customWidth="1"/>
    <col min="10484" max="10484" width="1.453125" style="122" customWidth="1"/>
    <col min="10485" max="10485" width="39.08984375" style="122" customWidth="1"/>
    <col min="10486" max="10486" width="12" style="122" customWidth="1"/>
    <col min="10487" max="10487" width="14.453125" style="122" customWidth="1"/>
    <col min="10488" max="10488" width="11.90625" style="122" customWidth="1"/>
    <col min="10489" max="10489" width="14.08984375" style="122" customWidth="1"/>
    <col min="10490" max="10490" width="13.90625" style="122" customWidth="1"/>
    <col min="10491" max="10492" width="12.81640625" style="122" customWidth="1"/>
    <col min="10493" max="10493" width="13.54296875" style="122" customWidth="1"/>
    <col min="10494" max="10494" width="15.36328125" style="122" customWidth="1"/>
    <col min="10495" max="10495" width="12.81640625" style="122" customWidth="1"/>
    <col min="10496" max="10496" width="13.90625" style="122" customWidth="1"/>
    <col min="10497" max="10497" width="1.90625" style="122" customWidth="1"/>
    <col min="10498" max="10498" width="13" style="122" customWidth="1"/>
    <col min="10499" max="10738" width="8.90625" style="122"/>
    <col min="10739" max="10739" width="6" style="122" customWidth="1"/>
    <col min="10740" max="10740" width="1.453125" style="122" customWidth="1"/>
    <col min="10741" max="10741" width="39.08984375" style="122" customWidth="1"/>
    <col min="10742" max="10742" width="12" style="122" customWidth="1"/>
    <col min="10743" max="10743" width="14.453125" style="122" customWidth="1"/>
    <col min="10744" max="10744" width="11.90625" style="122" customWidth="1"/>
    <col min="10745" max="10745" width="14.08984375" style="122" customWidth="1"/>
    <col min="10746" max="10746" width="13.90625" style="122" customWidth="1"/>
    <col min="10747" max="10748" width="12.81640625" style="122" customWidth="1"/>
    <col min="10749" max="10749" width="13.54296875" style="122" customWidth="1"/>
    <col min="10750" max="10750" width="15.36328125" style="122" customWidth="1"/>
    <col min="10751" max="10751" width="12.81640625" style="122" customWidth="1"/>
    <col min="10752" max="10752" width="13.90625" style="122" customWidth="1"/>
    <col min="10753" max="10753" width="1.90625" style="122" customWidth="1"/>
    <col min="10754" max="10754" width="13" style="122" customWidth="1"/>
    <col min="10755" max="10994" width="8.90625" style="122"/>
    <col min="10995" max="10995" width="6" style="122" customWidth="1"/>
    <col min="10996" max="10996" width="1.453125" style="122" customWidth="1"/>
    <col min="10997" max="10997" width="39.08984375" style="122" customWidth="1"/>
    <col min="10998" max="10998" width="12" style="122" customWidth="1"/>
    <col min="10999" max="10999" width="14.453125" style="122" customWidth="1"/>
    <col min="11000" max="11000" width="11.90625" style="122" customWidth="1"/>
    <col min="11001" max="11001" width="14.08984375" style="122" customWidth="1"/>
    <col min="11002" max="11002" width="13.90625" style="122" customWidth="1"/>
    <col min="11003" max="11004" width="12.81640625" style="122" customWidth="1"/>
    <col min="11005" max="11005" width="13.54296875" style="122" customWidth="1"/>
    <col min="11006" max="11006" width="15.36328125" style="122" customWidth="1"/>
    <col min="11007" max="11007" width="12.81640625" style="122" customWidth="1"/>
    <col min="11008" max="11008" width="13.90625" style="122" customWidth="1"/>
    <col min="11009" max="11009" width="1.90625" style="122" customWidth="1"/>
    <col min="11010" max="11010" width="13" style="122" customWidth="1"/>
    <col min="11011" max="11250" width="8.90625" style="122"/>
    <col min="11251" max="11251" width="6" style="122" customWidth="1"/>
    <col min="11252" max="11252" width="1.453125" style="122" customWidth="1"/>
    <col min="11253" max="11253" width="39.08984375" style="122" customWidth="1"/>
    <col min="11254" max="11254" width="12" style="122" customWidth="1"/>
    <col min="11255" max="11255" width="14.453125" style="122" customWidth="1"/>
    <col min="11256" max="11256" width="11.90625" style="122" customWidth="1"/>
    <col min="11257" max="11257" width="14.08984375" style="122" customWidth="1"/>
    <col min="11258" max="11258" width="13.90625" style="122" customWidth="1"/>
    <col min="11259" max="11260" width="12.81640625" style="122" customWidth="1"/>
    <col min="11261" max="11261" width="13.54296875" style="122" customWidth="1"/>
    <col min="11262" max="11262" width="15.36328125" style="122" customWidth="1"/>
    <col min="11263" max="11263" width="12.81640625" style="122" customWidth="1"/>
    <col min="11264" max="11264" width="13.90625" style="122" customWidth="1"/>
    <col min="11265" max="11265" width="1.90625" style="122" customWidth="1"/>
    <col min="11266" max="11266" width="13" style="122" customWidth="1"/>
    <col min="11267" max="11506" width="8.90625" style="122"/>
    <col min="11507" max="11507" width="6" style="122" customWidth="1"/>
    <col min="11508" max="11508" width="1.453125" style="122" customWidth="1"/>
    <col min="11509" max="11509" width="39.08984375" style="122" customWidth="1"/>
    <col min="11510" max="11510" width="12" style="122" customWidth="1"/>
    <col min="11511" max="11511" width="14.453125" style="122" customWidth="1"/>
    <col min="11512" max="11512" width="11.90625" style="122" customWidth="1"/>
    <col min="11513" max="11513" width="14.08984375" style="122" customWidth="1"/>
    <col min="11514" max="11514" width="13.90625" style="122" customWidth="1"/>
    <col min="11515" max="11516" width="12.81640625" style="122" customWidth="1"/>
    <col min="11517" max="11517" width="13.54296875" style="122" customWidth="1"/>
    <col min="11518" max="11518" width="15.36328125" style="122" customWidth="1"/>
    <col min="11519" max="11519" width="12.81640625" style="122" customWidth="1"/>
    <col min="11520" max="11520" width="13.90625" style="122" customWidth="1"/>
    <col min="11521" max="11521" width="1.90625" style="122" customWidth="1"/>
    <col min="11522" max="11522" width="13" style="122" customWidth="1"/>
    <col min="11523" max="11762" width="8.90625" style="122"/>
    <col min="11763" max="11763" width="6" style="122" customWidth="1"/>
    <col min="11764" max="11764" width="1.453125" style="122" customWidth="1"/>
    <col min="11765" max="11765" width="39.08984375" style="122" customWidth="1"/>
    <col min="11766" max="11766" width="12" style="122" customWidth="1"/>
    <col min="11767" max="11767" width="14.453125" style="122" customWidth="1"/>
    <col min="11768" max="11768" width="11.90625" style="122" customWidth="1"/>
    <col min="11769" max="11769" width="14.08984375" style="122" customWidth="1"/>
    <col min="11770" max="11770" width="13.90625" style="122" customWidth="1"/>
    <col min="11771" max="11772" width="12.81640625" style="122" customWidth="1"/>
    <col min="11773" max="11773" width="13.54296875" style="122" customWidth="1"/>
    <col min="11774" max="11774" width="15.36328125" style="122" customWidth="1"/>
    <col min="11775" max="11775" width="12.81640625" style="122" customWidth="1"/>
    <col min="11776" max="11776" width="13.90625" style="122" customWidth="1"/>
    <col min="11777" max="11777" width="1.90625" style="122" customWidth="1"/>
    <col min="11778" max="11778" width="13" style="122" customWidth="1"/>
    <col min="11779" max="12018" width="8.90625" style="122"/>
    <col min="12019" max="12019" width="6" style="122" customWidth="1"/>
    <col min="12020" max="12020" width="1.453125" style="122" customWidth="1"/>
    <col min="12021" max="12021" width="39.08984375" style="122" customWidth="1"/>
    <col min="12022" max="12022" width="12" style="122" customWidth="1"/>
    <col min="12023" max="12023" width="14.453125" style="122" customWidth="1"/>
    <col min="12024" max="12024" width="11.90625" style="122" customWidth="1"/>
    <col min="12025" max="12025" width="14.08984375" style="122" customWidth="1"/>
    <col min="12026" max="12026" width="13.90625" style="122" customWidth="1"/>
    <col min="12027" max="12028" width="12.81640625" style="122" customWidth="1"/>
    <col min="12029" max="12029" width="13.54296875" style="122" customWidth="1"/>
    <col min="12030" max="12030" width="15.36328125" style="122" customWidth="1"/>
    <col min="12031" max="12031" width="12.81640625" style="122" customWidth="1"/>
    <col min="12032" max="12032" width="13.90625" style="122" customWidth="1"/>
    <col min="12033" max="12033" width="1.90625" style="122" customWidth="1"/>
    <col min="12034" max="12034" width="13" style="122" customWidth="1"/>
    <col min="12035" max="12274" width="8.90625" style="122"/>
    <col min="12275" max="12275" width="6" style="122" customWidth="1"/>
    <col min="12276" max="12276" width="1.453125" style="122" customWidth="1"/>
    <col min="12277" max="12277" width="39.08984375" style="122" customWidth="1"/>
    <col min="12278" max="12278" width="12" style="122" customWidth="1"/>
    <col min="12279" max="12279" width="14.453125" style="122" customWidth="1"/>
    <col min="12280" max="12280" width="11.90625" style="122" customWidth="1"/>
    <col min="12281" max="12281" width="14.08984375" style="122" customWidth="1"/>
    <col min="12282" max="12282" width="13.90625" style="122" customWidth="1"/>
    <col min="12283" max="12284" width="12.81640625" style="122" customWidth="1"/>
    <col min="12285" max="12285" width="13.54296875" style="122" customWidth="1"/>
    <col min="12286" max="12286" width="15.36328125" style="122" customWidth="1"/>
    <col min="12287" max="12287" width="12.81640625" style="122" customWidth="1"/>
    <col min="12288" max="12288" width="13.90625" style="122" customWidth="1"/>
    <col min="12289" max="12289" width="1.90625" style="122" customWidth="1"/>
    <col min="12290" max="12290" width="13" style="122" customWidth="1"/>
    <col min="12291" max="12530" width="8.90625" style="122"/>
    <col min="12531" max="12531" width="6" style="122" customWidth="1"/>
    <col min="12532" max="12532" width="1.453125" style="122" customWidth="1"/>
    <col min="12533" max="12533" width="39.08984375" style="122" customWidth="1"/>
    <col min="12534" max="12534" width="12" style="122" customWidth="1"/>
    <col min="12535" max="12535" width="14.453125" style="122" customWidth="1"/>
    <col min="12536" max="12536" width="11.90625" style="122" customWidth="1"/>
    <col min="12537" max="12537" width="14.08984375" style="122" customWidth="1"/>
    <col min="12538" max="12538" width="13.90625" style="122" customWidth="1"/>
    <col min="12539" max="12540" width="12.81640625" style="122" customWidth="1"/>
    <col min="12541" max="12541" width="13.54296875" style="122" customWidth="1"/>
    <col min="12542" max="12542" width="15.36328125" style="122" customWidth="1"/>
    <col min="12543" max="12543" width="12.81640625" style="122" customWidth="1"/>
    <col min="12544" max="12544" width="13.90625" style="122" customWidth="1"/>
    <col min="12545" max="12545" width="1.90625" style="122" customWidth="1"/>
    <col min="12546" max="12546" width="13" style="122" customWidth="1"/>
    <col min="12547" max="12786" width="8.90625" style="122"/>
    <col min="12787" max="12787" width="6" style="122" customWidth="1"/>
    <col min="12788" max="12788" width="1.453125" style="122" customWidth="1"/>
    <col min="12789" max="12789" width="39.08984375" style="122" customWidth="1"/>
    <col min="12790" max="12790" width="12" style="122" customWidth="1"/>
    <col min="12791" max="12791" width="14.453125" style="122" customWidth="1"/>
    <col min="12792" max="12792" width="11.90625" style="122" customWidth="1"/>
    <col min="12793" max="12793" width="14.08984375" style="122" customWidth="1"/>
    <col min="12794" max="12794" width="13.90625" style="122" customWidth="1"/>
    <col min="12795" max="12796" width="12.81640625" style="122" customWidth="1"/>
    <col min="12797" max="12797" width="13.54296875" style="122" customWidth="1"/>
    <col min="12798" max="12798" width="15.36328125" style="122" customWidth="1"/>
    <col min="12799" max="12799" width="12.81640625" style="122" customWidth="1"/>
    <col min="12800" max="12800" width="13.90625" style="122" customWidth="1"/>
    <col min="12801" max="12801" width="1.90625" style="122" customWidth="1"/>
    <col min="12802" max="12802" width="13" style="122" customWidth="1"/>
    <col min="12803" max="13042" width="8.90625" style="122"/>
    <col min="13043" max="13043" width="6" style="122" customWidth="1"/>
    <col min="13044" max="13044" width="1.453125" style="122" customWidth="1"/>
    <col min="13045" max="13045" width="39.08984375" style="122" customWidth="1"/>
    <col min="13046" max="13046" width="12" style="122" customWidth="1"/>
    <col min="13047" max="13047" width="14.453125" style="122" customWidth="1"/>
    <col min="13048" max="13048" width="11.90625" style="122" customWidth="1"/>
    <col min="13049" max="13049" width="14.08984375" style="122" customWidth="1"/>
    <col min="13050" max="13050" width="13.90625" style="122" customWidth="1"/>
    <col min="13051" max="13052" width="12.81640625" style="122" customWidth="1"/>
    <col min="13053" max="13053" width="13.54296875" style="122" customWidth="1"/>
    <col min="13054" max="13054" width="15.36328125" style="122" customWidth="1"/>
    <col min="13055" max="13055" width="12.81640625" style="122" customWidth="1"/>
    <col min="13056" max="13056" width="13.90625" style="122" customWidth="1"/>
    <col min="13057" max="13057" width="1.90625" style="122" customWidth="1"/>
    <col min="13058" max="13058" width="13" style="122" customWidth="1"/>
    <col min="13059" max="13298" width="8.90625" style="122"/>
    <col min="13299" max="13299" width="6" style="122" customWidth="1"/>
    <col min="13300" max="13300" width="1.453125" style="122" customWidth="1"/>
    <col min="13301" max="13301" width="39.08984375" style="122" customWidth="1"/>
    <col min="13302" max="13302" width="12" style="122" customWidth="1"/>
    <col min="13303" max="13303" width="14.453125" style="122" customWidth="1"/>
    <col min="13304" max="13304" width="11.90625" style="122" customWidth="1"/>
    <col min="13305" max="13305" width="14.08984375" style="122" customWidth="1"/>
    <col min="13306" max="13306" width="13.90625" style="122" customWidth="1"/>
    <col min="13307" max="13308" width="12.81640625" style="122" customWidth="1"/>
    <col min="13309" max="13309" width="13.54296875" style="122" customWidth="1"/>
    <col min="13310" max="13310" width="15.36328125" style="122" customWidth="1"/>
    <col min="13311" max="13311" width="12.81640625" style="122" customWidth="1"/>
    <col min="13312" max="13312" width="13.90625" style="122" customWidth="1"/>
    <col min="13313" max="13313" width="1.90625" style="122" customWidth="1"/>
    <col min="13314" max="13314" width="13" style="122" customWidth="1"/>
    <col min="13315" max="13554" width="8.90625" style="122"/>
    <col min="13555" max="13555" width="6" style="122" customWidth="1"/>
    <col min="13556" max="13556" width="1.453125" style="122" customWidth="1"/>
    <col min="13557" max="13557" width="39.08984375" style="122" customWidth="1"/>
    <col min="13558" max="13558" width="12" style="122" customWidth="1"/>
    <col min="13559" max="13559" width="14.453125" style="122" customWidth="1"/>
    <col min="13560" max="13560" width="11.90625" style="122" customWidth="1"/>
    <col min="13561" max="13561" width="14.08984375" style="122" customWidth="1"/>
    <col min="13562" max="13562" width="13.90625" style="122" customWidth="1"/>
    <col min="13563" max="13564" width="12.81640625" style="122" customWidth="1"/>
    <col min="13565" max="13565" width="13.54296875" style="122" customWidth="1"/>
    <col min="13566" max="13566" width="15.36328125" style="122" customWidth="1"/>
    <col min="13567" max="13567" width="12.81640625" style="122" customWidth="1"/>
    <col min="13568" max="13568" width="13.90625" style="122" customWidth="1"/>
    <col min="13569" max="13569" width="1.90625" style="122" customWidth="1"/>
    <col min="13570" max="13570" width="13" style="122" customWidth="1"/>
    <col min="13571" max="13810" width="8.90625" style="122"/>
    <col min="13811" max="13811" width="6" style="122" customWidth="1"/>
    <col min="13812" max="13812" width="1.453125" style="122" customWidth="1"/>
    <col min="13813" max="13813" width="39.08984375" style="122" customWidth="1"/>
    <col min="13814" max="13814" width="12" style="122" customWidth="1"/>
    <col min="13815" max="13815" width="14.453125" style="122" customWidth="1"/>
    <col min="13816" max="13816" width="11.90625" style="122" customWidth="1"/>
    <col min="13817" max="13817" width="14.08984375" style="122" customWidth="1"/>
    <col min="13818" max="13818" width="13.90625" style="122" customWidth="1"/>
    <col min="13819" max="13820" width="12.81640625" style="122" customWidth="1"/>
    <col min="13821" max="13821" width="13.54296875" style="122" customWidth="1"/>
    <col min="13822" max="13822" width="15.36328125" style="122" customWidth="1"/>
    <col min="13823" max="13823" width="12.81640625" style="122" customWidth="1"/>
    <col min="13824" max="13824" width="13.90625" style="122" customWidth="1"/>
    <col min="13825" max="13825" width="1.90625" style="122" customWidth="1"/>
    <col min="13826" max="13826" width="13" style="122" customWidth="1"/>
    <col min="13827" max="14066" width="8.90625" style="122"/>
    <col min="14067" max="14067" width="6" style="122" customWidth="1"/>
    <col min="14068" max="14068" width="1.453125" style="122" customWidth="1"/>
    <col min="14069" max="14069" width="39.08984375" style="122" customWidth="1"/>
    <col min="14070" max="14070" width="12" style="122" customWidth="1"/>
    <col min="14071" max="14071" width="14.453125" style="122" customWidth="1"/>
    <col min="14072" max="14072" width="11.90625" style="122" customWidth="1"/>
    <col min="14073" max="14073" width="14.08984375" style="122" customWidth="1"/>
    <col min="14074" max="14074" width="13.90625" style="122" customWidth="1"/>
    <col min="14075" max="14076" width="12.81640625" style="122" customWidth="1"/>
    <col min="14077" max="14077" width="13.54296875" style="122" customWidth="1"/>
    <col min="14078" max="14078" width="15.36328125" style="122" customWidth="1"/>
    <col min="14079" max="14079" width="12.81640625" style="122" customWidth="1"/>
    <col min="14080" max="14080" width="13.90625" style="122" customWidth="1"/>
    <col min="14081" max="14081" width="1.90625" style="122" customWidth="1"/>
    <col min="14082" max="14082" width="13" style="122" customWidth="1"/>
    <col min="14083" max="14322" width="8.90625" style="122"/>
    <col min="14323" max="14323" width="6" style="122" customWidth="1"/>
    <col min="14324" max="14324" width="1.453125" style="122" customWidth="1"/>
    <col min="14325" max="14325" width="39.08984375" style="122" customWidth="1"/>
    <col min="14326" max="14326" width="12" style="122" customWidth="1"/>
    <col min="14327" max="14327" width="14.453125" style="122" customWidth="1"/>
    <col min="14328" max="14328" width="11.90625" style="122" customWidth="1"/>
    <col min="14329" max="14329" width="14.08984375" style="122" customWidth="1"/>
    <col min="14330" max="14330" width="13.90625" style="122" customWidth="1"/>
    <col min="14331" max="14332" width="12.81640625" style="122" customWidth="1"/>
    <col min="14333" max="14333" width="13.54296875" style="122" customWidth="1"/>
    <col min="14334" max="14334" width="15.36328125" style="122" customWidth="1"/>
    <col min="14335" max="14335" width="12.81640625" style="122" customWidth="1"/>
    <col min="14336" max="14336" width="13.90625" style="122" customWidth="1"/>
    <col min="14337" max="14337" width="1.90625" style="122" customWidth="1"/>
    <col min="14338" max="14338" width="13" style="122" customWidth="1"/>
    <col min="14339" max="14578" width="8.90625" style="122"/>
    <col min="14579" max="14579" width="6" style="122" customWidth="1"/>
    <col min="14580" max="14580" width="1.453125" style="122" customWidth="1"/>
    <col min="14581" max="14581" width="39.08984375" style="122" customWidth="1"/>
    <col min="14582" max="14582" width="12" style="122" customWidth="1"/>
    <col min="14583" max="14583" width="14.453125" style="122" customWidth="1"/>
    <col min="14584" max="14584" width="11.90625" style="122" customWidth="1"/>
    <col min="14585" max="14585" width="14.08984375" style="122" customWidth="1"/>
    <col min="14586" max="14586" width="13.90625" style="122" customWidth="1"/>
    <col min="14587" max="14588" width="12.81640625" style="122" customWidth="1"/>
    <col min="14589" max="14589" width="13.54296875" style="122" customWidth="1"/>
    <col min="14590" max="14590" width="15.36328125" style="122" customWidth="1"/>
    <col min="14591" max="14591" width="12.81640625" style="122" customWidth="1"/>
    <col min="14592" max="14592" width="13.90625" style="122" customWidth="1"/>
    <col min="14593" max="14593" width="1.90625" style="122" customWidth="1"/>
    <col min="14594" max="14594" width="13" style="122" customWidth="1"/>
    <col min="14595" max="14834" width="8.90625" style="122"/>
    <col min="14835" max="14835" width="6" style="122" customWidth="1"/>
    <col min="14836" max="14836" width="1.453125" style="122" customWidth="1"/>
    <col min="14837" max="14837" width="39.08984375" style="122" customWidth="1"/>
    <col min="14838" max="14838" width="12" style="122" customWidth="1"/>
    <col min="14839" max="14839" width="14.453125" style="122" customWidth="1"/>
    <col min="14840" max="14840" width="11.90625" style="122" customWidth="1"/>
    <col min="14841" max="14841" width="14.08984375" style="122" customWidth="1"/>
    <col min="14842" max="14842" width="13.90625" style="122" customWidth="1"/>
    <col min="14843" max="14844" width="12.81640625" style="122" customWidth="1"/>
    <col min="14845" max="14845" width="13.54296875" style="122" customWidth="1"/>
    <col min="14846" max="14846" width="15.36328125" style="122" customWidth="1"/>
    <col min="14847" max="14847" width="12.81640625" style="122" customWidth="1"/>
    <col min="14848" max="14848" width="13.90625" style="122" customWidth="1"/>
    <col min="14849" max="14849" width="1.90625" style="122" customWidth="1"/>
    <col min="14850" max="14850" width="13" style="122" customWidth="1"/>
    <col min="14851" max="15090" width="8.90625" style="122"/>
    <col min="15091" max="15091" width="6" style="122" customWidth="1"/>
    <col min="15092" max="15092" width="1.453125" style="122" customWidth="1"/>
    <col min="15093" max="15093" width="39.08984375" style="122" customWidth="1"/>
    <col min="15094" max="15094" width="12" style="122" customWidth="1"/>
    <col min="15095" max="15095" width="14.453125" style="122" customWidth="1"/>
    <col min="15096" max="15096" width="11.90625" style="122" customWidth="1"/>
    <col min="15097" max="15097" width="14.08984375" style="122" customWidth="1"/>
    <col min="15098" max="15098" width="13.90625" style="122" customWidth="1"/>
    <col min="15099" max="15100" width="12.81640625" style="122" customWidth="1"/>
    <col min="15101" max="15101" width="13.54296875" style="122" customWidth="1"/>
    <col min="15102" max="15102" width="15.36328125" style="122" customWidth="1"/>
    <col min="15103" max="15103" width="12.81640625" style="122" customWidth="1"/>
    <col min="15104" max="15104" width="13.90625" style="122" customWidth="1"/>
    <col min="15105" max="15105" width="1.90625" style="122" customWidth="1"/>
    <col min="15106" max="15106" width="13" style="122" customWidth="1"/>
    <col min="15107" max="15346" width="8.90625" style="122"/>
    <col min="15347" max="15347" width="6" style="122" customWidth="1"/>
    <col min="15348" max="15348" width="1.453125" style="122" customWidth="1"/>
    <col min="15349" max="15349" width="39.08984375" style="122" customWidth="1"/>
    <col min="15350" max="15350" width="12" style="122" customWidth="1"/>
    <col min="15351" max="15351" width="14.453125" style="122" customWidth="1"/>
    <col min="15352" max="15352" width="11.90625" style="122" customWidth="1"/>
    <col min="15353" max="15353" width="14.08984375" style="122" customWidth="1"/>
    <col min="15354" max="15354" width="13.90625" style="122" customWidth="1"/>
    <col min="15355" max="15356" width="12.81640625" style="122" customWidth="1"/>
    <col min="15357" max="15357" width="13.54296875" style="122" customWidth="1"/>
    <col min="15358" max="15358" width="15.36328125" style="122" customWidth="1"/>
    <col min="15359" max="15359" width="12.81640625" style="122" customWidth="1"/>
    <col min="15360" max="15360" width="13.90625" style="122" customWidth="1"/>
    <col min="15361" max="15361" width="1.90625" style="122" customWidth="1"/>
    <col min="15362" max="15362" width="13" style="122" customWidth="1"/>
    <col min="15363" max="15602" width="8.90625" style="122"/>
    <col min="15603" max="15603" width="6" style="122" customWidth="1"/>
    <col min="15604" max="15604" width="1.453125" style="122" customWidth="1"/>
    <col min="15605" max="15605" width="39.08984375" style="122" customWidth="1"/>
    <col min="15606" max="15606" width="12" style="122" customWidth="1"/>
    <col min="15607" max="15607" width="14.453125" style="122" customWidth="1"/>
    <col min="15608" max="15608" width="11.90625" style="122" customWidth="1"/>
    <col min="15609" max="15609" width="14.08984375" style="122" customWidth="1"/>
    <col min="15610" max="15610" width="13.90625" style="122" customWidth="1"/>
    <col min="15611" max="15612" width="12.81640625" style="122" customWidth="1"/>
    <col min="15613" max="15613" width="13.54296875" style="122" customWidth="1"/>
    <col min="15614" max="15614" width="15.36328125" style="122" customWidth="1"/>
    <col min="15615" max="15615" width="12.81640625" style="122" customWidth="1"/>
    <col min="15616" max="15616" width="13.90625" style="122" customWidth="1"/>
    <col min="15617" max="15617" width="1.90625" style="122" customWidth="1"/>
    <col min="15618" max="15618" width="13" style="122" customWidth="1"/>
    <col min="15619" max="15858" width="8.90625" style="122"/>
    <col min="15859" max="15859" width="6" style="122" customWidth="1"/>
    <col min="15860" max="15860" width="1.453125" style="122" customWidth="1"/>
    <col min="15861" max="15861" width="39.08984375" style="122" customWidth="1"/>
    <col min="15862" max="15862" width="12" style="122" customWidth="1"/>
    <col min="15863" max="15863" width="14.453125" style="122" customWidth="1"/>
    <col min="15864" max="15864" width="11.90625" style="122" customWidth="1"/>
    <col min="15865" max="15865" width="14.08984375" style="122" customWidth="1"/>
    <col min="15866" max="15866" width="13.90625" style="122" customWidth="1"/>
    <col min="15867" max="15868" width="12.81640625" style="122" customWidth="1"/>
    <col min="15869" max="15869" width="13.54296875" style="122" customWidth="1"/>
    <col min="15870" max="15870" width="15.36328125" style="122" customWidth="1"/>
    <col min="15871" max="15871" width="12.81640625" style="122" customWidth="1"/>
    <col min="15872" max="15872" width="13.90625" style="122" customWidth="1"/>
    <col min="15873" max="15873" width="1.90625" style="122" customWidth="1"/>
    <col min="15874" max="15874" width="13" style="122" customWidth="1"/>
    <col min="15875" max="16114" width="8.90625" style="122"/>
    <col min="16115" max="16115" width="6" style="122" customWidth="1"/>
    <col min="16116" max="16116" width="1.453125" style="122" customWidth="1"/>
    <col min="16117" max="16117" width="39.08984375" style="122" customWidth="1"/>
    <col min="16118" max="16118" width="12" style="122" customWidth="1"/>
    <col min="16119" max="16119" width="14.453125" style="122" customWidth="1"/>
    <col min="16120" max="16120" width="11.90625" style="122" customWidth="1"/>
    <col min="16121" max="16121" width="14.08984375" style="122" customWidth="1"/>
    <col min="16122" max="16122" width="13.90625" style="122" customWidth="1"/>
    <col min="16123" max="16124" width="12.81640625" style="122" customWidth="1"/>
    <col min="16125" max="16125" width="13.54296875" style="122" customWidth="1"/>
    <col min="16126" max="16126" width="15.36328125" style="122" customWidth="1"/>
    <col min="16127" max="16127" width="12.81640625" style="122" customWidth="1"/>
    <col min="16128" max="16128" width="13.90625" style="122" customWidth="1"/>
    <col min="16129" max="16129" width="1.90625" style="122" customWidth="1"/>
    <col min="16130" max="16130" width="13" style="122" customWidth="1"/>
    <col min="16131" max="16370" width="8.90625" style="122"/>
    <col min="16371" max="16384" width="8.90625" style="122" customWidth="1"/>
  </cols>
  <sheetData>
    <row r="1" spans="1:51">
      <c r="I1" s="73" t="s">
        <v>306</v>
      </c>
    </row>
    <row r="2" spans="1:51">
      <c r="I2" s="73" t="s">
        <v>350</v>
      </c>
    </row>
    <row r="3" spans="1:51">
      <c r="I3" s="364" t="s">
        <v>197</v>
      </c>
    </row>
    <row r="4" spans="1:51">
      <c r="I4" s="261" t="str">
        <f>"For the 12 months ended: "&amp;TEXT(INPUT!B1,"mm/dd/yyyy")</f>
        <v>For the 12 months ended: 12/31/2018</v>
      </c>
    </row>
    <row r="5" spans="1:51">
      <c r="C5" s="100"/>
    </row>
    <row r="6" spans="1:51">
      <c r="A6" s="198" t="s">
        <v>263</v>
      </c>
      <c r="B6" s="249"/>
      <c r="C6" s="249"/>
      <c r="D6" s="198"/>
      <c r="E6" s="198"/>
      <c r="F6" s="198"/>
      <c r="G6" s="249"/>
      <c r="H6" s="198"/>
      <c r="I6" s="198"/>
      <c r="J6" s="98"/>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row>
    <row r="7" spans="1:51">
      <c r="A7" s="199" t="s">
        <v>307</v>
      </c>
      <c r="B7" s="249"/>
      <c r="C7" s="249"/>
      <c r="D7" s="200"/>
      <c r="E7" s="200"/>
      <c r="F7" s="200"/>
      <c r="G7" s="249"/>
      <c r="H7" s="200"/>
      <c r="I7" s="200"/>
      <c r="J7" s="98"/>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row>
    <row r="8" spans="1:51">
      <c r="A8" s="200"/>
      <c r="B8" s="249"/>
      <c r="C8" s="249"/>
      <c r="D8" s="200"/>
      <c r="E8" s="200"/>
      <c r="F8" s="200"/>
      <c r="G8" s="249"/>
      <c r="H8" s="200"/>
      <c r="I8" s="200"/>
      <c r="J8" s="98"/>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row>
    <row r="9" spans="1:51">
      <c r="A9" s="374" t="str">
        <f>DEO!A11</f>
        <v>DUKE ENERGY OHIO (DEO)</v>
      </c>
      <c r="B9" s="249"/>
      <c r="C9" s="249"/>
      <c r="D9" s="200"/>
      <c r="E9" s="200"/>
      <c r="F9" s="200"/>
      <c r="G9" s="249"/>
      <c r="H9" s="252"/>
      <c r="I9" s="200"/>
      <c r="J9" s="98"/>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row>
    <row r="10" spans="1:51">
      <c r="A10" s="318" t="s">
        <v>305</v>
      </c>
      <c r="B10" s="249"/>
      <c r="C10" s="249"/>
      <c r="D10" s="200"/>
      <c r="E10" s="200"/>
      <c r="F10" s="200"/>
      <c r="G10" s="249"/>
      <c r="H10" s="252"/>
      <c r="I10" s="200"/>
      <c r="J10" s="98"/>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row>
    <row r="11" spans="1:51">
      <c r="A11" s="363"/>
      <c r="B11" s="249"/>
      <c r="C11" s="200"/>
      <c r="D11" s="200"/>
      <c r="E11" s="200"/>
      <c r="F11" s="200"/>
      <c r="G11" s="252"/>
      <c r="H11" s="200"/>
      <c r="I11" s="200"/>
      <c r="J11" s="98"/>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row>
    <row r="12" spans="1:51">
      <c r="A12" s="200" t="s">
        <v>516</v>
      </c>
      <c r="B12" s="249"/>
      <c r="C12" s="249"/>
      <c r="D12" s="200"/>
      <c r="E12" s="200"/>
      <c r="F12" s="200"/>
      <c r="G12" s="252"/>
      <c r="H12" s="200"/>
      <c r="I12" s="200"/>
      <c r="J12" s="98"/>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row>
    <row r="13" spans="1:51">
      <c r="A13" s="126"/>
      <c r="C13" s="98"/>
      <c r="D13" s="98"/>
      <c r="E13" s="98"/>
      <c r="F13" s="98"/>
      <c r="G13" s="127"/>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row>
    <row r="14" spans="1:51">
      <c r="A14" s="126"/>
      <c r="C14" s="98"/>
      <c r="D14" s="98"/>
      <c r="E14" s="98"/>
      <c r="F14" s="98"/>
      <c r="G14" s="98"/>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row>
    <row r="15" spans="1:51">
      <c r="C15" s="96" t="s">
        <v>18</v>
      </c>
      <c r="D15" s="96"/>
      <c r="E15" s="96" t="s">
        <v>19</v>
      </c>
      <c r="F15" s="96"/>
      <c r="G15" s="96" t="s">
        <v>20</v>
      </c>
      <c r="I15" s="128" t="s">
        <v>21</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row>
    <row r="16" spans="1:51" ht="15.6">
      <c r="C16" s="95"/>
      <c r="D16" s="95"/>
      <c r="I16" s="133"/>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row>
    <row r="17" spans="1:59">
      <c r="A17" s="328" t="s">
        <v>8</v>
      </c>
      <c r="B17" s="125"/>
      <c r="C17" s="95"/>
      <c r="D17" s="95"/>
      <c r="E17" s="137" t="s">
        <v>306</v>
      </c>
      <c r="F17" s="137"/>
      <c r="G17" s="99"/>
      <c r="H17" s="125"/>
      <c r="I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row>
    <row r="18" spans="1:59">
      <c r="A18" s="359" t="s">
        <v>10</v>
      </c>
      <c r="B18" s="360"/>
      <c r="C18" s="361"/>
      <c r="D18" s="361"/>
      <c r="E18" s="362" t="s">
        <v>25</v>
      </c>
      <c r="F18" s="362"/>
      <c r="G18" s="359" t="s">
        <v>24</v>
      </c>
      <c r="H18" s="360"/>
      <c r="I18" s="359" t="s">
        <v>13</v>
      </c>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row>
    <row r="19" spans="1:59" ht="15.6">
      <c r="A19" s="135"/>
      <c r="C19" s="95" t="s">
        <v>347</v>
      </c>
      <c r="D19" s="95"/>
      <c r="E19" s="99"/>
      <c r="F19" s="99"/>
      <c r="G19" s="99"/>
      <c r="I19" s="99"/>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row>
    <row r="20" spans="1:59">
      <c r="A20" s="136">
        <v>1</v>
      </c>
      <c r="C20" s="95" t="s">
        <v>220</v>
      </c>
      <c r="D20" s="95"/>
      <c r="E20" s="554" t="s">
        <v>709</v>
      </c>
      <c r="F20" s="137"/>
      <c r="G20" s="138">
        <f>DEO!J54</f>
        <v>939500769</v>
      </c>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row>
    <row r="21" spans="1:59">
      <c r="A21" s="136">
        <v>2</v>
      </c>
      <c r="C21" s="95" t="s">
        <v>221</v>
      </c>
      <c r="D21" s="95"/>
      <c r="E21" s="554" t="s">
        <v>710</v>
      </c>
      <c r="F21" s="137"/>
      <c r="G21" s="138">
        <f>DEO!J70</f>
        <v>722205213</v>
      </c>
      <c r="I21" s="99"/>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row>
    <row r="22" spans="1:59">
      <c r="A22" s="136"/>
      <c r="E22" s="554"/>
      <c r="F22" s="137"/>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row>
    <row r="23" spans="1:59">
      <c r="A23" s="136"/>
      <c r="C23" s="95" t="s">
        <v>198</v>
      </c>
      <c r="D23" s="95"/>
      <c r="E23" s="554"/>
      <c r="F23" s="137"/>
      <c r="G23" s="99"/>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row>
    <row r="24" spans="1:59">
      <c r="A24" s="136">
        <v>3</v>
      </c>
      <c r="C24" s="95" t="s">
        <v>222</v>
      </c>
      <c r="D24" s="95"/>
      <c r="E24" s="554" t="s">
        <v>708</v>
      </c>
      <c r="F24" s="137"/>
      <c r="G24" s="138">
        <f>DEO!J126</f>
        <v>16334261</v>
      </c>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row>
    <row r="25" spans="1:59">
      <c r="A25" s="136">
        <v>4</v>
      </c>
      <c r="C25" s="95" t="s">
        <v>223</v>
      </c>
      <c r="D25" s="95"/>
      <c r="E25" s="554" t="s">
        <v>715</v>
      </c>
      <c r="F25" s="137"/>
      <c r="G25" s="139">
        <f>ROUND(IF(G24=0,0,G24/G20),4)</f>
        <v>1.7399999999999999E-2</v>
      </c>
      <c r="I25" s="140">
        <f>G25</f>
        <v>1.7399999999999999E-2</v>
      </c>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row>
    <row r="26" spans="1:59">
      <c r="A26" s="136"/>
      <c r="E26" s="554"/>
      <c r="F26" s="137"/>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row>
    <row r="27" spans="1:59" ht="30">
      <c r="A27" s="149"/>
      <c r="C27" s="632" t="s">
        <v>604</v>
      </c>
      <c r="D27" s="95"/>
      <c r="E27" s="552"/>
      <c r="F27" s="137"/>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row>
    <row r="28" spans="1:59">
      <c r="A28" s="149" t="s">
        <v>224</v>
      </c>
      <c r="C28" s="95" t="s">
        <v>605</v>
      </c>
      <c r="D28" s="95"/>
      <c r="E28" s="554" t="s">
        <v>567</v>
      </c>
      <c r="F28" s="137"/>
      <c r="G28" s="138">
        <f>DEO!J130+DEO!J131</f>
        <v>4327472</v>
      </c>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row>
    <row r="29" spans="1:59" ht="30">
      <c r="A29" s="633" t="s">
        <v>225</v>
      </c>
      <c r="C29" s="632" t="s">
        <v>606</v>
      </c>
      <c r="D29" s="95"/>
      <c r="E29" s="634" t="s">
        <v>712</v>
      </c>
      <c r="F29" s="634"/>
      <c r="G29" s="635">
        <f>ROUND(IF(G28=0,0,G28/G20),4)</f>
        <v>4.5999999999999999E-3</v>
      </c>
      <c r="H29" s="636"/>
      <c r="I29" s="637">
        <f>G29</f>
        <v>4.5999999999999999E-3</v>
      </c>
      <c r="K29" s="129"/>
      <c r="L29" s="130"/>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row>
    <row r="30" spans="1:59">
      <c r="A30" s="136"/>
      <c r="E30" s="554"/>
      <c r="F30" s="137"/>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row>
    <row r="31" spans="1:59">
      <c r="A31" s="143"/>
      <c r="C31" s="95" t="s">
        <v>201</v>
      </c>
      <c r="D31" s="95"/>
      <c r="E31" s="552"/>
      <c r="F31" s="101"/>
      <c r="G31" s="99"/>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row>
    <row r="32" spans="1:59">
      <c r="A32" s="143" t="s">
        <v>227</v>
      </c>
      <c r="C32" s="95" t="s">
        <v>203</v>
      </c>
      <c r="D32" s="95"/>
      <c r="E32" s="554" t="s">
        <v>707</v>
      </c>
      <c r="F32" s="137"/>
      <c r="G32" s="138">
        <f>DEO!J143</f>
        <v>34879299</v>
      </c>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row>
    <row r="33" spans="1:51">
      <c r="A33" s="143" t="s">
        <v>229</v>
      </c>
      <c r="C33" s="95" t="s">
        <v>226</v>
      </c>
      <c r="D33" s="95"/>
      <c r="E33" s="554" t="s">
        <v>713</v>
      </c>
      <c r="F33" s="137"/>
      <c r="G33" s="139">
        <f>ROUND(IF(G32=0,0,G32/G20),4)</f>
        <v>3.7100000000000001E-2</v>
      </c>
      <c r="I33" s="140">
        <f>G33</f>
        <v>3.7100000000000001E-2</v>
      </c>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row>
    <row r="34" spans="1:51">
      <c r="A34" s="143"/>
      <c r="C34" s="95"/>
      <c r="D34" s="95"/>
      <c r="E34" s="554"/>
      <c r="F34" s="137"/>
      <c r="G34" s="99"/>
      <c r="I34" s="99"/>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row>
    <row r="35" spans="1:51" ht="15.6">
      <c r="A35" s="145" t="s">
        <v>199</v>
      </c>
      <c r="B35" s="146"/>
      <c r="C35" s="134" t="s">
        <v>228</v>
      </c>
      <c r="D35" s="134"/>
      <c r="E35" s="553" t="s">
        <v>415</v>
      </c>
      <c r="F35" s="131"/>
      <c r="G35" s="147"/>
      <c r="I35" s="148">
        <f>I25+I29+I33</f>
        <v>5.91E-2</v>
      </c>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row>
    <row r="36" spans="1:51">
      <c r="A36" s="324"/>
      <c r="C36" s="95"/>
      <c r="D36" s="95"/>
      <c r="E36" s="554"/>
      <c r="F36" s="137"/>
      <c r="G36" s="99"/>
      <c r="I36" s="99"/>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row>
    <row r="37" spans="1:51">
      <c r="A37" s="149"/>
      <c r="B37" s="150"/>
      <c r="C37" s="99" t="s">
        <v>205</v>
      </c>
      <c r="D37" s="99"/>
      <c r="E37" s="554"/>
      <c r="F37" s="137"/>
      <c r="G37" s="99"/>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row>
    <row r="38" spans="1:51">
      <c r="A38" s="143" t="s">
        <v>200</v>
      </c>
      <c r="B38" s="150"/>
      <c r="C38" s="99" t="s">
        <v>127</v>
      </c>
      <c r="D38" s="99"/>
      <c r="E38" s="554" t="s">
        <v>706</v>
      </c>
      <c r="F38" s="137"/>
      <c r="G38" s="138">
        <f>DEO!J156</f>
        <v>9972071</v>
      </c>
      <c r="I38" s="99"/>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row>
    <row r="39" spans="1:51">
      <c r="A39" s="143" t="s">
        <v>202</v>
      </c>
      <c r="B39" s="150"/>
      <c r="C39" s="99" t="s">
        <v>230</v>
      </c>
      <c r="D39" s="99"/>
      <c r="E39" s="554" t="s">
        <v>714</v>
      </c>
      <c r="F39" s="137"/>
      <c r="G39" s="139">
        <f>ROUND(IF(G38=0,0,G38/G21),4)</f>
        <v>1.38E-2</v>
      </c>
      <c r="I39" s="140">
        <f>G39</f>
        <v>1.38E-2</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row>
    <row r="40" spans="1:51">
      <c r="A40" s="143"/>
      <c r="C40" s="99"/>
      <c r="D40" s="99"/>
      <c r="E40" s="554"/>
      <c r="F40" s="137"/>
      <c r="G40" s="99"/>
      <c r="I40" s="99"/>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row>
    <row r="41" spans="1:51">
      <c r="A41" s="143"/>
      <c r="C41" s="95" t="s">
        <v>59</v>
      </c>
      <c r="D41" s="95"/>
      <c r="E41" s="555"/>
      <c r="F41" s="151"/>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row>
    <row r="42" spans="1:51">
      <c r="A42" s="143" t="s">
        <v>204</v>
      </c>
      <c r="C42" s="95" t="s">
        <v>206</v>
      </c>
      <c r="D42" s="95"/>
      <c r="E42" s="554" t="s">
        <v>705</v>
      </c>
      <c r="F42" s="137"/>
      <c r="G42" s="138">
        <f>DEO!J158</f>
        <v>50947169</v>
      </c>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row>
    <row r="43" spans="1:51">
      <c r="A43" s="143" t="s">
        <v>270</v>
      </c>
      <c r="B43" s="150"/>
      <c r="C43" s="99" t="s">
        <v>231</v>
      </c>
      <c r="D43" s="99"/>
      <c r="E43" s="554" t="s">
        <v>711</v>
      </c>
      <c r="F43" s="137"/>
      <c r="G43" s="152">
        <f>ROUND(IF(G42=0,0,G42/G21),4)</f>
        <v>7.0499999999999993E-2</v>
      </c>
      <c r="I43" s="140">
        <f>G43</f>
        <v>7.0499999999999993E-2</v>
      </c>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row>
    <row r="44" spans="1:51">
      <c r="A44" s="143"/>
      <c r="C44" s="95"/>
      <c r="D44" s="95"/>
      <c r="E44" s="554"/>
      <c r="F44" s="137"/>
      <c r="G44" s="99"/>
      <c r="I44" s="99"/>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row>
    <row r="45" spans="1:51" ht="15.6">
      <c r="A45" s="145" t="s">
        <v>271</v>
      </c>
      <c r="B45" s="146"/>
      <c r="C45" s="134" t="s">
        <v>232</v>
      </c>
      <c r="D45" s="134"/>
      <c r="E45" s="553" t="s">
        <v>349</v>
      </c>
      <c r="F45" s="131"/>
      <c r="G45" s="147"/>
      <c r="I45" s="148">
        <f>I39+I43</f>
        <v>8.4299999999999986E-2</v>
      </c>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row>
    <row r="46" spans="1:51">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row>
    <row r="47" spans="1:51">
      <c r="A47" s="155"/>
      <c r="B47" s="125"/>
      <c r="C47" s="149"/>
      <c r="D47" s="149"/>
      <c r="E47" s="101"/>
      <c r="F47" s="101"/>
      <c r="G47" s="99"/>
      <c r="H47" s="94"/>
      <c r="I47" s="94"/>
      <c r="J47" s="139"/>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row>
    <row r="48" spans="1:51">
      <c r="A48" s="126"/>
      <c r="C48" s="94"/>
      <c r="D48" s="94"/>
      <c r="E48" s="94"/>
      <c r="F48" s="94"/>
      <c r="G48" s="99"/>
      <c r="H48" s="94"/>
      <c r="I48" s="94"/>
      <c r="J48" s="94"/>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row>
    <row r="49" spans="11:51">
      <c r="X49" s="73" t="s">
        <v>306</v>
      </c>
    </row>
    <row r="50" spans="11:51">
      <c r="X50" s="73" t="s">
        <v>350</v>
      </c>
    </row>
    <row r="51" spans="11:51">
      <c r="X51" s="156" t="s">
        <v>207</v>
      </c>
    </row>
    <row r="52" spans="11:51">
      <c r="K52" s="126"/>
      <c r="M52" s="94"/>
      <c r="N52" s="94"/>
      <c r="O52" s="94"/>
      <c r="P52" s="94"/>
      <c r="Q52" s="99"/>
      <c r="R52" s="94"/>
      <c r="S52" s="94"/>
      <c r="T52" s="94"/>
      <c r="U52" s="94"/>
      <c r="W52" s="99"/>
      <c r="X52" s="156" t="str">
        <f>I4</f>
        <v>For the 12 months ended: 12/31/2018</v>
      </c>
      <c r="Y52" s="129"/>
      <c r="Z52" s="123"/>
      <c r="AA52" s="129"/>
      <c r="AB52" s="130"/>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row>
    <row r="53" spans="11:51">
      <c r="K53" s="126"/>
      <c r="M53" s="95"/>
      <c r="N53" s="94"/>
      <c r="O53" s="94"/>
      <c r="P53" s="94"/>
      <c r="Q53" s="99"/>
      <c r="R53" s="94"/>
      <c r="S53" s="94"/>
      <c r="T53" s="94"/>
      <c r="U53" s="94"/>
      <c r="W53" s="99"/>
      <c r="Y53" s="129"/>
      <c r="Z53" s="123"/>
      <c r="AA53" s="129"/>
      <c r="AB53" s="130"/>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row>
    <row r="54" spans="11:51">
      <c r="K54" s="201" t="str">
        <f>A6</f>
        <v>Rate Formula Template</v>
      </c>
      <c r="L54" s="249"/>
      <c r="M54" s="249"/>
      <c r="N54" s="200"/>
      <c r="O54" s="201"/>
      <c r="P54" s="201"/>
      <c r="Q54" s="249"/>
      <c r="R54" s="201"/>
      <c r="S54" s="201"/>
      <c r="T54" s="201"/>
      <c r="U54" s="201"/>
      <c r="V54" s="249"/>
      <c r="W54" s="199"/>
      <c r="X54" s="249"/>
      <c r="Y54" s="129"/>
      <c r="Z54" s="123"/>
      <c r="AA54" s="129"/>
      <c r="AB54" s="130"/>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row>
    <row r="55" spans="11:51">
      <c r="K55" s="201" t="str">
        <f>A7</f>
        <v>Utilizing Attachment H-22A Data</v>
      </c>
      <c r="L55" s="249"/>
      <c r="M55" s="200"/>
      <c r="N55" s="200"/>
      <c r="O55" s="201"/>
      <c r="P55" s="201"/>
      <c r="Q55" s="249"/>
      <c r="R55" s="201"/>
      <c r="S55" s="201"/>
      <c r="T55" s="201"/>
      <c r="U55" s="201"/>
      <c r="V55" s="199"/>
      <c r="W55" s="199"/>
      <c r="X55" s="249"/>
      <c r="Y55" s="129"/>
      <c r="Z55" s="123"/>
      <c r="AA55" s="129"/>
      <c r="AB55" s="130"/>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row>
    <row r="56" spans="11:51" ht="14.25" customHeight="1">
      <c r="K56" s="248"/>
      <c r="M56" s="94"/>
      <c r="N56" s="94"/>
      <c r="O56" s="94"/>
      <c r="P56" s="94"/>
      <c r="R56" s="201"/>
      <c r="S56" s="94"/>
      <c r="T56" s="94"/>
      <c r="U56" s="94"/>
      <c r="W56" s="99"/>
      <c r="X56" s="94"/>
      <c r="Y56" s="129"/>
      <c r="Z56" s="123"/>
      <c r="AA56" s="129"/>
      <c r="AB56" s="130"/>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row>
    <row r="57" spans="11:51">
      <c r="K57" s="201" t="str">
        <f>A9</f>
        <v>DUKE ENERGY OHIO (DEO)</v>
      </c>
      <c r="L57" s="249"/>
      <c r="M57" s="249"/>
      <c r="N57" s="249"/>
      <c r="O57" s="201"/>
      <c r="P57" s="201"/>
      <c r="Q57" s="249"/>
      <c r="R57" s="201"/>
      <c r="S57" s="201"/>
      <c r="T57" s="201"/>
      <c r="U57" s="201"/>
      <c r="V57" s="201"/>
      <c r="W57" s="199"/>
      <c r="X57" s="199"/>
      <c r="Y57" s="129"/>
      <c r="Z57" s="123"/>
      <c r="AA57" s="129"/>
      <c r="AB57" s="130"/>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row>
    <row r="58" spans="11:51">
      <c r="K58" s="201" t="str">
        <f>A10</f>
        <v>RTEP - Transmission Enhancement Charges</v>
      </c>
      <c r="L58" s="249"/>
      <c r="M58" s="249"/>
      <c r="N58" s="249"/>
      <c r="O58" s="201"/>
      <c r="P58" s="201"/>
      <c r="Q58" s="249"/>
      <c r="R58" s="201"/>
      <c r="S58" s="201"/>
      <c r="T58" s="201"/>
      <c r="U58" s="201"/>
      <c r="V58" s="201"/>
      <c r="W58" s="199"/>
      <c r="X58" s="199"/>
      <c r="Y58" s="129"/>
      <c r="Z58" s="123"/>
      <c r="AA58" s="129"/>
      <c r="AB58" s="130"/>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row>
    <row r="59" spans="11:51">
      <c r="K59" s="126"/>
      <c r="O59" s="95"/>
      <c r="P59" s="95"/>
      <c r="Q59" s="95"/>
      <c r="R59" s="95"/>
      <c r="S59" s="95"/>
      <c r="T59" s="95"/>
      <c r="U59" s="95"/>
      <c r="V59" s="95"/>
      <c r="W59" s="95"/>
      <c r="X59" s="95"/>
      <c r="Y59" s="129"/>
      <c r="Z59" s="123"/>
      <c r="AA59" s="129"/>
      <c r="AB59" s="130"/>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row>
    <row r="60" spans="11:51" ht="15.6">
      <c r="K60" s="250" t="s">
        <v>279</v>
      </c>
      <c r="L60" s="249"/>
      <c r="M60" s="201"/>
      <c r="N60" s="201"/>
      <c r="O60" s="249"/>
      <c r="P60" s="250"/>
      <c r="Q60" s="249"/>
      <c r="R60" s="200"/>
      <c r="S60" s="200"/>
      <c r="T60" s="200"/>
      <c r="U60" s="200"/>
      <c r="V60" s="200"/>
      <c r="W60" s="199"/>
      <c r="X60" s="199"/>
      <c r="Y60" s="129"/>
      <c r="Z60" s="123"/>
      <c r="AA60" s="129"/>
      <c r="AB60" s="130"/>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row>
    <row r="61" spans="11:51" ht="15.6">
      <c r="K61" s="126"/>
      <c r="M61" s="94"/>
      <c r="N61" s="94"/>
      <c r="O61" s="134"/>
      <c r="P61" s="134"/>
      <c r="R61" s="98"/>
      <c r="S61" s="98"/>
      <c r="T61" s="98"/>
      <c r="U61" s="98"/>
      <c r="V61" s="98"/>
      <c r="W61" s="99"/>
      <c r="X61" s="99"/>
      <c r="Y61" s="129"/>
      <c r="Z61" s="123"/>
      <c r="AA61" s="129"/>
      <c r="AB61" s="130"/>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row>
    <row r="62" spans="11:51" ht="15.6">
      <c r="K62" s="126"/>
      <c r="M62" s="157">
        <v>-1</v>
      </c>
      <c r="N62" s="157">
        <v>-2</v>
      </c>
      <c r="O62" s="157">
        <v>-3</v>
      </c>
      <c r="P62" s="157">
        <v>-4</v>
      </c>
      <c r="Q62" s="157">
        <v>-5</v>
      </c>
      <c r="R62" s="157">
        <v>-6</v>
      </c>
      <c r="S62" s="157">
        <v>-7</v>
      </c>
      <c r="T62" s="157">
        <v>-8</v>
      </c>
      <c r="U62" s="157">
        <v>-9</v>
      </c>
      <c r="V62" s="157">
        <v>-10</v>
      </c>
      <c r="W62" s="157">
        <v>-11</v>
      </c>
      <c r="X62" s="157">
        <v>-12</v>
      </c>
      <c r="Y62" s="129"/>
      <c r="Z62" s="123"/>
      <c r="AA62" s="129"/>
      <c r="AB62" s="130"/>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row>
    <row r="63" spans="11:51" ht="62.4">
      <c r="K63" s="158" t="s">
        <v>233</v>
      </c>
      <c r="L63" s="159"/>
      <c r="M63" s="159" t="s">
        <v>212</v>
      </c>
      <c r="N63" s="160" t="s">
        <v>348</v>
      </c>
      <c r="O63" s="161" t="s">
        <v>235</v>
      </c>
      <c r="P63" s="161" t="s">
        <v>228</v>
      </c>
      <c r="Q63" s="162" t="s">
        <v>236</v>
      </c>
      <c r="R63" s="161" t="s">
        <v>237</v>
      </c>
      <c r="S63" s="161" t="s">
        <v>232</v>
      </c>
      <c r="T63" s="162" t="s">
        <v>238</v>
      </c>
      <c r="U63" s="161" t="s">
        <v>239</v>
      </c>
      <c r="V63" s="163" t="s">
        <v>240</v>
      </c>
      <c r="W63" s="164" t="s">
        <v>241</v>
      </c>
      <c r="X63" s="163" t="s">
        <v>242</v>
      </c>
      <c r="Y63" s="142"/>
      <c r="Z63" s="123"/>
      <c r="AA63" s="129"/>
      <c r="AB63" s="130"/>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row>
    <row r="64" spans="11:51" ht="46.5" customHeight="1">
      <c r="K64" s="165"/>
      <c r="L64" s="166"/>
      <c r="M64" s="166"/>
      <c r="N64" s="166"/>
      <c r="O64" s="167" t="s">
        <v>16</v>
      </c>
      <c r="P64" s="556" t="s">
        <v>767</v>
      </c>
      <c r="Q64" s="168" t="s">
        <v>243</v>
      </c>
      <c r="R64" s="556" t="s">
        <v>17</v>
      </c>
      <c r="S64" s="556" t="s">
        <v>768</v>
      </c>
      <c r="T64" s="168" t="s">
        <v>244</v>
      </c>
      <c r="U64" s="556" t="s">
        <v>245</v>
      </c>
      <c r="V64" s="168" t="s">
        <v>246</v>
      </c>
      <c r="W64" s="169" t="s">
        <v>208</v>
      </c>
      <c r="X64" s="170" t="s">
        <v>247</v>
      </c>
      <c r="Y64" s="129"/>
      <c r="Z64" s="123"/>
      <c r="AA64" s="129"/>
      <c r="AB64" s="130"/>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row>
    <row r="65" spans="11:51">
      <c r="K65" s="171"/>
      <c r="L65" s="98"/>
      <c r="M65" s="98"/>
      <c r="N65" s="98"/>
      <c r="O65" s="98"/>
      <c r="P65" s="98"/>
      <c r="Q65" s="172"/>
      <c r="R65" s="98"/>
      <c r="S65" s="98"/>
      <c r="T65" s="172"/>
      <c r="U65" s="98"/>
      <c r="V65" s="172"/>
      <c r="W65" s="99"/>
      <c r="X65" s="173"/>
      <c r="Y65" s="129"/>
      <c r="Z65" s="123"/>
      <c r="AA65" s="129"/>
      <c r="AB65" s="130"/>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row>
    <row r="66" spans="11:51">
      <c r="K66" s="576" t="s">
        <v>1</v>
      </c>
      <c r="L66" s="577"/>
      <c r="M66" s="578"/>
      <c r="N66" s="579"/>
      <c r="O66" s="580">
        <v>0</v>
      </c>
      <c r="P66" s="581">
        <f>$I$35</f>
        <v>5.91E-2</v>
      </c>
      <c r="Q66" s="1108">
        <f>ROUND(O66*P66,0)</f>
        <v>0</v>
      </c>
      <c r="R66" s="175">
        <v>0</v>
      </c>
      <c r="S66" s="140">
        <f>$I$45</f>
        <v>8.4299999999999986E-2</v>
      </c>
      <c r="T66" s="1108">
        <f>ROUND(R66*S66,0)</f>
        <v>0</v>
      </c>
      <c r="U66" s="1109">
        <v>0</v>
      </c>
      <c r="V66" s="1108">
        <f>Q66+T66+U66</f>
        <v>0</v>
      </c>
      <c r="W66" s="177">
        <v>0</v>
      </c>
      <c r="X66" s="1108">
        <f>V66+W66</f>
        <v>0</v>
      </c>
      <c r="Y66" s="178"/>
      <c r="Z66" s="178"/>
      <c r="AA66" s="178"/>
      <c r="AB66" s="178"/>
      <c r="AC66" s="178"/>
      <c r="AD66" s="178"/>
      <c r="AE66" s="178"/>
    </row>
    <row r="67" spans="11:51">
      <c r="K67" s="576" t="s">
        <v>250</v>
      </c>
      <c r="L67" s="577"/>
      <c r="M67" s="577"/>
      <c r="N67" s="577"/>
      <c r="O67" s="580">
        <v>0</v>
      </c>
      <c r="P67" s="581">
        <f>$I$35</f>
        <v>5.91E-2</v>
      </c>
      <c r="Q67" s="1108">
        <f t="shared" ref="Q67:Q68" si="0">ROUND(O67*P67,0)</f>
        <v>0</v>
      </c>
      <c r="R67" s="175">
        <v>0</v>
      </c>
      <c r="S67" s="140">
        <f>$I$45</f>
        <v>8.4299999999999986E-2</v>
      </c>
      <c r="T67" s="1108">
        <f t="shared" ref="T67:T68" si="1">ROUND(R67*S67,0)</f>
        <v>0</v>
      </c>
      <c r="U67" s="1109">
        <v>0</v>
      </c>
      <c r="V67" s="1108">
        <f>Q67+T67+U67</f>
        <v>0</v>
      </c>
      <c r="W67" s="177">
        <v>0</v>
      </c>
      <c r="X67" s="1108">
        <f>V67+W67</f>
        <v>0</v>
      </c>
      <c r="Y67" s="178"/>
      <c r="Z67" s="178"/>
      <c r="AA67" s="178"/>
      <c r="AB67" s="178"/>
      <c r="AC67" s="178"/>
      <c r="AD67" s="178"/>
      <c r="AE67" s="178"/>
    </row>
    <row r="68" spans="11:51">
      <c r="K68" s="576" t="s">
        <v>253</v>
      </c>
      <c r="L68" s="577"/>
      <c r="M68" s="577"/>
      <c r="N68" s="577"/>
      <c r="O68" s="580">
        <v>0</v>
      </c>
      <c r="P68" s="581">
        <f>$I$35</f>
        <v>5.91E-2</v>
      </c>
      <c r="Q68" s="1108">
        <f t="shared" si="0"/>
        <v>0</v>
      </c>
      <c r="R68" s="175">
        <v>0</v>
      </c>
      <c r="S68" s="140">
        <f>$I$45</f>
        <v>8.4299999999999986E-2</v>
      </c>
      <c r="T68" s="1108">
        <f t="shared" si="1"/>
        <v>0</v>
      </c>
      <c r="U68" s="1109">
        <v>0</v>
      </c>
      <c r="V68" s="1108">
        <f>Q68+T68+U68</f>
        <v>0</v>
      </c>
      <c r="W68" s="175">
        <v>0</v>
      </c>
      <c r="X68" s="1108">
        <f>V68+W68</f>
        <v>0</v>
      </c>
      <c r="Y68" s="178"/>
      <c r="Z68" s="178"/>
      <c r="AA68" s="178"/>
      <c r="AB68" s="178"/>
      <c r="AC68" s="178"/>
      <c r="AD68" s="178"/>
      <c r="AE68" s="178"/>
    </row>
    <row r="69" spans="11:51">
      <c r="K69" s="174"/>
      <c r="Q69" s="176"/>
      <c r="T69" s="176"/>
      <c r="V69" s="176"/>
      <c r="X69" s="176"/>
      <c r="Y69" s="178"/>
      <c r="Z69" s="178"/>
      <c r="AA69" s="178"/>
      <c r="AB69" s="178"/>
      <c r="AC69" s="178"/>
      <c r="AD69" s="178"/>
      <c r="AE69" s="178"/>
    </row>
    <row r="70" spans="11:51">
      <c r="K70" s="174"/>
      <c r="Q70" s="176"/>
      <c r="T70" s="176"/>
      <c r="V70" s="176"/>
      <c r="X70" s="176"/>
      <c r="Y70" s="178"/>
      <c r="Z70" s="178"/>
      <c r="AA70" s="178"/>
      <c r="AB70" s="178"/>
      <c r="AC70" s="178"/>
      <c r="AD70" s="178"/>
      <c r="AE70" s="178"/>
    </row>
    <row r="71" spans="11:51">
      <c r="K71" s="174"/>
      <c r="Q71" s="176"/>
      <c r="T71" s="176"/>
      <c r="V71" s="176"/>
      <c r="X71" s="176"/>
      <c r="Y71" s="178"/>
      <c r="Z71" s="178"/>
      <c r="AA71" s="178"/>
      <c r="AB71" s="178"/>
      <c r="AC71" s="178"/>
      <c r="AD71" s="178"/>
      <c r="AE71" s="178"/>
    </row>
    <row r="72" spans="11:51">
      <c r="K72" s="174"/>
      <c r="Q72" s="176"/>
      <c r="T72" s="176"/>
      <c r="V72" s="176"/>
      <c r="X72" s="176"/>
      <c r="Y72" s="178"/>
      <c r="Z72" s="178"/>
      <c r="AA72" s="178"/>
      <c r="AB72" s="178"/>
      <c r="AC72" s="178"/>
      <c r="AD72" s="178"/>
      <c r="AE72" s="178"/>
    </row>
    <row r="73" spans="11:51">
      <c r="K73" s="174"/>
      <c r="Q73" s="176"/>
      <c r="T73" s="176"/>
      <c r="V73" s="176"/>
      <c r="X73" s="176"/>
      <c r="Y73" s="178"/>
      <c r="Z73" s="178"/>
      <c r="AA73" s="178"/>
      <c r="AB73" s="178"/>
      <c r="AC73" s="178"/>
      <c r="AD73" s="178"/>
      <c r="AE73" s="178"/>
    </row>
    <row r="74" spans="11:51">
      <c r="K74" s="174"/>
      <c r="M74" s="178"/>
      <c r="N74" s="178"/>
      <c r="O74" s="178"/>
      <c r="P74" s="178"/>
      <c r="Q74" s="179"/>
      <c r="R74" s="178"/>
      <c r="S74" s="178"/>
      <c r="T74" s="179"/>
      <c r="U74" s="178"/>
      <c r="V74" s="179"/>
      <c r="W74" s="178"/>
      <c r="X74" s="179"/>
      <c r="Y74" s="178"/>
      <c r="Z74" s="178"/>
      <c r="AA74" s="178"/>
      <c r="AB74" s="178"/>
      <c r="AC74" s="178"/>
      <c r="AD74" s="178"/>
      <c r="AE74" s="178"/>
    </row>
    <row r="75" spans="11:51">
      <c r="K75" s="174"/>
      <c r="M75" s="178"/>
      <c r="N75" s="178"/>
      <c r="O75" s="178"/>
      <c r="P75" s="178"/>
      <c r="Q75" s="179"/>
      <c r="R75" s="178"/>
      <c r="S75" s="178"/>
      <c r="T75" s="179"/>
      <c r="U75" s="178"/>
      <c r="V75" s="179"/>
      <c r="W75" s="178"/>
      <c r="X75" s="179"/>
      <c r="Y75" s="178"/>
      <c r="Z75" s="178"/>
      <c r="AA75" s="178"/>
      <c r="AB75" s="178"/>
      <c r="AC75" s="178"/>
      <c r="AD75" s="178"/>
      <c r="AE75" s="178"/>
    </row>
    <row r="76" spans="11:51">
      <c r="K76" s="174"/>
      <c r="M76" s="178"/>
      <c r="N76" s="178"/>
      <c r="O76" s="178"/>
      <c r="P76" s="178"/>
      <c r="Q76" s="179"/>
      <c r="R76" s="178"/>
      <c r="S76" s="178"/>
      <c r="T76" s="179"/>
      <c r="U76" s="178"/>
      <c r="V76" s="179"/>
      <c r="W76" s="178"/>
      <c r="X76" s="179"/>
      <c r="Y76" s="178"/>
      <c r="Z76" s="178"/>
      <c r="AA76" s="178"/>
      <c r="AB76" s="178"/>
      <c r="AC76" s="178"/>
      <c r="AD76" s="178"/>
      <c r="AE76" s="178"/>
    </row>
    <row r="77" spans="11:51">
      <c r="K77" s="174"/>
      <c r="M77" s="178"/>
      <c r="N77" s="178"/>
      <c r="O77" s="178"/>
      <c r="P77" s="178"/>
      <c r="Q77" s="179"/>
      <c r="R77" s="178"/>
      <c r="S77" s="178"/>
      <c r="T77" s="179"/>
      <c r="U77" s="178"/>
      <c r="V77" s="179"/>
      <c r="W77" s="178"/>
      <c r="X77" s="179"/>
      <c r="Y77" s="178"/>
      <c r="Z77" s="178"/>
      <c r="AA77" s="178"/>
      <c r="AB77" s="178"/>
      <c r="AC77" s="178"/>
      <c r="AD77" s="178"/>
      <c r="AE77" s="178"/>
    </row>
    <row r="78" spans="11:51">
      <c r="K78" s="174"/>
      <c r="M78" s="178"/>
      <c r="N78" s="178"/>
      <c r="O78" s="178"/>
      <c r="P78" s="178"/>
      <c r="Q78" s="179"/>
      <c r="R78" s="178"/>
      <c r="S78" s="178"/>
      <c r="T78" s="179"/>
      <c r="U78" s="178"/>
      <c r="V78" s="179"/>
      <c r="W78" s="178"/>
      <c r="X78" s="179"/>
      <c r="Y78" s="178"/>
      <c r="Z78" s="178"/>
      <c r="AA78" s="178"/>
      <c r="AB78" s="178"/>
      <c r="AC78" s="178"/>
      <c r="AD78" s="178"/>
      <c r="AE78" s="178"/>
    </row>
    <row r="79" spans="11:51">
      <c r="K79" s="174"/>
      <c r="M79" s="178"/>
      <c r="N79" s="178"/>
      <c r="O79" s="178"/>
      <c r="P79" s="178"/>
      <c r="Q79" s="179"/>
      <c r="R79" s="178"/>
      <c r="S79" s="178"/>
      <c r="T79" s="179"/>
      <c r="U79" s="178"/>
      <c r="V79" s="179"/>
      <c r="W79" s="178"/>
      <c r="X79" s="179"/>
      <c r="Y79" s="178"/>
      <c r="Z79" s="178"/>
      <c r="AA79" s="178"/>
      <c r="AB79" s="178"/>
      <c r="AC79" s="178"/>
      <c r="AD79" s="178"/>
      <c r="AE79" s="178"/>
    </row>
    <row r="80" spans="11:51">
      <c r="K80" s="174"/>
      <c r="M80" s="178"/>
      <c r="N80" s="178"/>
      <c r="O80" s="178"/>
      <c r="P80" s="178"/>
      <c r="Q80" s="179"/>
      <c r="R80" s="178"/>
      <c r="S80" s="178"/>
      <c r="T80" s="179"/>
      <c r="U80" s="178"/>
      <c r="V80" s="179"/>
      <c r="W80" s="178"/>
      <c r="X80" s="179"/>
      <c r="Y80" s="178"/>
      <c r="Z80" s="178"/>
      <c r="AA80" s="178"/>
      <c r="AB80" s="178"/>
      <c r="AC80" s="178"/>
      <c r="AD80" s="178"/>
      <c r="AE80" s="178"/>
    </row>
    <row r="81" spans="11:31">
      <c r="K81" s="174"/>
      <c r="M81" s="178"/>
      <c r="N81" s="178"/>
      <c r="O81" s="178"/>
      <c r="P81" s="178"/>
      <c r="Q81" s="179"/>
      <c r="R81" s="178"/>
      <c r="S81" s="178"/>
      <c r="T81" s="179"/>
      <c r="U81" s="178"/>
      <c r="V81" s="179"/>
      <c r="W81" s="178"/>
      <c r="X81" s="179"/>
      <c r="Y81" s="178"/>
      <c r="Z81" s="178"/>
      <c r="AA81" s="178"/>
      <c r="AB81" s="178"/>
      <c r="AC81" s="178"/>
      <c r="AD81" s="178"/>
      <c r="AE81" s="178"/>
    </row>
    <row r="82" spans="11:31">
      <c r="K82" s="174"/>
      <c r="M82" s="178"/>
      <c r="N82" s="178"/>
      <c r="O82" s="178"/>
      <c r="P82" s="178"/>
      <c r="Q82" s="179"/>
      <c r="R82" s="178"/>
      <c r="S82" s="178"/>
      <c r="T82" s="179"/>
      <c r="U82" s="178"/>
      <c r="V82" s="179"/>
      <c r="W82" s="178"/>
      <c r="X82" s="179"/>
      <c r="Y82" s="178"/>
      <c r="Z82" s="178"/>
      <c r="AA82" s="178"/>
      <c r="AB82" s="178"/>
      <c r="AC82" s="178"/>
      <c r="AD82" s="178"/>
      <c r="AE82" s="178"/>
    </row>
    <row r="83" spans="11:31">
      <c r="K83" s="174"/>
      <c r="M83" s="178"/>
      <c r="N83" s="178"/>
      <c r="O83" s="178"/>
      <c r="P83" s="178"/>
      <c r="Q83" s="179"/>
      <c r="R83" s="178"/>
      <c r="S83" s="178"/>
      <c r="T83" s="179"/>
      <c r="U83" s="178"/>
      <c r="V83" s="179"/>
      <c r="W83" s="178"/>
      <c r="X83" s="179"/>
      <c r="Y83" s="178"/>
      <c r="Z83" s="178"/>
      <c r="AA83" s="178"/>
      <c r="AB83" s="178"/>
      <c r="AC83" s="178"/>
      <c r="AD83" s="178"/>
      <c r="AE83" s="178"/>
    </row>
    <row r="84" spans="11:31">
      <c r="K84" s="174"/>
      <c r="M84" s="178"/>
      <c r="N84" s="178"/>
      <c r="O84" s="178"/>
      <c r="P84" s="178"/>
      <c r="Q84" s="179"/>
      <c r="R84" s="178"/>
      <c r="S84" s="178"/>
      <c r="T84" s="179"/>
      <c r="U84" s="178"/>
      <c r="V84" s="179"/>
      <c r="W84" s="178"/>
      <c r="X84" s="179"/>
      <c r="Y84" s="178"/>
      <c r="Z84" s="178"/>
      <c r="AA84" s="178"/>
      <c r="AB84" s="178"/>
      <c r="AC84" s="178"/>
      <c r="AD84" s="178"/>
      <c r="AE84" s="178"/>
    </row>
    <row r="85" spans="11:31">
      <c r="K85" s="180"/>
      <c r="L85" s="181"/>
      <c r="M85" s="182"/>
      <c r="N85" s="182"/>
      <c r="O85" s="182"/>
      <c r="P85" s="182"/>
      <c r="Q85" s="183"/>
      <c r="R85" s="182"/>
      <c r="S85" s="182"/>
      <c r="T85" s="183"/>
      <c r="U85" s="182"/>
      <c r="V85" s="183"/>
      <c r="W85" s="182"/>
      <c r="X85" s="183"/>
      <c r="Y85" s="178"/>
      <c r="Z85" s="178"/>
      <c r="AA85" s="178"/>
      <c r="AB85" s="178"/>
      <c r="AC85" s="178"/>
      <c r="AD85" s="178"/>
      <c r="AE85" s="178"/>
    </row>
    <row r="86" spans="11:31">
      <c r="K86" s="128" t="s">
        <v>256</v>
      </c>
      <c r="L86" s="150"/>
      <c r="M86" s="95" t="s">
        <v>257</v>
      </c>
      <c r="N86" s="95"/>
      <c r="O86" s="101"/>
      <c r="P86" s="101"/>
      <c r="Q86" s="99"/>
      <c r="R86" s="99"/>
      <c r="S86" s="99"/>
      <c r="T86" s="99"/>
      <c r="U86" s="99"/>
      <c r="V86" s="989">
        <f>SUM(V66:V85)</f>
        <v>0</v>
      </c>
      <c r="W86" s="989">
        <f>SUM(W66:W85)</f>
        <v>0</v>
      </c>
      <c r="X86" s="989">
        <f>SUM(X66:X85)</f>
        <v>0</v>
      </c>
      <c r="Y86" s="178"/>
      <c r="Z86" s="178"/>
      <c r="AA86" s="178"/>
      <c r="AB86" s="178"/>
      <c r="AC86" s="178"/>
      <c r="AD86" s="178"/>
      <c r="AE86" s="178"/>
    </row>
    <row r="87" spans="11:31">
      <c r="K87" s="89"/>
      <c r="L87" s="178"/>
      <c r="M87" s="178"/>
      <c r="N87" s="178"/>
      <c r="O87" s="178"/>
      <c r="P87" s="178"/>
      <c r="Q87" s="178"/>
      <c r="R87" s="178"/>
      <c r="S87" s="178"/>
      <c r="T87" s="178"/>
      <c r="U87" s="178"/>
      <c r="V87" s="1107"/>
      <c r="W87" s="1107"/>
      <c r="X87" s="1107"/>
      <c r="Y87" s="178"/>
      <c r="Z87" s="178"/>
      <c r="AA87" s="178"/>
      <c r="AB87" s="178"/>
      <c r="AC87" s="178"/>
      <c r="AD87" s="178"/>
      <c r="AE87" s="178"/>
    </row>
    <row r="88" spans="11:31">
      <c r="K88" s="184">
        <v>3</v>
      </c>
      <c r="L88" s="178"/>
      <c r="M88" s="560" t="s">
        <v>566</v>
      </c>
      <c r="N88" s="178"/>
      <c r="O88" s="178"/>
      <c r="P88" s="178"/>
      <c r="Q88" s="178"/>
      <c r="R88" s="178"/>
      <c r="S88" s="178"/>
      <c r="T88" s="178"/>
      <c r="U88" s="178"/>
      <c r="V88" s="989"/>
      <c r="W88" s="1107"/>
      <c r="X88" s="989">
        <f>X86</f>
        <v>0</v>
      </c>
      <c r="Y88" s="178"/>
      <c r="Z88" s="178"/>
      <c r="AA88" s="178"/>
      <c r="AB88" s="178"/>
      <c r="AC88" s="178"/>
      <c r="AD88" s="178"/>
      <c r="AE88" s="178"/>
    </row>
    <row r="89" spans="11:31">
      <c r="K89" s="178"/>
      <c r="L89" s="178"/>
      <c r="M89" s="178"/>
      <c r="N89" s="178"/>
      <c r="O89" s="178"/>
      <c r="P89" s="178"/>
      <c r="Q89" s="178"/>
      <c r="R89" s="178"/>
      <c r="S89" s="178"/>
      <c r="T89" s="178"/>
      <c r="U89" s="178"/>
      <c r="V89" s="178"/>
      <c r="W89" s="178"/>
      <c r="X89" s="178"/>
      <c r="Y89" s="178"/>
      <c r="Z89" s="178"/>
      <c r="AA89" s="178"/>
      <c r="AB89" s="178"/>
      <c r="AC89" s="178"/>
      <c r="AD89" s="178"/>
      <c r="AE89" s="178"/>
    </row>
    <row r="90" spans="11:31">
      <c r="K90" s="178"/>
      <c r="L90" s="178"/>
      <c r="M90" s="178"/>
      <c r="N90" s="178"/>
      <c r="O90" s="178"/>
      <c r="P90" s="178"/>
      <c r="Q90" s="178"/>
      <c r="R90" s="178"/>
      <c r="S90" s="178"/>
      <c r="T90" s="178"/>
      <c r="U90" s="178"/>
      <c r="V90" s="178"/>
      <c r="W90" s="178"/>
      <c r="X90" s="178"/>
      <c r="Y90" s="178"/>
      <c r="Z90" s="178"/>
      <c r="AA90" s="178"/>
      <c r="AB90" s="178"/>
      <c r="AC90" s="178"/>
      <c r="AD90" s="178"/>
      <c r="AE90" s="178"/>
    </row>
    <row r="91" spans="11:31">
      <c r="K91" s="552" t="s">
        <v>94</v>
      </c>
      <c r="L91" s="178"/>
      <c r="M91" s="178"/>
      <c r="N91" s="178"/>
      <c r="O91" s="178"/>
      <c r="P91" s="178"/>
      <c r="Q91" s="178"/>
      <c r="R91" s="178"/>
      <c r="S91" s="178"/>
      <c r="T91" s="178"/>
      <c r="U91" s="178"/>
      <c r="V91" s="178"/>
      <c r="W91" s="178"/>
      <c r="X91" s="178"/>
      <c r="Y91" s="178"/>
      <c r="Z91" s="178"/>
      <c r="AA91" s="178"/>
      <c r="AB91" s="178"/>
      <c r="AC91" s="178"/>
      <c r="AD91" s="178"/>
      <c r="AE91" s="178"/>
    </row>
    <row r="92" spans="11:31" ht="15.6" thickBot="1">
      <c r="K92" s="970" t="s">
        <v>95</v>
      </c>
      <c r="L92" s="178"/>
      <c r="M92" s="178"/>
      <c r="N92" s="178"/>
      <c r="O92" s="178"/>
      <c r="P92" s="178"/>
      <c r="Q92" s="178"/>
      <c r="R92" s="178"/>
      <c r="S92" s="178"/>
      <c r="T92" s="178"/>
      <c r="U92" s="178"/>
      <c r="V92" s="178"/>
      <c r="W92" s="178"/>
      <c r="X92" s="178"/>
      <c r="Y92" s="178"/>
      <c r="Z92" s="178"/>
      <c r="AA92" s="178"/>
      <c r="AB92" s="178"/>
      <c r="AC92" s="178"/>
      <c r="AD92" s="178"/>
      <c r="AE92" s="178"/>
    </row>
    <row r="93" spans="11:31">
      <c r="K93" s="185" t="s">
        <v>96</v>
      </c>
      <c r="L93" s="97"/>
      <c r="M93" s="1189" t="s">
        <v>608</v>
      </c>
      <c r="N93" s="1190"/>
      <c r="O93" s="1190"/>
      <c r="P93" s="1190"/>
      <c r="Q93" s="1190"/>
      <c r="R93" s="1190"/>
      <c r="S93" s="1190"/>
      <c r="T93" s="1190"/>
      <c r="U93" s="1190"/>
      <c r="V93" s="1190"/>
      <c r="W93" s="1190"/>
      <c r="X93" s="1190"/>
      <c r="Y93" s="178"/>
      <c r="Z93" s="178"/>
      <c r="AA93" s="178"/>
      <c r="AB93" s="178"/>
      <c r="AC93" s="178"/>
      <c r="AD93" s="178"/>
      <c r="AE93" s="178"/>
    </row>
    <row r="94" spans="11:31">
      <c r="K94" s="185" t="s">
        <v>97</v>
      </c>
      <c r="L94" s="97"/>
      <c r="M94" s="1189" t="s">
        <v>609</v>
      </c>
      <c r="N94" s="1190"/>
      <c r="O94" s="1190"/>
      <c r="P94" s="1190"/>
      <c r="Q94" s="1190"/>
      <c r="R94" s="1190"/>
      <c r="S94" s="1190"/>
      <c r="T94" s="1190"/>
      <c r="U94" s="1190"/>
      <c r="V94" s="1190"/>
      <c r="W94" s="1190"/>
      <c r="X94" s="1190"/>
      <c r="Y94" s="178"/>
      <c r="Z94" s="178"/>
      <c r="AA94" s="178"/>
      <c r="AB94" s="178"/>
      <c r="AC94" s="178"/>
      <c r="AD94" s="178"/>
      <c r="AE94" s="178"/>
    </row>
    <row r="95" spans="11:31" ht="27.75" customHeight="1">
      <c r="K95" s="186" t="s">
        <v>98</v>
      </c>
      <c r="L95" s="97"/>
      <c r="M95" s="1191" t="s">
        <v>258</v>
      </c>
      <c r="N95" s="1191"/>
      <c r="O95" s="1191"/>
      <c r="P95" s="1191"/>
      <c r="Q95" s="1191"/>
      <c r="R95" s="1191"/>
      <c r="S95" s="1191"/>
      <c r="T95" s="1191"/>
      <c r="U95" s="1191"/>
      <c r="V95" s="1191"/>
      <c r="W95" s="1191"/>
      <c r="X95" s="1191"/>
      <c r="Y95" s="178"/>
      <c r="Z95" s="178"/>
      <c r="AA95" s="178"/>
      <c r="AB95" s="178"/>
      <c r="AC95" s="178"/>
      <c r="AD95" s="178"/>
      <c r="AE95" s="178"/>
    </row>
    <row r="96" spans="11:31" ht="15" customHeight="1">
      <c r="K96" s="186" t="s">
        <v>99</v>
      </c>
      <c r="L96" s="97"/>
      <c r="M96" s="1191" t="s">
        <v>259</v>
      </c>
      <c r="N96" s="1191"/>
      <c r="O96" s="1191"/>
      <c r="P96" s="1191"/>
      <c r="Q96" s="1191"/>
      <c r="R96" s="1191"/>
      <c r="S96" s="1191"/>
      <c r="T96" s="1191"/>
      <c r="U96" s="1191"/>
      <c r="V96" s="1191"/>
      <c r="W96" s="1191"/>
      <c r="X96" s="1191"/>
      <c r="Y96" s="178"/>
      <c r="Z96" s="178"/>
      <c r="AA96" s="178"/>
      <c r="AB96" s="178"/>
      <c r="AC96" s="178"/>
      <c r="AD96" s="178"/>
      <c r="AE96" s="178"/>
    </row>
    <row r="97" spans="1:31">
      <c r="K97" s="185" t="s">
        <v>100</v>
      </c>
      <c r="L97" s="97"/>
      <c r="M97" s="1190" t="s">
        <v>322</v>
      </c>
      <c r="N97" s="1190"/>
      <c r="O97" s="1190"/>
      <c r="P97" s="1190"/>
      <c r="Q97" s="1190"/>
      <c r="R97" s="1190"/>
      <c r="S97" s="1190"/>
      <c r="T97" s="1190"/>
      <c r="U97" s="1190"/>
      <c r="V97" s="1190"/>
      <c r="W97" s="1190"/>
      <c r="X97" s="1190"/>
      <c r="Y97" s="178"/>
      <c r="Z97" s="178"/>
      <c r="AA97" s="178"/>
      <c r="AB97" s="178"/>
      <c r="AC97" s="178"/>
      <c r="AD97" s="178"/>
      <c r="AE97" s="178"/>
    </row>
    <row r="98" spans="1:31">
      <c r="K98" s="185" t="s">
        <v>101</v>
      </c>
      <c r="L98" s="97"/>
      <c r="M98" s="1190" t="s">
        <v>260</v>
      </c>
      <c r="N98" s="1190"/>
      <c r="O98" s="1190"/>
      <c r="P98" s="1190"/>
      <c r="Q98" s="1190"/>
      <c r="R98" s="1190"/>
      <c r="S98" s="1190"/>
      <c r="T98" s="1190"/>
      <c r="U98" s="1190"/>
      <c r="V98" s="1190"/>
      <c r="W98" s="1190"/>
      <c r="X98" s="1190"/>
      <c r="Y98" s="178"/>
      <c r="Z98" s="178"/>
      <c r="AA98" s="178"/>
      <c r="AB98" s="178"/>
      <c r="AC98" s="178"/>
      <c r="AD98" s="178"/>
      <c r="AE98" s="178"/>
    </row>
    <row r="99" spans="1:31">
      <c r="K99" s="185" t="s">
        <v>102</v>
      </c>
      <c r="L99" s="97"/>
      <c r="M99" s="1189" t="s">
        <v>565</v>
      </c>
      <c r="N99" s="1190"/>
      <c r="O99" s="1190"/>
      <c r="P99" s="1190"/>
      <c r="Q99" s="1190"/>
      <c r="R99" s="1190"/>
      <c r="S99" s="1190"/>
      <c r="T99" s="1190"/>
      <c r="U99" s="1190"/>
      <c r="V99" s="1190"/>
      <c r="W99" s="1190"/>
      <c r="X99" s="1190"/>
      <c r="Y99" s="178"/>
      <c r="Z99" s="178"/>
      <c r="AA99" s="178"/>
      <c r="AB99" s="178"/>
      <c r="AC99" s="178"/>
      <c r="AD99" s="178"/>
      <c r="AE99" s="178"/>
    </row>
    <row r="100" spans="1:31">
      <c r="K100" s="358" t="s">
        <v>104</v>
      </c>
      <c r="L100" s="125"/>
      <c r="M100" s="1189" t="s">
        <v>346</v>
      </c>
      <c r="N100" s="1189"/>
      <c r="O100" s="1189"/>
      <c r="P100" s="1189"/>
      <c r="Q100" s="1189"/>
      <c r="R100" s="1189"/>
      <c r="S100" s="1189"/>
      <c r="T100" s="1189"/>
      <c r="U100" s="1189"/>
      <c r="V100" s="1189"/>
      <c r="W100" s="1189"/>
      <c r="X100" s="1189"/>
      <c r="Y100" s="178"/>
      <c r="Z100" s="178"/>
      <c r="AA100" s="178"/>
      <c r="AB100" s="178"/>
      <c r="AC100" s="178"/>
      <c r="AD100" s="178"/>
      <c r="AE100" s="178"/>
    </row>
    <row r="101" spans="1:31" ht="15.6">
      <c r="K101" s="153"/>
      <c r="L101" s="187"/>
      <c r="M101" s="188"/>
      <c r="N101" s="149"/>
      <c r="O101" s="101"/>
      <c r="P101" s="101"/>
      <c r="Q101" s="99"/>
      <c r="R101" s="94"/>
      <c r="S101" s="94"/>
      <c r="T101" s="139"/>
      <c r="U101" s="94"/>
      <c r="W101" s="99"/>
      <c r="X101" s="154"/>
      <c r="Y101" s="178"/>
      <c r="Z101" s="178"/>
      <c r="AA101" s="178"/>
      <c r="AB101" s="178"/>
      <c r="AC101" s="178"/>
      <c r="AD101" s="178"/>
      <c r="AE101" s="178"/>
    </row>
    <row r="102" spans="1:31" ht="15.6">
      <c r="A102" s="153"/>
      <c r="B102" s="187"/>
      <c r="C102" s="188"/>
      <c r="D102" s="149"/>
      <c r="E102" s="101"/>
      <c r="F102" s="101"/>
      <c r="G102" s="99"/>
      <c r="H102" s="94"/>
      <c r="I102" s="94"/>
      <c r="J102" s="139"/>
    </row>
    <row r="103" spans="1:31">
      <c r="C103" s="178"/>
      <c r="D103" s="178"/>
      <c r="E103" s="178"/>
      <c r="F103" s="178"/>
      <c r="G103" s="178"/>
      <c r="H103" s="178"/>
      <c r="I103" s="178"/>
      <c r="J103" s="178"/>
    </row>
    <row r="104" spans="1:31">
      <c r="C104" s="178"/>
      <c r="D104" s="178"/>
      <c r="E104" s="178"/>
      <c r="F104" s="178"/>
      <c r="G104" s="178"/>
      <c r="H104" s="178"/>
      <c r="I104" s="178"/>
      <c r="J104" s="178"/>
    </row>
    <row r="105" spans="1:31">
      <c r="C105" s="178"/>
      <c r="D105" s="178"/>
      <c r="E105" s="178"/>
      <c r="F105" s="178"/>
      <c r="G105" s="178"/>
      <c r="H105" s="178"/>
      <c r="I105" s="178"/>
      <c r="J105" s="178"/>
    </row>
    <row r="106" spans="1:31">
      <c r="C106" s="178"/>
      <c r="D106" s="178"/>
      <c r="E106" s="178"/>
      <c r="F106" s="178"/>
      <c r="G106" s="178"/>
      <c r="H106" s="178"/>
      <c r="I106" s="178"/>
      <c r="J106" s="178"/>
    </row>
    <row r="107" spans="1:31">
      <c r="C107" s="178"/>
      <c r="D107" s="178"/>
      <c r="E107" s="178"/>
      <c r="F107" s="178"/>
      <c r="G107" s="178"/>
      <c r="H107" s="178"/>
      <c r="I107" s="178"/>
      <c r="J107" s="178"/>
    </row>
    <row r="108" spans="1:31">
      <c r="C108" s="178"/>
      <c r="D108" s="178"/>
      <c r="E108" s="178"/>
      <c r="F108" s="178"/>
      <c r="G108" s="178"/>
      <c r="H108" s="178"/>
      <c r="I108" s="178"/>
      <c r="J108" s="178"/>
    </row>
    <row r="109" spans="1:31">
      <c r="C109" s="178"/>
      <c r="D109" s="178"/>
      <c r="E109" s="178"/>
      <c r="F109" s="178"/>
      <c r="G109" s="178"/>
      <c r="H109" s="178"/>
      <c r="I109" s="178"/>
      <c r="J109" s="178"/>
    </row>
    <row r="110" spans="1:31">
      <c r="C110" s="178"/>
      <c r="D110" s="178"/>
      <c r="E110" s="178"/>
      <c r="F110" s="178"/>
      <c r="G110" s="178"/>
      <c r="H110" s="178"/>
      <c r="I110" s="178"/>
      <c r="J110" s="178"/>
    </row>
    <row r="111" spans="1:31">
      <c r="C111" s="178"/>
      <c r="D111" s="178"/>
      <c r="E111" s="178"/>
      <c r="F111" s="178"/>
      <c r="G111" s="178"/>
      <c r="H111" s="178"/>
      <c r="I111" s="178"/>
      <c r="J111" s="178"/>
    </row>
    <row r="112" spans="1:31">
      <c r="C112" s="178"/>
      <c r="D112" s="178"/>
      <c r="E112" s="178"/>
      <c r="F112" s="178"/>
      <c r="G112" s="178"/>
      <c r="H112" s="178"/>
      <c r="I112" s="178"/>
      <c r="J112" s="178"/>
    </row>
    <row r="113" spans="3:10">
      <c r="C113" s="178"/>
      <c r="D113" s="178"/>
      <c r="E113" s="178"/>
      <c r="F113" s="178"/>
      <c r="G113" s="178"/>
      <c r="H113" s="178"/>
      <c r="I113" s="178"/>
      <c r="J113" s="178"/>
    </row>
    <row r="114" spans="3:10">
      <c r="C114" s="178"/>
      <c r="D114" s="178"/>
      <c r="E114" s="178"/>
      <c r="F114" s="178"/>
      <c r="G114" s="178"/>
      <c r="H114" s="178"/>
      <c r="I114" s="178"/>
      <c r="J114" s="178"/>
    </row>
    <row r="115" spans="3:10">
      <c r="C115" s="178"/>
      <c r="D115" s="178"/>
      <c r="E115" s="178"/>
      <c r="F115" s="178"/>
      <c r="G115" s="178"/>
      <c r="H115" s="178"/>
      <c r="I115" s="178"/>
      <c r="J115" s="178"/>
    </row>
    <row r="116" spans="3:10">
      <c r="C116" s="178"/>
      <c r="D116" s="178"/>
      <c r="E116" s="178"/>
      <c r="F116" s="178"/>
      <c r="G116" s="178"/>
      <c r="H116" s="178"/>
      <c r="I116" s="178"/>
      <c r="J116" s="178"/>
    </row>
    <row r="117" spans="3:10">
      <c r="C117" s="178"/>
      <c r="D117" s="178"/>
      <c r="E117" s="178"/>
      <c r="F117" s="178"/>
      <c r="G117" s="178"/>
      <c r="H117" s="178"/>
      <c r="I117" s="178"/>
      <c r="J117" s="178"/>
    </row>
    <row r="118" spans="3:10">
      <c r="C118" s="178"/>
      <c r="D118" s="178"/>
      <c r="E118" s="178"/>
      <c r="F118" s="178"/>
      <c r="G118" s="178"/>
      <c r="H118" s="178"/>
      <c r="I118" s="178"/>
      <c r="J118" s="178"/>
    </row>
    <row r="119" spans="3:10">
      <c r="C119" s="178"/>
      <c r="D119" s="178"/>
      <c r="E119" s="178"/>
      <c r="F119" s="178"/>
      <c r="G119" s="178"/>
      <c r="H119" s="178"/>
      <c r="I119" s="178"/>
      <c r="J119" s="178"/>
    </row>
    <row r="120" spans="3:10">
      <c r="C120" s="178"/>
      <c r="D120" s="178"/>
      <c r="E120" s="178"/>
      <c r="F120" s="178"/>
      <c r="G120" s="178"/>
      <c r="H120" s="178"/>
      <c r="I120" s="178"/>
      <c r="J120" s="178"/>
    </row>
    <row r="121" spans="3:10">
      <c r="C121" s="178"/>
      <c r="D121" s="178"/>
      <c r="E121" s="178"/>
      <c r="F121" s="178"/>
      <c r="G121" s="178"/>
      <c r="H121" s="178"/>
      <c r="I121" s="178"/>
      <c r="J121" s="178"/>
    </row>
    <row r="122" spans="3:10">
      <c r="C122" s="178"/>
      <c r="D122" s="178"/>
      <c r="E122" s="178"/>
      <c r="F122" s="178"/>
      <c r="G122" s="178"/>
      <c r="H122" s="178"/>
      <c r="I122" s="178"/>
      <c r="J122" s="178"/>
    </row>
    <row r="123" spans="3:10">
      <c r="C123" s="178"/>
      <c r="D123" s="178"/>
      <c r="E123" s="178"/>
      <c r="F123" s="178"/>
      <c r="G123" s="178"/>
      <c r="H123" s="178"/>
      <c r="I123" s="178"/>
      <c r="J123" s="178"/>
    </row>
    <row r="124" spans="3:10">
      <c r="C124" s="178"/>
      <c r="D124" s="178"/>
      <c r="E124" s="178"/>
      <c r="F124" s="178"/>
      <c r="G124" s="178"/>
      <c r="H124" s="178"/>
      <c r="I124" s="178"/>
      <c r="J124" s="178"/>
    </row>
    <row r="125" spans="3:10">
      <c r="C125" s="178"/>
      <c r="D125" s="178"/>
      <c r="E125" s="178"/>
      <c r="F125" s="178"/>
      <c r="G125" s="178"/>
      <c r="H125" s="178"/>
      <c r="I125" s="178"/>
      <c r="J125" s="178"/>
    </row>
    <row r="126" spans="3:10">
      <c r="C126" s="178"/>
      <c r="D126" s="178"/>
      <c r="E126" s="178"/>
      <c r="F126" s="178"/>
      <c r="G126" s="178"/>
      <c r="H126" s="178"/>
      <c r="I126" s="178"/>
      <c r="J126" s="178"/>
    </row>
    <row r="127" spans="3:10">
      <c r="C127" s="178"/>
      <c r="D127" s="178"/>
      <c r="E127" s="178"/>
      <c r="F127" s="178"/>
      <c r="G127" s="178"/>
      <c r="H127" s="178"/>
      <c r="I127" s="178"/>
      <c r="J127" s="178"/>
    </row>
    <row r="128" spans="3:10">
      <c r="C128" s="178"/>
      <c r="D128" s="178"/>
      <c r="E128" s="178"/>
      <c r="F128" s="178"/>
      <c r="G128" s="178"/>
      <c r="H128" s="178"/>
      <c r="I128" s="178"/>
      <c r="J128" s="178"/>
    </row>
    <row r="129" spans="3:10">
      <c r="C129" s="178"/>
      <c r="D129" s="178"/>
      <c r="E129" s="178"/>
      <c r="F129" s="178"/>
      <c r="G129" s="178"/>
      <c r="H129" s="178"/>
      <c r="I129" s="178"/>
      <c r="J129" s="178"/>
    </row>
    <row r="130" spans="3:10">
      <c r="C130" s="178"/>
      <c r="D130" s="178"/>
      <c r="E130" s="178"/>
      <c r="F130" s="178"/>
      <c r="G130" s="178"/>
      <c r="H130" s="178"/>
      <c r="I130" s="178"/>
      <c r="J130" s="178"/>
    </row>
    <row r="131" spans="3:10">
      <c r="C131" s="178"/>
      <c r="D131" s="178"/>
      <c r="E131" s="178"/>
      <c r="F131" s="178"/>
      <c r="G131" s="178"/>
      <c r="H131" s="178"/>
      <c r="I131" s="178"/>
      <c r="J131" s="178"/>
    </row>
    <row r="132" spans="3:10">
      <c r="C132" s="178"/>
      <c r="D132" s="178"/>
      <c r="E132" s="178"/>
      <c r="F132" s="178"/>
      <c r="G132" s="178"/>
      <c r="H132" s="178"/>
      <c r="I132" s="178"/>
      <c r="J132" s="178"/>
    </row>
    <row r="133" spans="3:10">
      <c r="C133" s="178"/>
      <c r="D133" s="178"/>
      <c r="E133" s="178"/>
      <c r="F133" s="178"/>
      <c r="G133" s="178"/>
      <c r="H133" s="178"/>
      <c r="I133" s="178"/>
      <c r="J133" s="178"/>
    </row>
    <row r="134" spans="3:10">
      <c r="C134" s="178"/>
      <c r="D134" s="178"/>
      <c r="E134" s="178"/>
      <c r="F134" s="178"/>
      <c r="G134" s="178"/>
      <c r="H134" s="178"/>
      <c r="I134" s="178"/>
      <c r="J134" s="178"/>
    </row>
    <row r="135" spans="3:10">
      <c r="C135" s="178"/>
      <c r="D135" s="178"/>
      <c r="E135" s="178"/>
      <c r="F135" s="178"/>
      <c r="G135" s="178"/>
      <c r="H135" s="178"/>
      <c r="I135" s="178"/>
      <c r="J135" s="178"/>
    </row>
    <row r="136" spans="3:10">
      <c r="C136" s="178"/>
      <c r="D136" s="178"/>
      <c r="E136" s="178"/>
      <c r="F136" s="178"/>
      <c r="G136" s="178"/>
      <c r="H136" s="178"/>
      <c r="I136" s="178"/>
      <c r="J136" s="178"/>
    </row>
    <row r="137" spans="3:10">
      <c r="C137" s="178"/>
      <c r="D137" s="178"/>
      <c r="E137" s="178"/>
      <c r="F137" s="178"/>
      <c r="G137" s="178"/>
      <c r="H137" s="178"/>
      <c r="I137" s="178"/>
      <c r="J137" s="178"/>
    </row>
    <row r="138" spans="3:10">
      <c r="C138" s="178"/>
      <c r="D138" s="178"/>
      <c r="E138" s="178"/>
      <c r="F138" s="178"/>
      <c r="G138" s="178"/>
      <c r="H138" s="178"/>
      <c r="I138" s="178"/>
      <c r="J138" s="178"/>
    </row>
    <row r="139" spans="3:10">
      <c r="C139" s="178"/>
      <c r="D139" s="178"/>
      <c r="E139" s="178"/>
      <c r="F139" s="178"/>
      <c r="G139" s="178"/>
      <c r="H139" s="178"/>
      <c r="I139" s="178"/>
      <c r="J139" s="178"/>
    </row>
    <row r="140" spans="3:10">
      <c r="C140" s="178"/>
      <c r="D140" s="178"/>
      <c r="E140" s="178"/>
      <c r="F140" s="178"/>
      <c r="G140" s="178"/>
      <c r="H140" s="178"/>
      <c r="I140" s="178"/>
      <c r="J140" s="178"/>
    </row>
    <row r="141" spans="3:10">
      <c r="C141" s="178"/>
      <c r="D141" s="178"/>
      <c r="E141" s="178"/>
      <c r="F141" s="178"/>
      <c r="G141" s="178"/>
      <c r="H141" s="178"/>
      <c r="I141" s="178"/>
      <c r="J141" s="178"/>
    </row>
    <row r="142" spans="3:10">
      <c r="C142" s="178"/>
      <c r="D142" s="178"/>
      <c r="E142" s="178"/>
      <c r="F142" s="178"/>
      <c r="G142" s="178"/>
      <c r="H142" s="178"/>
      <c r="I142" s="178"/>
      <c r="J142" s="178"/>
    </row>
    <row r="143" spans="3:10">
      <c r="C143" s="178"/>
      <c r="D143" s="178"/>
      <c r="E143" s="178"/>
      <c r="F143" s="178"/>
      <c r="G143" s="178"/>
      <c r="H143" s="178"/>
      <c r="I143" s="178"/>
      <c r="J143" s="178"/>
    </row>
    <row r="144" spans="3:10">
      <c r="C144" s="178"/>
      <c r="D144" s="178"/>
      <c r="E144" s="178"/>
      <c r="F144" s="178"/>
      <c r="G144" s="178"/>
      <c r="H144" s="178"/>
      <c r="I144" s="178"/>
      <c r="J144" s="178"/>
    </row>
    <row r="145" spans="3:10">
      <c r="C145" s="178"/>
      <c r="D145" s="178"/>
      <c r="E145" s="178"/>
      <c r="F145" s="178"/>
      <c r="G145" s="178"/>
      <c r="H145" s="178"/>
      <c r="I145" s="178"/>
      <c r="J145" s="178"/>
    </row>
    <row r="146" spans="3:10">
      <c r="C146" s="178"/>
      <c r="D146" s="178"/>
      <c r="E146" s="178"/>
      <c r="F146" s="178"/>
      <c r="G146" s="178"/>
      <c r="H146" s="178"/>
      <c r="I146" s="178"/>
      <c r="J146" s="178"/>
    </row>
    <row r="147" spans="3:10">
      <c r="C147" s="178"/>
      <c r="D147" s="178"/>
      <c r="E147" s="178"/>
      <c r="F147" s="178"/>
      <c r="G147" s="178"/>
      <c r="H147" s="178"/>
      <c r="I147" s="178"/>
      <c r="J147" s="178"/>
    </row>
    <row r="148" spans="3:10">
      <c r="C148" s="178"/>
      <c r="D148" s="178"/>
      <c r="E148" s="178"/>
      <c r="F148" s="178"/>
      <c r="G148" s="178"/>
      <c r="H148" s="178"/>
      <c r="I148" s="178"/>
      <c r="J148" s="178"/>
    </row>
    <row r="149" spans="3:10">
      <c r="C149" s="178"/>
      <c r="D149" s="178"/>
      <c r="E149" s="178"/>
      <c r="F149" s="178"/>
      <c r="G149" s="178"/>
      <c r="H149" s="178"/>
      <c r="I149" s="178"/>
      <c r="J149" s="178"/>
    </row>
    <row r="150" spans="3:10">
      <c r="C150" s="178"/>
      <c r="D150" s="178"/>
      <c r="E150" s="178"/>
      <c r="F150" s="178"/>
      <c r="G150" s="178"/>
      <c r="H150" s="178"/>
      <c r="I150" s="178"/>
      <c r="J150" s="178"/>
    </row>
    <row r="151" spans="3:10">
      <c r="C151" s="178"/>
      <c r="D151" s="178"/>
      <c r="E151" s="178"/>
      <c r="F151" s="178"/>
      <c r="G151" s="178"/>
      <c r="H151" s="178"/>
      <c r="I151" s="178"/>
      <c r="J151" s="178"/>
    </row>
    <row r="152" spans="3:10">
      <c r="C152" s="178"/>
      <c r="D152" s="178"/>
      <c r="E152" s="178"/>
      <c r="F152" s="178"/>
      <c r="G152" s="178"/>
      <c r="H152" s="178"/>
      <c r="I152" s="178"/>
      <c r="J152" s="178"/>
    </row>
    <row r="153" spans="3:10">
      <c r="C153" s="178"/>
      <c r="D153" s="178"/>
      <c r="E153" s="178"/>
      <c r="F153" s="178"/>
      <c r="G153" s="178"/>
      <c r="H153" s="178"/>
      <c r="I153" s="178"/>
      <c r="J153" s="178"/>
    </row>
    <row r="154" spans="3:10">
      <c r="C154" s="178"/>
      <c r="D154" s="178"/>
      <c r="E154" s="178"/>
      <c r="F154" s="178"/>
      <c r="G154" s="178"/>
      <c r="H154" s="178"/>
      <c r="I154" s="178"/>
      <c r="J154" s="178"/>
    </row>
    <row r="155" spans="3:10">
      <c r="C155" s="178"/>
      <c r="D155" s="178"/>
      <c r="E155" s="178"/>
      <c r="F155" s="178"/>
      <c r="G155" s="178"/>
      <c r="H155" s="178"/>
      <c r="I155" s="178"/>
      <c r="J155" s="178"/>
    </row>
    <row r="156" spans="3:10">
      <c r="C156" s="178"/>
      <c r="D156" s="178"/>
      <c r="E156" s="178"/>
      <c r="F156" s="178"/>
      <c r="G156" s="178"/>
      <c r="H156" s="178"/>
      <c r="I156" s="178"/>
      <c r="J156" s="178"/>
    </row>
    <row r="157" spans="3:10">
      <c r="C157" s="178"/>
      <c r="D157" s="178"/>
      <c r="E157" s="178"/>
      <c r="F157" s="178"/>
      <c r="G157" s="178"/>
      <c r="H157" s="178"/>
      <c r="I157" s="178"/>
      <c r="J157" s="178"/>
    </row>
    <row r="158" spans="3:10">
      <c r="C158" s="178"/>
      <c r="D158" s="178"/>
      <c r="E158" s="178"/>
      <c r="F158" s="178"/>
      <c r="G158" s="178"/>
      <c r="H158" s="178"/>
      <c r="I158" s="178"/>
      <c r="J158" s="178"/>
    </row>
    <row r="159" spans="3:10">
      <c r="C159" s="178"/>
      <c r="D159" s="178"/>
      <c r="E159" s="178"/>
      <c r="F159" s="178"/>
      <c r="G159" s="178"/>
      <c r="H159" s="178"/>
      <c r="I159" s="178"/>
      <c r="J159" s="178"/>
    </row>
    <row r="160" spans="3:10">
      <c r="C160" s="178"/>
      <c r="D160" s="178"/>
      <c r="E160" s="178"/>
      <c r="F160" s="178"/>
      <c r="G160" s="178"/>
      <c r="H160" s="178"/>
      <c r="I160" s="178"/>
      <c r="J160" s="178"/>
    </row>
    <row r="161" spans="3:10">
      <c r="C161" s="178"/>
      <c r="D161" s="178"/>
      <c r="E161" s="178"/>
      <c r="F161" s="178"/>
      <c r="G161" s="178"/>
      <c r="H161" s="178"/>
      <c r="I161" s="178"/>
      <c r="J161" s="178"/>
    </row>
    <row r="162" spans="3:10">
      <c r="C162" s="178"/>
      <c r="D162" s="178"/>
      <c r="E162" s="178"/>
      <c r="F162" s="178"/>
      <c r="G162" s="178"/>
      <c r="H162" s="178"/>
      <c r="I162" s="178"/>
      <c r="J162" s="178"/>
    </row>
    <row r="163" spans="3:10">
      <c r="C163" s="178"/>
      <c r="D163" s="178"/>
      <c r="E163" s="178"/>
      <c r="F163" s="178"/>
      <c r="G163" s="178"/>
      <c r="H163" s="178"/>
      <c r="I163" s="178"/>
      <c r="J163" s="178"/>
    </row>
    <row r="164" spans="3:10">
      <c r="C164" s="178"/>
      <c r="D164" s="178"/>
      <c r="E164" s="178"/>
      <c r="F164" s="178"/>
      <c r="G164" s="178"/>
      <c r="H164" s="178"/>
      <c r="I164" s="178"/>
      <c r="J164" s="178"/>
    </row>
    <row r="165" spans="3:10">
      <c r="C165" s="178"/>
      <c r="D165" s="178"/>
      <c r="E165" s="178"/>
      <c r="F165" s="178"/>
      <c r="G165" s="178"/>
      <c r="H165" s="178"/>
      <c r="I165" s="178"/>
      <c r="J165" s="178"/>
    </row>
    <row r="166" spans="3:10">
      <c r="C166" s="178"/>
      <c r="D166" s="178"/>
      <c r="E166" s="178"/>
      <c r="F166" s="178"/>
      <c r="G166" s="178"/>
      <c r="H166" s="178"/>
      <c r="I166" s="178"/>
      <c r="J166" s="178"/>
    </row>
    <row r="167" spans="3:10">
      <c r="C167" s="178"/>
      <c r="D167" s="178"/>
      <c r="E167" s="178"/>
      <c r="F167" s="178"/>
      <c r="G167" s="178"/>
      <c r="H167" s="178"/>
      <c r="I167" s="178"/>
      <c r="J167" s="178"/>
    </row>
    <row r="168" spans="3:10">
      <c r="C168" s="178"/>
      <c r="D168" s="178"/>
      <c r="E168" s="178"/>
      <c r="F168" s="178"/>
      <c r="G168" s="178"/>
      <c r="H168" s="178"/>
      <c r="I168" s="178"/>
      <c r="J168" s="178"/>
    </row>
    <row r="169" spans="3:10">
      <c r="C169" s="178"/>
      <c r="D169" s="178"/>
      <c r="E169" s="178"/>
      <c r="F169" s="178"/>
      <c r="G169" s="178"/>
      <c r="H169" s="178"/>
      <c r="I169" s="178"/>
      <c r="J169" s="178"/>
    </row>
    <row r="170" spans="3:10">
      <c r="C170" s="178"/>
      <c r="D170" s="178"/>
      <c r="E170" s="178"/>
      <c r="F170" s="178"/>
      <c r="G170" s="178"/>
      <c r="H170" s="178"/>
      <c r="I170" s="178"/>
      <c r="J170" s="178"/>
    </row>
    <row r="171" spans="3:10">
      <c r="C171" s="178"/>
      <c r="D171" s="178"/>
      <c r="E171" s="178"/>
      <c r="F171" s="178"/>
      <c r="G171" s="178"/>
      <c r="H171" s="178"/>
      <c r="I171" s="178"/>
      <c r="J171" s="178"/>
    </row>
    <row r="172" spans="3:10">
      <c r="C172" s="178"/>
      <c r="D172" s="178"/>
      <c r="E172" s="178"/>
      <c r="F172" s="178"/>
      <c r="G172" s="178"/>
      <c r="H172" s="178"/>
      <c r="I172" s="178"/>
      <c r="J172" s="178"/>
    </row>
    <row r="173" spans="3:10">
      <c r="C173" s="178"/>
      <c r="D173" s="178"/>
      <c r="E173" s="178"/>
      <c r="F173" s="178"/>
      <c r="G173" s="178"/>
      <c r="H173" s="178"/>
      <c r="I173" s="178"/>
      <c r="J173" s="178"/>
    </row>
    <row r="174" spans="3:10">
      <c r="C174" s="178"/>
      <c r="D174" s="178"/>
      <c r="E174" s="178"/>
      <c r="F174" s="178"/>
      <c r="G174" s="178"/>
      <c r="H174" s="178"/>
      <c r="I174" s="178"/>
      <c r="J174" s="178"/>
    </row>
    <row r="175" spans="3:10">
      <c r="C175" s="178"/>
      <c r="D175" s="178"/>
      <c r="E175" s="178"/>
      <c r="F175" s="178"/>
      <c r="G175" s="178"/>
      <c r="H175" s="178"/>
      <c r="I175" s="178"/>
      <c r="J175" s="178"/>
    </row>
    <row r="176" spans="3:10">
      <c r="C176" s="178"/>
      <c r="D176" s="178"/>
      <c r="E176" s="178"/>
      <c r="F176" s="178"/>
      <c r="G176" s="178"/>
      <c r="H176" s="178"/>
      <c r="I176" s="178"/>
      <c r="J176" s="178"/>
    </row>
    <row r="177" spans="3:10">
      <c r="C177" s="178"/>
      <c r="D177" s="178"/>
      <c r="E177" s="178"/>
      <c r="F177" s="178"/>
      <c r="G177" s="178"/>
      <c r="H177" s="178"/>
      <c r="I177" s="178"/>
      <c r="J177" s="178"/>
    </row>
    <row r="178" spans="3:10">
      <c r="C178" s="178"/>
      <c r="D178" s="178"/>
      <c r="E178" s="178"/>
      <c r="F178" s="178"/>
      <c r="G178" s="178"/>
      <c r="H178" s="178"/>
      <c r="I178" s="178"/>
      <c r="J178" s="178"/>
    </row>
    <row r="179" spans="3:10">
      <c r="C179" s="178"/>
      <c r="D179" s="178"/>
      <c r="E179" s="178"/>
      <c r="F179" s="178"/>
      <c r="G179" s="178"/>
      <c r="H179" s="178"/>
      <c r="I179" s="178"/>
      <c r="J179" s="178"/>
    </row>
    <row r="180" spans="3:10">
      <c r="C180" s="178"/>
      <c r="D180" s="178"/>
      <c r="E180" s="178"/>
      <c r="F180" s="178"/>
      <c r="G180" s="178"/>
      <c r="H180" s="178"/>
      <c r="I180" s="178"/>
      <c r="J180" s="178"/>
    </row>
    <row r="181" spans="3:10">
      <c r="C181" s="178"/>
      <c r="D181" s="178"/>
      <c r="E181" s="178"/>
      <c r="F181" s="178"/>
      <c r="G181" s="178"/>
      <c r="H181" s="178"/>
      <c r="I181" s="178"/>
      <c r="J181" s="178"/>
    </row>
    <row r="182" spans="3:10">
      <c r="C182" s="178"/>
      <c r="D182" s="178"/>
      <c r="E182" s="178"/>
      <c r="F182" s="178"/>
      <c r="G182" s="178"/>
      <c r="H182" s="178"/>
      <c r="I182" s="178"/>
      <c r="J182" s="178"/>
    </row>
    <row r="183" spans="3:10">
      <c r="C183" s="178"/>
      <c r="D183" s="178"/>
      <c r="E183" s="178"/>
      <c r="F183" s="178"/>
      <c r="G183" s="178"/>
      <c r="H183" s="178"/>
      <c r="I183" s="178"/>
      <c r="J183" s="178"/>
    </row>
    <row r="184" spans="3:10">
      <c r="C184" s="178"/>
      <c r="D184" s="178"/>
      <c r="E184" s="178"/>
      <c r="F184" s="178"/>
      <c r="G184" s="178"/>
      <c r="H184" s="178"/>
      <c r="I184" s="178"/>
      <c r="J184" s="178"/>
    </row>
    <row r="185" spans="3:10">
      <c r="C185" s="178"/>
      <c r="D185" s="178"/>
      <c r="E185" s="178"/>
      <c r="F185" s="178"/>
      <c r="G185" s="178"/>
      <c r="H185" s="178"/>
      <c r="I185" s="178"/>
      <c r="J185" s="178"/>
    </row>
    <row r="186" spans="3:10">
      <c r="C186" s="178"/>
      <c r="D186" s="178"/>
      <c r="E186" s="178"/>
      <c r="F186" s="178"/>
      <c r="G186" s="178"/>
      <c r="H186" s="178"/>
      <c r="I186" s="178"/>
      <c r="J186" s="178"/>
    </row>
    <row r="187" spans="3:10">
      <c r="C187" s="178"/>
      <c r="D187" s="178"/>
      <c r="E187" s="178"/>
      <c r="F187" s="178"/>
      <c r="G187" s="178"/>
      <c r="H187" s="178"/>
      <c r="I187" s="178"/>
      <c r="J187" s="178"/>
    </row>
    <row r="188" spans="3:10">
      <c r="C188" s="178"/>
      <c r="D188" s="178"/>
      <c r="E188" s="178"/>
      <c r="F188" s="178"/>
      <c r="G188" s="178"/>
      <c r="H188" s="178"/>
      <c r="I188" s="178"/>
      <c r="J188" s="178"/>
    </row>
    <row r="189" spans="3:10">
      <c r="C189" s="178"/>
      <c r="D189" s="178"/>
      <c r="E189" s="178"/>
      <c r="F189" s="178"/>
      <c r="G189" s="178"/>
      <c r="H189" s="178"/>
      <c r="I189" s="178"/>
      <c r="J189" s="178"/>
    </row>
    <row r="190" spans="3:10">
      <c r="C190" s="178"/>
      <c r="D190" s="178"/>
      <c r="E190" s="178"/>
      <c r="F190" s="178"/>
      <c r="G190" s="178"/>
      <c r="H190" s="178"/>
      <c r="I190" s="178"/>
      <c r="J190" s="178"/>
    </row>
    <row r="191" spans="3:10">
      <c r="C191" s="178"/>
      <c r="D191" s="178"/>
      <c r="E191" s="178"/>
      <c r="F191" s="178"/>
      <c r="G191" s="178"/>
      <c r="H191" s="178"/>
      <c r="I191" s="178"/>
      <c r="J191" s="178"/>
    </row>
    <row r="192" spans="3:10">
      <c r="C192" s="178"/>
      <c r="D192" s="178"/>
      <c r="E192" s="178"/>
      <c r="F192" s="178"/>
      <c r="G192" s="178"/>
      <c r="H192" s="178"/>
      <c r="I192" s="178"/>
      <c r="J192" s="178"/>
    </row>
    <row r="193" spans="3:10">
      <c r="C193" s="178"/>
      <c r="D193" s="178"/>
      <c r="E193" s="178"/>
      <c r="F193" s="178"/>
      <c r="G193" s="178"/>
      <c r="H193" s="178"/>
      <c r="I193" s="178"/>
      <c r="J193" s="178"/>
    </row>
    <row r="194" spans="3:10">
      <c r="C194" s="178"/>
      <c r="D194" s="178"/>
      <c r="E194" s="178"/>
      <c r="F194" s="178"/>
      <c r="G194" s="178"/>
      <c r="H194" s="178"/>
      <c r="I194" s="178"/>
      <c r="J194" s="178"/>
    </row>
    <row r="195" spans="3:10">
      <c r="C195" s="178"/>
      <c r="D195" s="178"/>
      <c r="E195" s="178"/>
      <c r="F195" s="178"/>
      <c r="G195" s="178"/>
      <c r="H195" s="178"/>
      <c r="I195" s="178"/>
      <c r="J195" s="178"/>
    </row>
    <row r="196" spans="3:10">
      <c r="C196" s="178"/>
      <c r="D196" s="178"/>
      <c r="E196" s="178"/>
      <c r="F196" s="178"/>
      <c r="G196" s="178"/>
      <c r="H196" s="178"/>
      <c r="I196" s="178"/>
      <c r="J196" s="178"/>
    </row>
    <row r="197" spans="3:10">
      <c r="C197" s="178"/>
      <c r="D197" s="178"/>
      <c r="E197" s="178"/>
      <c r="F197" s="178"/>
      <c r="G197" s="178"/>
      <c r="H197" s="178"/>
      <c r="I197" s="178"/>
      <c r="J197" s="178"/>
    </row>
    <row r="198" spans="3:10">
      <c r="C198" s="178"/>
      <c r="D198" s="178"/>
      <c r="E198" s="178"/>
      <c r="F198" s="178"/>
      <c r="G198" s="178"/>
      <c r="H198" s="178"/>
      <c r="I198" s="178"/>
      <c r="J198" s="178"/>
    </row>
    <row r="199" spans="3:10">
      <c r="C199" s="178"/>
      <c r="D199" s="178"/>
      <c r="E199" s="178"/>
      <c r="F199" s="178"/>
      <c r="G199" s="178"/>
      <c r="H199" s="178"/>
      <c r="I199" s="178"/>
      <c r="J199" s="178"/>
    </row>
    <row r="200" spans="3:10">
      <c r="C200" s="178"/>
      <c r="D200" s="178"/>
      <c r="E200" s="178"/>
      <c r="F200" s="178"/>
      <c r="G200" s="178"/>
      <c r="H200" s="178"/>
      <c r="I200" s="178"/>
      <c r="J200" s="178"/>
    </row>
    <row r="201" spans="3:10">
      <c r="C201" s="178"/>
      <c r="D201" s="178"/>
      <c r="E201" s="178"/>
      <c r="F201" s="178"/>
      <c r="G201" s="178"/>
      <c r="H201" s="178"/>
      <c r="I201" s="178"/>
      <c r="J201" s="178"/>
    </row>
    <row r="202" spans="3:10">
      <c r="C202" s="178"/>
      <c r="D202" s="178"/>
      <c r="E202" s="178"/>
      <c r="F202" s="178"/>
      <c r="G202" s="178"/>
      <c r="H202" s="178"/>
      <c r="I202" s="178"/>
      <c r="J202" s="178"/>
    </row>
    <row r="203" spans="3:10">
      <c r="C203" s="178"/>
      <c r="D203" s="178"/>
      <c r="E203" s="178"/>
      <c r="F203" s="178"/>
      <c r="G203" s="178"/>
      <c r="H203" s="178"/>
      <c r="I203" s="178"/>
      <c r="J203" s="178"/>
    </row>
    <row r="204" spans="3:10">
      <c r="C204" s="178"/>
      <c r="D204" s="178"/>
      <c r="E204" s="178"/>
      <c r="F204" s="178"/>
      <c r="G204" s="178"/>
      <c r="H204" s="178"/>
      <c r="I204" s="178"/>
      <c r="J204" s="178"/>
    </row>
    <row r="205" spans="3:10">
      <c r="C205" s="178"/>
      <c r="D205" s="178"/>
      <c r="E205" s="178"/>
      <c r="F205" s="178"/>
      <c r="G205" s="178"/>
      <c r="H205" s="178"/>
      <c r="I205" s="178"/>
      <c r="J205" s="178"/>
    </row>
    <row r="206" spans="3:10">
      <c r="C206" s="178"/>
      <c r="D206" s="178"/>
      <c r="E206" s="178"/>
      <c r="F206" s="178"/>
      <c r="G206" s="178"/>
      <c r="H206" s="178"/>
      <c r="I206" s="178"/>
      <c r="J206" s="178"/>
    </row>
    <row r="207" spans="3:10">
      <c r="C207" s="178"/>
      <c r="D207" s="178"/>
      <c r="E207" s="178"/>
      <c r="F207" s="178"/>
      <c r="G207" s="178"/>
      <c r="H207" s="178"/>
      <c r="I207" s="178"/>
      <c r="J207" s="178"/>
    </row>
    <row r="208" spans="3:10">
      <c r="C208" s="178"/>
      <c r="D208" s="178"/>
      <c r="E208" s="178"/>
      <c r="F208" s="178"/>
      <c r="G208" s="178"/>
      <c r="H208" s="178"/>
      <c r="I208" s="178"/>
      <c r="J208" s="178"/>
    </row>
    <row r="209" spans="3:10">
      <c r="C209" s="178"/>
      <c r="D209" s="178"/>
      <c r="E209" s="178"/>
      <c r="F209" s="178"/>
      <c r="G209" s="178"/>
      <c r="H209" s="178"/>
      <c r="I209" s="178"/>
      <c r="J209" s="178"/>
    </row>
    <row r="210" spans="3:10">
      <c r="C210" s="178"/>
      <c r="D210" s="178"/>
      <c r="E210" s="178"/>
      <c r="F210" s="178"/>
      <c r="G210" s="178"/>
      <c r="H210" s="178"/>
      <c r="I210" s="178"/>
      <c r="J210" s="178"/>
    </row>
    <row r="211" spans="3:10">
      <c r="C211" s="178"/>
      <c r="D211" s="178"/>
      <c r="E211" s="178"/>
      <c r="F211" s="178"/>
      <c r="G211" s="178"/>
      <c r="H211" s="178"/>
      <c r="I211" s="178"/>
      <c r="J211" s="178"/>
    </row>
    <row r="212" spans="3:10">
      <c r="C212" s="178"/>
      <c r="D212" s="178"/>
      <c r="E212" s="178"/>
      <c r="F212" s="178"/>
      <c r="G212" s="178"/>
      <c r="H212" s="178"/>
      <c r="I212" s="178"/>
      <c r="J212" s="178"/>
    </row>
    <row r="213" spans="3:10">
      <c r="C213" s="178"/>
      <c r="D213" s="178"/>
      <c r="E213" s="178"/>
      <c r="F213" s="178"/>
      <c r="G213" s="178"/>
      <c r="H213" s="178"/>
      <c r="I213" s="178"/>
      <c r="J213" s="178"/>
    </row>
    <row r="214" spans="3:10">
      <c r="C214" s="178"/>
      <c r="D214" s="178"/>
      <c r="E214" s="178"/>
      <c r="F214" s="178"/>
      <c r="G214" s="178"/>
      <c r="H214" s="178"/>
      <c r="I214" s="178"/>
      <c r="J214" s="178"/>
    </row>
    <row r="215" spans="3:10">
      <c r="C215" s="178"/>
      <c r="D215" s="178"/>
      <c r="E215" s="178"/>
      <c r="F215" s="178"/>
      <c r="G215" s="178"/>
      <c r="H215" s="178"/>
      <c r="I215" s="178"/>
      <c r="J215" s="178"/>
    </row>
    <row r="216" spans="3:10">
      <c r="C216" s="178"/>
      <c r="D216" s="178"/>
      <c r="E216" s="178"/>
      <c r="F216" s="178"/>
      <c r="G216" s="178"/>
      <c r="H216" s="178"/>
      <c r="I216" s="178"/>
      <c r="J216" s="178"/>
    </row>
    <row r="217" spans="3:10">
      <c r="C217" s="178"/>
      <c r="D217" s="178"/>
      <c r="E217" s="178"/>
      <c r="F217" s="178"/>
      <c r="G217" s="178"/>
      <c r="H217" s="178"/>
      <c r="I217" s="178"/>
      <c r="J217" s="178"/>
    </row>
    <row r="218" spans="3:10">
      <c r="C218" s="178"/>
      <c r="D218" s="178"/>
      <c r="E218" s="178"/>
      <c r="F218" s="178"/>
      <c r="G218" s="178"/>
      <c r="H218" s="178"/>
      <c r="I218" s="178"/>
      <c r="J218" s="178"/>
    </row>
    <row r="219" spans="3:10">
      <c r="C219" s="178"/>
      <c r="D219" s="178"/>
      <c r="E219" s="178"/>
      <c r="F219" s="178"/>
      <c r="G219" s="178"/>
      <c r="H219" s="178"/>
      <c r="I219" s="178"/>
      <c r="J219" s="178"/>
    </row>
    <row r="220" spans="3:10">
      <c r="C220" s="178"/>
      <c r="D220" s="178"/>
      <c r="E220" s="178"/>
      <c r="F220" s="178"/>
      <c r="G220" s="178"/>
      <c r="H220" s="178"/>
      <c r="I220" s="178"/>
      <c r="J220" s="178"/>
    </row>
    <row r="221" spans="3:10">
      <c r="C221" s="178"/>
      <c r="D221" s="178"/>
      <c r="E221" s="178"/>
      <c r="F221" s="178"/>
      <c r="G221" s="178"/>
      <c r="H221" s="178"/>
      <c r="I221" s="178"/>
      <c r="J221" s="178"/>
    </row>
    <row r="222" spans="3:10">
      <c r="C222" s="178"/>
      <c r="D222" s="178"/>
      <c r="E222" s="178"/>
      <c r="F222" s="178"/>
      <c r="G222" s="178"/>
      <c r="H222" s="178"/>
      <c r="I222" s="178"/>
      <c r="J222" s="178"/>
    </row>
    <row r="223" spans="3:10">
      <c r="C223" s="178"/>
      <c r="D223" s="178"/>
      <c r="E223" s="178"/>
      <c r="F223" s="178"/>
      <c r="G223" s="178"/>
      <c r="H223" s="178"/>
      <c r="I223" s="178"/>
      <c r="J223" s="178"/>
    </row>
    <row r="224" spans="3:10">
      <c r="C224" s="178"/>
      <c r="D224" s="178"/>
      <c r="E224" s="178"/>
      <c r="F224" s="178"/>
      <c r="G224" s="178"/>
      <c r="H224" s="178"/>
      <c r="I224" s="178"/>
      <c r="J224" s="178"/>
    </row>
    <row r="225" spans="3:10">
      <c r="C225" s="178"/>
      <c r="D225" s="178"/>
      <c r="E225" s="178"/>
      <c r="F225" s="178"/>
      <c r="G225" s="178"/>
      <c r="H225" s="178"/>
      <c r="I225" s="178"/>
      <c r="J225" s="178"/>
    </row>
    <row r="226" spans="3:10">
      <c r="C226" s="178"/>
      <c r="D226" s="178"/>
      <c r="E226" s="178"/>
      <c r="F226" s="178"/>
      <c r="G226" s="178"/>
      <c r="H226" s="178"/>
      <c r="I226" s="178"/>
      <c r="J226" s="178"/>
    </row>
    <row r="227" spans="3:10">
      <c r="C227" s="178"/>
      <c r="D227" s="178"/>
      <c r="E227" s="178"/>
      <c r="F227" s="178"/>
      <c r="G227" s="178"/>
      <c r="H227" s="178"/>
      <c r="I227" s="178"/>
      <c r="J227" s="178"/>
    </row>
    <row r="228" spans="3:10">
      <c r="C228" s="178"/>
      <c r="D228" s="178"/>
      <c r="E228" s="178"/>
      <c r="F228" s="178"/>
      <c r="G228" s="178"/>
      <c r="H228" s="178"/>
      <c r="I228" s="178"/>
      <c r="J228" s="178"/>
    </row>
    <row r="229" spans="3:10">
      <c r="C229" s="178"/>
      <c r="D229" s="178"/>
      <c r="E229" s="178"/>
      <c r="F229" s="178"/>
      <c r="G229" s="178"/>
      <c r="H229" s="178"/>
      <c r="I229" s="178"/>
      <c r="J229" s="178"/>
    </row>
    <row r="230" spans="3:10">
      <c r="C230" s="178"/>
      <c r="D230" s="178"/>
      <c r="E230" s="178"/>
      <c r="F230" s="178"/>
      <c r="G230" s="178"/>
      <c r="H230" s="178"/>
      <c r="I230" s="178"/>
      <c r="J230" s="178"/>
    </row>
    <row r="231" spans="3:10">
      <c r="C231" s="178"/>
      <c r="D231" s="178"/>
      <c r="E231" s="178"/>
      <c r="F231" s="178"/>
      <c r="G231" s="178"/>
      <c r="H231" s="178"/>
      <c r="I231" s="178"/>
      <c r="J231" s="178"/>
    </row>
    <row r="232" spans="3:10">
      <c r="C232" s="178"/>
      <c r="D232" s="178"/>
      <c r="E232" s="178"/>
      <c r="F232" s="178"/>
      <c r="G232" s="178"/>
      <c r="H232" s="178"/>
      <c r="I232" s="178"/>
      <c r="J232" s="178"/>
    </row>
    <row r="233" spans="3:10">
      <c r="C233" s="178"/>
      <c r="D233" s="178"/>
      <c r="E233" s="178"/>
      <c r="F233" s="178"/>
      <c r="G233" s="178"/>
      <c r="H233" s="178"/>
      <c r="I233" s="178"/>
      <c r="J233" s="178"/>
    </row>
    <row r="234" spans="3:10">
      <c r="C234" s="178"/>
      <c r="D234" s="178"/>
      <c r="E234" s="178"/>
      <c r="F234" s="178"/>
      <c r="G234" s="178"/>
      <c r="H234" s="178"/>
      <c r="I234" s="178"/>
      <c r="J234" s="178"/>
    </row>
    <row r="235" spans="3:10">
      <c r="C235" s="178"/>
      <c r="D235" s="178"/>
      <c r="E235" s="178"/>
      <c r="F235" s="178"/>
      <c r="G235" s="178"/>
      <c r="H235" s="178"/>
      <c r="I235" s="178"/>
      <c r="J235" s="178"/>
    </row>
    <row r="236" spans="3:10">
      <c r="C236" s="178"/>
      <c r="D236" s="178"/>
      <c r="E236" s="178"/>
      <c r="F236" s="178"/>
      <c r="G236" s="178"/>
      <c r="H236" s="178"/>
      <c r="I236" s="178"/>
      <c r="J236" s="178"/>
    </row>
    <row r="237" spans="3:10">
      <c r="C237" s="178"/>
      <c r="D237" s="178"/>
      <c r="E237" s="178"/>
      <c r="F237" s="178"/>
      <c r="G237" s="178"/>
      <c r="H237" s="178"/>
      <c r="I237" s="178"/>
      <c r="J237" s="178"/>
    </row>
    <row r="238" spans="3:10">
      <c r="C238" s="178"/>
      <c r="D238" s="178"/>
      <c r="E238" s="178"/>
      <c r="F238" s="178"/>
      <c r="G238" s="178"/>
      <c r="H238" s="178"/>
      <c r="I238" s="178"/>
      <c r="J238" s="178"/>
    </row>
    <row r="239" spans="3:10">
      <c r="C239" s="178"/>
      <c r="D239" s="178"/>
      <c r="E239" s="178"/>
      <c r="F239" s="178"/>
      <c r="G239" s="178"/>
      <c r="H239" s="178"/>
      <c r="I239" s="178"/>
      <c r="J239" s="178"/>
    </row>
    <row r="240" spans="3:10">
      <c r="C240" s="178"/>
      <c r="D240" s="178"/>
      <c r="E240" s="178"/>
      <c r="F240" s="178"/>
      <c r="G240" s="178"/>
      <c r="H240" s="178"/>
      <c r="I240" s="178"/>
      <c r="J240" s="178"/>
    </row>
    <row r="241" spans="3:10">
      <c r="C241" s="178"/>
      <c r="D241" s="178"/>
      <c r="E241" s="178"/>
      <c r="F241" s="178"/>
      <c r="G241" s="178"/>
      <c r="H241" s="178"/>
      <c r="I241" s="178"/>
      <c r="J241" s="178"/>
    </row>
    <row r="242" spans="3:10">
      <c r="C242" s="178"/>
      <c r="D242" s="178"/>
      <c r="E242" s="178"/>
      <c r="F242" s="178"/>
      <c r="G242" s="178"/>
      <c r="H242" s="178"/>
      <c r="I242" s="178"/>
      <c r="J242" s="178"/>
    </row>
    <row r="243" spans="3:10">
      <c r="C243" s="178"/>
      <c r="D243" s="178"/>
      <c r="E243" s="178"/>
      <c r="F243" s="178"/>
      <c r="G243" s="178"/>
      <c r="H243" s="178"/>
      <c r="I243" s="178"/>
      <c r="J243" s="178"/>
    </row>
    <row r="244" spans="3:10">
      <c r="C244" s="178"/>
      <c r="D244" s="178"/>
      <c r="E244" s="178"/>
      <c r="F244" s="178"/>
      <c r="G244" s="178"/>
      <c r="H244" s="178"/>
      <c r="I244" s="178"/>
      <c r="J244" s="178"/>
    </row>
    <row r="245" spans="3:10">
      <c r="C245" s="178"/>
      <c r="D245" s="178"/>
      <c r="E245" s="178"/>
      <c r="F245" s="178"/>
      <c r="G245" s="178"/>
      <c r="H245" s="178"/>
      <c r="I245" s="178"/>
      <c r="J245" s="178"/>
    </row>
    <row r="246" spans="3:10">
      <c r="C246" s="178"/>
      <c r="D246" s="178"/>
      <c r="E246" s="178"/>
      <c r="F246" s="178"/>
      <c r="G246" s="178"/>
      <c r="H246" s="178"/>
      <c r="I246" s="178"/>
      <c r="J246" s="178"/>
    </row>
    <row r="247" spans="3:10">
      <c r="C247" s="178"/>
      <c r="D247" s="178"/>
      <c r="E247" s="178"/>
      <c r="F247" s="178"/>
      <c r="G247" s="178"/>
      <c r="H247" s="178"/>
      <c r="I247" s="178"/>
      <c r="J247" s="178"/>
    </row>
    <row r="248" spans="3:10">
      <c r="C248" s="178"/>
      <c r="D248" s="178"/>
      <c r="E248" s="178"/>
      <c r="F248" s="178"/>
      <c r="G248" s="178"/>
      <c r="H248" s="178"/>
      <c r="I248" s="178"/>
      <c r="J248" s="178"/>
    </row>
    <row r="249" spans="3:10">
      <c r="C249" s="178"/>
      <c r="D249" s="178"/>
      <c r="E249" s="178"/>
      <c r="F249" s="178"/>
      <c r="G249" s="178"/>
      <c r="H249" s="178"/>
      <c r="I249" s="178"/>
      <c r="J249" s="178"/>
    </row>
    <row r="250" spans="3:10">
      <c r="C250" s="178"/>
      <c r="D250" s="178"/>
      <c r="E250" s="178"/>
      <c r="F250" s="178"/>
      <c r="G250" s="178"/>
      <c r="H250" s="178"/>
      <c r="I250" s="178"/>
      <c r="J250" s="178"/>
    </row>
    <row r="251" spans="3:10">
      <c r="C251" s="178"/>
      <c r="D251" s="178"/>
      <c r="E251" s="178"/>
      <c r="F251" s="178"/>
      <c r="G251" s="178"/>
      <c r="H251" s="178"/>
      <c r="I251" s="178"/>
      <c r="J251" s="178"/>
    </row>
    <row r="252" spans="3:10">
      <c r="C252" s="178"/>
      <c r="D252" s="178"/>
      <c r="E252" s="178"/>
      <c r="F252" s="178"/>
      <c r="G252" s="178"/>
      <c r="H252" s="178"/>
      <c r="I252" s="178"/>
      <c r="J252" s="178"/>
    </row>
    <row r="253" spans="3:10">
      <c r="C253" s="178"/>
      <c r="D253" s="178"/>
      <c r="E253" s="178"/>
      <c r="F253" s="178"/>
      <c r="G253" s="178"/>
      <c r="H253" s="178"/>
      <c r="I253" s="178"/>
      <c r="J253" s="178"/>
    </row>
    <row r="254" spans="3:10">
      <c r="C254" s="178"/>
      <c r="D254" s="178"/>
      <c r="E254" s="178"/>
      <c r="F254" s="178"/>
      <c r="G254" s="178"/>
      <c r="H254" s="178"/>
      <c r="I254" s="178"/>
      <c r="J254" s="178"/>
    </row>
    <row r="255" spans="3:10">
      <c r="C255" s="178"/>
      <c r="D255" s="178"/>
      <c r="E255" s="178"/>
      <c r="F255" s="178"/>
      <c r="G255" s="178"/>
      <c r="H255" s="178"/>
      <c r="I255" s="178"/>
      <c r="J255" s="178"/>
    </row>
    <row r="256" spans="3:10">
      <c r="C256" s="178"/>
      <c r="D256" s="178"/>
      <c r="E256" s="178"/>
      <c r="F256" s="178"/>
      <c r="G256" s="178"/>
      <c r="H256" s="178"/>
      <c r="I256" s="178"/>
      <c r="J256" s="178"/>
    </row>
    <row r="257" spans="3:10">
      <c r="C257" s="178"/>
      <c r="D257" s="178"/>
      <c r="E257" s="178"/>
      <c r="F257" s="178"/>
      <c r="G257" s="178"/>
      <c r="H257" s="178"/>
      <c r="I257" s="178"/>
      <c r="J257" s="178"/>
    </row>
    <row r="258" spans="3:10">
      <c r="C258" s="178"/>
      <c r="D258" s="178"/>
      <c r="E258" s="178"/>
      <c r="F258" s="178"/>
      <c r="G258" s="178"/>
      <c r="H258" s="178"/>
      <c r="I258" s="178"/>
      <c r="J258" s="178"/>
    </row>
    <row r="259" spans="3:10">
      <c r="C259" s="178"/>
      <c r="D259" s="178"/>
      <c r="E259" s="178"/>
      <c r="F259" s="178"/>
      <c r="G259" s="178"/>
      <c r="H259" s="178"/>
      <c r="I259" s="178"/>
      <c r="J259" s="178"/>
    </row>
    <row r="260" spans="3:10">
      <c r="C260" s="178"/>
      <c r="D260" s="178"/>
      <c r="E260" s="178"/>
      <c r="F260" s="178"/>
      <c r="G260" s="178"/>
      <c r="H260" s="178"/>
      <c r="I260" s="178"/>
      <c r="J260" s="178"/>
    </row>
    <row r="261" spans="3:10">
      <c r="C261" s="178"/>
      <c r="D261" s="178"/>
      <c r="E261" s="178"/>
      <c r="F261" s="178"/>
      <c r="G261" s="178"/>
      <c r="H261" s="178"/>
      <c r="I261" s="178"/>
      <c r="J261" s="178"/>
    </row>
    <row r="262" spans="3:10">
      <c r="C262" s="178"/>
      <c r="D262" s="178"/>
      <c r="E262" s="178"/>
      <c r="F262" s="178"/>
      <c r="G262" s="178"/>
      <c r="H262" s="178"/>
      <c r="I262" s="178"/>
      <c r="J262" s="178"/>
    </row>
    <row r="263" spans="3:10">
      <c r="C263" s="178"/>
      <c r="D263" s="178"/>
      <c r="E263" s="178"/>
      <c r="F263" s="178"/>
      <c r="G263" s="178"/>
      <c r="H263" s="178"/>
      <c r="I263" s="178"/>
      <c r="J263" s="178"/>
    </row>
    <row r="264" spans="3:10">
      <c r="C264" s="178"/>
      <c r="D264" s="178"/>
      <c r="E264" s="178"/>
      <c r="F264" s="178"/>
      <c r="G264" s="178"/>
      <c r="H264" s="178"/>
      <c r="I264" s="178"/>
      <c r="J264" s="178"/>
    </row>
    <row r="265" spans="3:10">
      <c r="C265" s="178"/>
      <c r="D265" s="178"/>
      <c r="E265" s="178"/>
      <c r="F265" s="178"/>
      <c r="G265" s="178"/>
      <c r="H265" s="178"/>
      <c r="I265" s="178"/>
      <c r="J265" s="178"/>
    </row>
    <row r="266" spans="3:10">
      <c r="C266" s="178"/>
      <c r="D266" s="178"/>
      <c r="E266" s="178"/>
      <c r="F266" s="178"/>
      <c r="G266" s="178"/>
      <c r="H266" s="178"/>
      <c r="I266" s="178"/>
      <c r="J266" s="178"/>
    </row>
    <row r="267" spans="3:10">
      <c r="C267" s="178"/>
      <c r="D267" s="178"/>
      <c r="E267" s="178"/>
      <c r="F267" s="178"/>
      <c r="G267" s="178"/>
      <c r="H267" s="178"/>
      <c r="I267" s="178"/>
      <c r="J267" s="178"/>
    </row>
    <row r="268" spans="3:10">
      <c r="C268" s="178"/>
      <c r="D268" s="178"/>
      <c r="E268" s="178"/>
      <c r="F268" s="178"/>
      <c r="G268" s="178"/>
      <c r="H268" s="178"/>
      <c r="I268" s="178"/>
      <c r="J268" s="178"/>
    </row>
    <row r="269" spans="3:10">
      <c r="C269" s="178"/>
      <c r="D269" s="178"/>
      <c r="E269" s="178"/>
      <c r="F269" s="178"/>
      <c r="G269" s="178"/>
      <c r="H269" s="178"/>
      <c r="I269" s="178"/>
      <c r="J269" s="178"/>
    </row>
    <row r="270" spans="3:10">
      <c r="C270" s="178"/>
      <c r="D270" s="178"/>
      <c r="E270" s="178"/>
      <c r="F270" s="178"/>
      <c r="G270" s="178"/>
      <c r="H270" s="178"/>
      <c r="I270" s="178"/>
      <c r="J270" s="178"/>
    </row>
    <row r="271" spans="3:10">
      <c r="C271" s="178"/>
      <c r="D271" s="178"/>
      <c r="E271" s="178"/>
      <c r="F271" s="178"/>
      <c r="G271" s="178"/>
      <c r="H271" s="178"/>
      <c r="I271" s="178"/>
      <c r="J271" s="178"/>
    </row>
    <row r="272" spans="3:10">
      <c r="C272" s="178"/>
      <c r="D272" s="178"/>
      <c r="E272" s="178"/>
      <c r="F272" s="178"/>
      <c r="G272" s="178"/>
      <c r="H272" s="178"/>
      <c r="I272" s="178"/>
      <c r="J272" s="178"/>
    </row>
    <row r="273" spans="3:10">
      <c r="C273" s="178"/>
      <c r="D273" s="178"/>
      <c r="E273" s="178"/>
      <c r="F273" s="178"/>
      <c r="G273" s="178"/>
      <c r="H273" s="178"/>
      <c r="I273" s="178"/>
      <c r="J273" s="178"/>
    </row>
    <row r="274" spans="3:10">
      <c r="C274" s="178"/>
      <c r="D274" s="178"/>
      <c r="E274" s="178"/>
      <c r="F274" s="178"/>
      <c r="G274" s="178"/>
      <c r="H274" s="178"/>
      <c r="I274" s="178"/>
      <c r="J274" s="178"/>
    </row>
    <row r="275" spans="3:10">
      <c r="C275" s="178"/>
      <c r="D275" s="178"/>
      <c r="E275" s="178"/>
      <c r="F275" s="178"/>
      <c r="G275" s="178"/>
      <c r="H275" s="178"/>
      <c r="I275" s="178"/>
      <c r="J275" s="178"/>
    </row>
    <row r="276" spans="3:10">
      <c r="C276" s="178"/>
      <c r="D276" s="178"/>
      <c r="E276" s="178"/>
      <c r="F276" s="178"/>
      <c r="G276" s="178"/>
      <c r="H276" s="178"/>
      <c r="I276" s="178"/>
      <c r="J276" s="178"/>
    </row>
    <row r="277" spans="3:10">
      <c r="C277" s="178"/>
      <c r="D277" s="178"/>
      <c r="E277" s="178"/>
      <c r="F277" s="178"/>
      <c r="G277" s="178"/>
      <c r="H277" s="178"/>
      <c r="I277" s="178"/>
      <c r="J277" s="178"/>
    </row>
    <row r="278" spans="3:10">
      <c r="C278" s="178"/>
      <c r="D278" s="178"/>
      <c r="E278" s="178"/>
      <c r="F278" s="178"/>
      <c r="G278" s="178"/>
      <c r="H278" s="178"/>
      <c r="I278" s="178"/>
      <c r="J278" s="178"/>
    </row>
    <row r="279" spans="3:10">
      <c r="C279" s="178"/>
      <c r="D279" s="178"/>
      <c r="E279" s="178"/>
      <c r="F279" s="178"/>
      <c r="G279" s="178"/>
      <c r="H279" s="178"/>
      <c r="I279" s="178"/>
      <c r="J279" s="178"/>
    </row>
    <row r="280" spans="3:10">
      <c r="C280" s="178"/>
      <c r="D280" s="178"/>
      <c r="E280" s="178"/>
      <c r="F280" s="178"/>
      <c r="G280" s="178"/>
      <c r="H280" s="178"/>
      <c r="I280" s="178"/>
      <c r="J280" s="178"/>
    </row>
    <row r="281" spans="3:10">
      <c r="C281" s="178"/>
      <c r="D281" s="178"/>
      <c r="E281" s="178"/>
      <c r="F281" s="178"/>
      <c r="G281" s="178"/>
      <c r="H281" s="178"/>
      <c r="I281" s="178"/>
      <c r="J281" s="178"/>
    </row>
    <row r="282" spans="3:10">
      <c r="C282" s="178"/>
      <c r="D282" s="178"/>
      <c r="E282" s="178"/>
      <c r="F282" s="178"/>
      <c r="G282" s="178"/>
      <c r="H282" s="178"/>
      <c r="I282" s="178"/>
      <c r="J282" s="178"/>
    </row>
    <row r="283" spans="3:10">
      <c r="C283" s="178"/>
      <c r="D283" s="178"/>
      <c r="E283" s="178"/>
      <c r="F283" s="178"/>
      <c r="G283" s="178"/>
      <c r="H283" s="178"/>
      <c r="I283" s="178"/>
      <c r="J283" s="178"/>
    </row>
    <row r="284" spans="3:10">
      <c r="C284" s="178"/>
      <c r="D284" s="178"/>
      <c r="E284" s="178"/>
      <c r="F284" s="178"/>
      <c r="G284" s="178"/>
      <c r="H284" s="178"/>
      <c r="I284" s="178"/>
      <c r="J284" s="178"/>
    </row>
    <row r="285" spans="3:10">
      <c r="C285" s="178"/>
      <c r="D285" s="178"/>
      <c r="E285" s="178"/>
      <c r="F285" s="178"/>
      <c r="G285" s="178"/>
      <c r="H285" s="178"/>
      <c r="I285" s="178"/>
      <c r="J285" s="178"/>
    </row>
    <row r="286" spans="3:10">
      <c r="C286" s="178"/>
      <c r="D286" s="178"/>
      <c r="E286" s="178"/>
      <c r="F286" s="178"/>
      <c r="G286" s="178"/>
      <c r="H286" s="178"/>
      <c r="I286" s="178"/>
      <c r="J286" s="178"/>
    </row>
    <row r="287" spans="3:10">
      <c r="C287" s="178"/>
      <c r="D287" s="178"/>
      <c r="E287" s="178"/>
      <c r="F287" s="178"/>
      <c r="G287" s="178"/>
      <c r="H287" s="178"/>
      <c r="I287" s="178"/>
      <c r="J287" s="178"/>
    </row>
    <row r="288" spans="3:10">
      <c r="C288" s="178"/>
      <c r="D288" s="178"/>
      <c r="E288" s="178"/>
      <c r="F288" s="178"/>
      <c r="G288" s="178"/>
      <c r="H288" s="178"/>
      <c r="I288" s="178"/>
      <c r="J288" s="178"/>
    </row>
    <row r="289" spans="3:10">
      <c r="C289" s="178"/>
      <c r="D289" s="178"/>
      <c r="E289" s="178"/>
      <c r="F289" s="178"/>
      <c r="G289" s="178"/>
      <c r="H289" s="178"/>
      <c r="I289" s="178"/>
      <c r="J289" s="178"/>
    </row>
    <row r="290" spans="3:10">
      <c r="C290" s="178"/>
      <c r="D290" s="178"/>
      <c r="E290" s="178"/>
      <c r="F290" s="178"/>
      <c r="G290" s="178"/>
      <c r="H290" s="178"/>
      <c r="I290" s="178"/>
      <c r="J290" s="178"/>
    </row>
    <row r="291" spans="3:10">
      <c r="C291" s="178"/>
      <c r="D291" s="178"/>
      <c r="E291" s="178"/>
      <c r="F291" s="178"/>
      <c r="G291" s="178"/>
      <c r="H291" s="178"/>
      <c r="I291" s="178"/>
      <c r="J291" s="178"/>
    </row>
    <row r="292" spans="3:10">
      <c r="C292" s="178"/>
      <c r="D292" s="178"/>
      <c r="E292" s="178"/>
      <c r="F292" s="178"/>
      <c r="G292" s="178"/>
      <c r="H292" s="178"/>
      <c r="I292" s="178"/>
      <c r="J292" s="178"/>
    </row>
    <row r="293" spans="3:10">
      <c r="C293" s="178"/>
      <c r="D293" s="178"/>
      <c r="E293" s="178"/>
      <c r="F293" s="178"/>
      <c r="G293" s="178"/>
      <c r="H293" s="178"/>
      <c r="I293" s="178"/>
      <c r="J293" s="178"/>
    </row>
    <row r="294" spans="3:10">
      <c r="C294" s="178"/>
      <c r="D294" s="178"/>
      <c r="E294" s="178"/>
      <c r="F294" s="178"/>
      <c r="G294" s="178"/>
      <c r="H294" s="178"/>
      <c r="I294" s="178"/>
      <c r="J294" s="178"/>
    </row>
    <row r="295" spans="3:10">
      <c r="C295" s="178"/>
      <c r="D295" s="178"/>
      <c r="E295" s="178"/>
      <c r="F295" s="178"/>
      <c r="G295" s="178"/>
      <c r="H295" s="178"/>
      <c r="I295" s="178"/>
      <c r="J295" s="178"/>
    </row>
    <row r="296" spans="3:10">
      <c r="C296" s="178"/>
      <c r="D296" s="178"/>
      <c r="E296" s="178"/>
      <c r="F296" s="178"/>
      <c r="G296" s="178"/>
      <c r="H296" s="178"/>
      <c r="I296" s="178"/>
      <c r="J296" s="178"/>
    </row>
    <row r="297" spans="3:10">
      <c r="C297" s="178"/>
      <c r="D297" s="178"/>
      <c r="E297" s="178"/>
      <c r="F297" s="178"/>
      <c r="G297" s="178"/>
      <c r="H297" s="178"/>
      <c r="I297" s="178"/>
      <c r="J297" s="178"/>
    </row>
    <row r="298" spans="3:10">
      <c r="C298" s="178"/>
      <c r="D298" s="178"/>
      <c r="E298" s="178"/>
      <c r="F298" s="178"/>
      <c r="G298" s="178"/>
      <c r="H298" s="178"/>
      <c r="I298" s="178"/>
      <c r="J298" s="178"/>
    </row>
  </sheetData>
  <mergeCells count="8">
    <mergeCell ref="M100:X100"/>
    <mergeCell ref="M99:X99"/>
    <mergeCell ref="M93:X93"/>
    <mergeCell ref="M94:X94"/>
    <mergeCell ref="M95:X95"/>
    <mergeCell ref="M96:X96"/>
    <mergeCell ref="M97:X97"/>
    <mergeCell ref="M98:X98"/>
  </mergeCells>
  <printOptions horizontalCentered="1"/>
  <pageMargins left="0.75" right="0.75" top="0.75" bottom="0.5" header="0.5" footer="0.5"/>
  <pageSetup scale="32" orientation="landscape" horizontalDpi="300" verticalDpi="300" r:id="rId1"/>
  <headerFooter alignWithMargins="0"/>
  <rowBreaks count="1" manualBreakCount="1">
    <brk id="48" min="1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9D774DC810754C9DE2B4E81BAF410D" ma:contentTypeVersion="1" ma:contentTypeDescription="Create a new document." ma:contentTypeScope="" ma:versionID="d9a084d354c805dd661a7192fc33f57a">
  <xsd:schema xmlns:xsd="http://www.w3.org/2001/XMLSchema" xmlns:xs="http://www.w3.org/2001/XMLSchema" xmlns:p="http://schemas.microsoft.com/office/2006/metadata/properties" xmlns:ns2="9ed404ed-22f1-48e0-84e6-95bbf9e889f1" targetNamespace="http://schemas.microsoft.com/office/2006/metadata/properties" ma:root="true" ma:fieldsID="e3a8634a0b86e986ab8f8ec17dc3ce61" ns2:_="">
    <xsd:import namespace="9ed404ed-22f1-48e0-84e6-95bbf9e889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d404ed-22f1-48e0-84e6-95bbf9e889f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9D2475-9017-4CFB-AF06-375FED13EAA0}">
  <ds:schemaRefs>
    <ds:schemaRef ds:uri="http://schemas.microsoft.com/sharepoint/v3/contenttype/forms"/>
  </ds:schemaRefs>
</ds:datastoreItem>
</file>

<file path=customXml/itemProps2.xml><?xml version="1.0" encoding="utf-8"?>
<ds:datastoreItem xmlns:ds="http://schemas.openxmlformats.org/officeDocument/2006/customXml" ds:itemID="{3F705B48-A877-4FE6-8B6D-9FCA5953BE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d404ed-22f1-48e0-84e6-95bbf9e88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899A5D-8916-4319-A70B-6D28F229B875}">
  <ds:schemaRef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 ds:uri="http://purl.org/dc/dcmitype/"/>
    <ds:schemaRef ds:uri="http://purl.org/dc/terms/"/>
    <ds:schemaRef ds:uri="http://schemas.microsoft.com/office/2006/metadata/properties"/>
    <ds:schemaRef ds:uri="9ed404ed-22f1-48e0-84e6-95bbf9e889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32</vt:i4>
      </vt:variant>
      <vt:variant>
        <vt:lpstr>Named Ranges</vt:lpstr>
      </vt:variant>
      <vt:variant>
        <vt:i4>89</vt:i4>
      </vt:variant>
    </vt:vector>
  </HeadingPairs>
  <TitlesOfParts>
    <vt:vector size="121" baseType="lpstr">
      <vt:lpstr>Print</vt:lpstr>
      <vt:lpstr>INPUT</vt:lpstr>
      <vt:lpstr>Changes to May 2019 Filing</vt:lpstr>
      <vt:lpstr>DEOK</vt:lpstr>
      <vt:lpstr>DEO</vt:lpstr>
      <vt:lpstr>DEK</vt:lpstr>
      <vt:lpstr>Sch 1A - Appx A</vt:lpstr>
      <vt:lpstr>Appx B - DEOK(RTEP)</vt:lpstr>
      <vt:lpstr>Appx B - DEO(RTEP)</vt:lpstr>
      <vt:lpstr>Appx B - DEK(RTEP)</vt:lpstr>
      <vt:lpstr>Appx C - DEOK(MTEP)</vt:lpstr>
      <vt:lpstr>Appx C - DEO(MTEP)</vt:lpstr>
      <vt:lpstr>Appx C - DEK(MTEP)</vt:lpstr>
      <vt:lpstr>Appx D DEO</vt:lpstr>
      <vt:lpstr>Appx D DEK</vt:lpstr>
      <vt:lpstr>P1 ADIT</vt:lpstr>
      <vt:lpstr>P2 Allocate M&amp;S</vt:lpstr>
      <vt:lpstr>P3 Land Held for Future Use</vt:lpstr>
      <vt:lpstr>P4 Advertising - EPRI Adj.</vt:lpstr>
      <vt:lpstr>P5 A&amp;G Adjusments</vt:lpstr>
      <vt:lpstr>P6 Statetax</vt:lpstr>
      <vt:lpstr>P7 Trans Plant In OATT</vt:lpstr>
      <vt:lpstr>P8 Rev Cred Support</vt:lpstr>
      <vt:lpstr>P9 Capital Structure</vt:lpstr>
      <vt:lpstr>P10 Partner KW</vt:lpstr>
      <vt:lpstr>P11 PBOP - DEO</vt:lpstr>
      <vt:lpstr>P12 PBOP - DEK</vt:lpstr>
      <vt:lpstr>P13 Sch 1A Denominator</vt:lpstr>
      <vt:lpstr>P14 Sch 1A Rev Cr</vt:lpstr>
      <vt:lpstr>P15 Pole Counts</vt:lpstr>
      <vt:lpstr>P16 Prior Yr Corr</vt:lpstr>
      <vt:lpstr>P17 LSE Expenses</vt:lpstr>
      <vt:lpstr>Appendix_A</vt:lpstr>
      <vt:lpstr>AppxB_DEK_Pg1_RTEP</vt:lpstr>
      <vt:lpstr>AppxB_DEK_Pg2_RTEP</vt:lpstr>
      <vt:lpstr>AppxB_DEO_Pg1_RTEP</vt:lpstr>
      <vt:lpstr>AppxB_DEO_Pg2_RTEP</vt:lpstr>
      <vt:lpstr>AppxB_DEOK_Pg1_RTEP</vt:lpstr>
      <vt:lpstr>AppxC_DEK_Pg1_MTEP</vt:lpstr>
      <vt:lpstr>AppxC_DEK_Pg2_MTEP</vt:lpstr>
      <vt:lpstr>AppxC_DEO_Pg1_MTEP</vt:lpstr>
      <vt:lpstr>AppxC_DEO_Pg2_MTEP</vt:lpstr>
      <vt:lpstr>AppxC_DEOK_Pg1_MTEP</vt:lpstr>
      <vt:lpstr>AppxD_DEK</vt:lpstr>
      <vt:lpstr>AppxD_DEO_P1</vt:lpstr>
      <vt:lpstr>AppxD_DEO_P2</vt:lpstr>
      <vt:lpstr>DEK_1of6</vt:lpstr>
      <vt:lpstr>DEK_2of6</vt:lpstr>
      <vt:lpstr>DEK_3of6</vt:lpstr>
      <vt:lpstr>DEK_4of6</vt:lpstr>
      <vt:lpstr>DEK_5of6</vt:lpstr>
      <vt:lpstr>DEK_6of6</vt:lpstr>
      <vt:lpstr>DEK_CE_Alloc</vt:lpstr>
      <vt:lpstr>DEK_GP_Alloc</vt:lpstr>
      <vt:lpstr>DEK_NP_Alloc</vt:lpstr>
      <vt:lpstr>DEK_TE_Alloc</vt:lpstr>
      <vt:lpstr>DEK_TP_Alloc</vt:lpstr>
      <vt:lpstr>DEK_WS_Alloc</vt:lpstr>
      <vt:lpstr>DEO_1of6</vt:lpstr>
      <vt:lpstr>DEO_2of6</vt:lpstr>
      <vt:lpstr>DEO_3of6</vt:lpstr>
      <vt:lpstr>DEO_4of6</vt:lpstr>
      <vt:lpstr>DEO_5of6</vt:lpstr>
      <vt:lpstr>DEO_6of6</vt:lpstr>
      <vt:lpstr>DEO_CE_Alloc</vt:lpstr>
      <vt:lpstr>DEO_GP_Alloc</vt:lpstr>
      <vt:lpstr>DEO_NP_Alloc</vt:lpstr>
      <vt:lpstr>DEO_TE_Alloc</vt:lpstr>
      <vt:lpstr>DEO_TP_Alloc</vt:lpstr>
      <vt:lpstr>DEO_WS_Alloc</vt:lpstr>
      <vt:lpstr>DEOK_1of1</vt:lpstr>
      <vt:lpstr>FERCrefund</vt:lpstr>
      <vt:lpstr>FIT</vt:lpstr>
      <vt:lpstr>PeakKW_DEOK</vt:lpstr>
      <vt:lpstr>'P16 Prior Yr Corr'!PG1_Support_Corrections</vt:lpstr>
      <vt:lpstr>'Changes to May 2019 Filing'!Print_Area</vt:lpstr>
      <vt:lpstr>'P1 ADIT'!Print_Area</vt:lpstr>
      <vt:lpstr>'P10 Partner KW'!Print_Area</vt:lpstr>
      <vt:lpstr>'P11 PBOP - DEO'!Print_Area</vt:lpstr>
      <vt:lpstr>'P12 PBOP - DEK'!Print_Area</vt:lpstr>
      <vt:lpstr>'P13 Sch 1A Denominator'!Print_Area</vt:lpstr>
      <vt:lpstr>'P14 Sch 1A Rev Cr'!Print_Area</vt:lpstr>
      <vt:lpstr>'P15 Pole Counts'!Print_Area</vt:lpstr>
      <vt:lpstr>'P16 Prior Yr Corr'!Print_Area</vt:lpstr>
      <vt:lpstr>'P17 LSE Expenses'!Print_Area</vt:lpstr>
      <vt:lpstr>'P2 Allocate M&amp;S'!Print_Area</vt:lpstr>
      <vt:lpstr>'P3 Land Held for Future Use'!Print_Area</vt:lpstr>
      <vt:lpstr>'P4 Advertising - EPRI Adj.'!Print_Area</vt:lpstr>
      <vt:lpstr>'P5 A&amp;G Adjusments'!Print_Area</vt:lpstr>
      <vt:lpstr>'P6 Statetax'!Print_Area</vt:lpstr>
      <vt:lpstr>'P7 Trans Plant In OATT'!Print_Area</vt:lpstr>
      <vt:lpstr>'P8 Rev Cred Support'!Print_Area</vt:lpstr>
      <vt:lpstr>'P9 Capital Structure'!Print_Area</vt:lpstr>
      <vt:lpstr>INPUT!Print_Titles</vt:lpstr>
      <vt:lpstr>PriorYrCorr</vt:lpstr>
      <vt:lpstr>R_DEK</vt:lpstr>
      <vt:lpstr>R_DEO</vt:lpstr>
      <vt:lpstr>ROE</vt:lpstr>
      <vt:lpstr>SCH_1A</vt:lpstr>
      <vt:lpstr>SIT_DEK</vt:lpstr>
      <vt:lpstr>SIT_DEO</vt:lpstr>
      <vt:lpstr>WCLTD_DEK</vt:lpstr>
      <vt:lpstr>WCLTD_DEO</vt:lpstr>
      <vt:lpstr>Workpaper</vt:lpstr>
      <vt:lpstr>Workpaper_P1</vt:lpstr>
      <vt:lpstr>Workpaper_P10</vt:lpstr>
      <vt:lpstr>Workpaper_P11</vt:lpstr>
      <vt:lpstr>Workpaper_P12</vt:lpstr>
      <vt:lpstr>Workpaper_P13</vt:lpstr>
      <vt:lpstr>Workpaper_P14</vt:lpstr>
      <vt:lpstr>Workpaper_P15</vt:lpstr>
      <vt:lpstr>Workpaper_P16</vt:lpstr>
      <vt:lpstr>Workpaper_P17</vt:lpstr>
      <vt:lpstr>Workpaper_P2</vt:lpstr>
      <vt:lpstr>Workpaper_P3</vt:lpstr>
      <vt:lpstr>Workpaper_P4</vt:lpstr>
      <vt:lpstr>Workpaper_P5</vt:lpstr>
      <vt:lpstr>Workpaper_P6</vt:lpstr>
      <vt:lpstr>Workpaper_P7</vt:lpstr>
      <vt:lpstr>Workpaper_P8</vt:lpstr>
      <vt:lpstr>Workpaper_P9</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Czupik, Ted</cp:lastModifiedBy>
  <cp:lastPrinted>2020-01-23T15:50:53Z</cp:lastPrinted>
  <dcterms:created xsi:type="dcterms:W3CDTF">1997-04-03T19:40:56Z</dcterms:created>
  <dcterms:modified xsi:type="dcterms:W3CDTF">2020-01-28T18:54:27Z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ContentTypeId">
    <vt:lpwstr>0x010100DB9D774DC810754C9DE2B4E81BAF410D</vt:lpwstr>
  </property>
</Properties>
</file>