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V:\_NEET MidAtlantic\Formula Rate\2021 Formula Rate Filing\2021 Formula Rate Projection\"/>
    </mc:Choice>
  </mc:AlternateContent>
  <xr:revisionPtr revIDLastSave="0" documentId="13_ncr:1_{F554EA94-AD1A-43A4-A438-ABBFA9EB0D77}" xr6:coauthVersionLast="44" xr6:coauthVersionMax="44" xr10:uidLastSave="{00000000-0000-0000-0000-000000000000}"/>
  <bookViews>
    <workbookView xWindow="-120" yWindow="-120" windowWidth="29040" windowHeight="15840" tabRatio="740" xr2:uid="{5D645973-3039-4E94-81E0-EA5D47342893}"/>
  </bookViews>
  <sheets>
    <sheet name="Attachment H" sheetId="1" r:id="rId1"/>
    <sheet name="1-Project Rev Req" sheetId="2" r:id="rId2"/>
    <sheet name="2-Incentive ROE" sheetId="3" r:id="rId3"/>
    <sheet name="3-Project True-up" sheetId="4" r:id="rId4"/>
    <sheet name="4- Rate Base" sheetId="5" r:id="rId5"/>
    <sheet name="4a-Projection ADIT" sheetId="6" r:id="rId6"/>
    <sheet name="5-P3 Support" sheetId="7" r:id="rId7"/>
    <sheet name="6-True-Up Interest" sheetId="8" r:id="rId8"/>
    <sheet name="7 - PBOP" sheetId="9" r:id="rId9"/>
    <sheet name="8-Dep Rates" sheetId="10" r:id="rId10"/>
  </sheets>
  <externalReferences>
    <externalReference r:id="rId11"/>
    <externalReference r:id="rId12"/>
    <externalReference r:id="rId13"/>
    <externalReference r:id="rId14"/>
    <externalReference r:id="rId15"/>
  </externalReferences>
  <definedNames>
    <definedName name="_____dat1111">[1]Sheet1!$G$2:$G$29</definedName>
    <definedName name="____dat1111">[1]Sheet1!$G$2:$G$29</definedName>
    <definedName name="___dat1111">[1]Sheet1!$G$2:$G$29</definedName>
    <definedName name="__dat1111">[1]Sheet1!$G$2:$G$29</definedName>
    <definedName name="_1E_1">#N/A</definedName>
    <definedName name="_31_Dec_00" localSheetId="2">#REF!</definedName>
    <definedName name="_31_Dec_00">#REF!</definedName>
    <definedName name="_31_Jan_01">#REF!</definedName>
    <definedName name="_dat1111">[1]Sheet1!$G$2:$G$29</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'[1]AC 255'!$A$1:$M$32</definedName>
    <definedName name="Actual">[1]Assumptions!$E$52</definedName>
    <definedName name="AllASS">[1]ALL!$B$25</definedName>
    <definedName name="ALLCGI">[1]ALL!$D$25</definedName>
    <definedName name="ALLRD">[1]ALL!$C$25</definedName>
    <definedName name="ALLSKP">[1]ALL!$E$25</definedName>
    <definedName name="anscount" hidden="1">1</definedName>
    <definedName name="AS2DocOpenMode" hidden="1">"AS2DocumentEdit"</definedName>
    <definedName name="BALANCE">'[1]MTHLY BAL.'!$A$6:$O$89</definedName>
    <definedName name="Balances">#REF!</definedName>
    <definedName name="Basis_Points">[1]Assumptions!$H$15</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g_CWIP">'[1]Input Page'!$E$14</definedName>
    <definedName name="BGS_Cost_Scenario">[1]Assumptions!$E$33</definedName>
    <definedName name="BGS_RFP">[1]Assumptions!$E$36</definedName>
    <definedName name="BLE_Close_Date">[1]Assumptions!$E$28</definedName>
    <definedName name="can" hidden="1">{#N/A,#N/A,FALSE,"O&amp;M by processes";#N/A,#N/A,FALSE,"Elec Act vs Bud";#N/A,#N/A,FALSE,"G&amp;A";#N/A,#N/A,FALSE,"BGS";#N/A,#N/A,FALSE,"Res Cost"}</definedName>
    <definedName name="cap_interest">'[1]Input Page'!$E$12</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'[1]JFJ-4 CEP Rate'!$A$28:$F$78</definedName>
    <definedName name="CH_COS" localSheetId="1">#REF!</definedName>
    <definedName name="CH_COS">#REF!</definedName>
    <definedName name="COGEN">'[1]October Tariff kwh'!$A$1:$H$83</definedName>
    <definedName name="Columns">#REF!</definedName>
    <definedName name="compInc">[1]Inputs!$B$4</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'[1]Input Page'!$E$7</definedName>
    <definedName name="cost2001">[1]Input!$M$23</definedName>
    <definedName name="Current_sum">#REF!</definedName>
    <definedName name="CUT">[1]AFUDC_CCRF!$A$1:$N$303</definedName>
    <definedName name="CUTINS">[1]AFUDC_CCRF!$A$73:$N$160</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[1]Sheet1!$B$2:$B$29</definedName>
    <definedName name="data_3">[2]Permanent!$A$9:$O$20</definedName>
    <definedName name="DefaultCopy" localSheetId="2">#REF!</definedName>
    <definedName name="DefaultCopy">#REF!</definedName>
    <definedName name="DefaultPaste">#REF!</definedName>
    <definedName name="Deferral_Interest_Rate">[1]Assumptions!$H$14</definedName>
    <definedName name="Deferral_Recovery">'[1]JFJ-1 Deferral Recovery Rate'!$A$14:$F$64</definedName>
    <definedName name="DefTax">[1]Lists!$A$2:$A$4</definedName>
    <definedName name="delete" hidden="1">{#N/A,#N/A,FALSE,"CURRENT"}</definedName>
    <definedName name="detail">#REF!</definedName>
    <definedName name="eeee" hidden="1">{#N/A,#N/A,FALSE,"O&amp;M by processes";#N/A,#N/A,FALSE,"Elec Act vs Bud";#N/A,#N/A,FALSE,"G&amp;A";#N/A,#N/A,FALSE,"BGS";#N/A,#N/A,FALSE,"Res Cost"}</definedName>
    <definedName name="EROA">[1]Inputs!$B$3</definedName>
    <definedName name="EV__LASTREFTIME__" hidden="1">39826.8319444444</definedName>
    <definedName name="fed_inc_tax">'[1]Input Page'!$E$9</definedName>
    <definedName name="Fossil_BGS">[1]Assumptions!$E$58</definedName>
    <definedName name="Fossil_Secur_Date">[1]Assumptions!$E$22</definedName>
    <definedName name="GenLedger">[1]PEPCO!$A$9:$H$774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[1]criteria!$A$5:$B$6</definedName>
    <definedName name="INTQ">'[1]IR COMP'!$B$39</definedName>
    <definedName name="INTY">'[1]IR COMP'!$C$39</definedName>
    <definedName name="itc">#REF!</definedName>
    <definedName name="KeyCon_Close_Date">[1]Assumptions!$E$29</definedName>
    <definedName name="kk">#REF!</definedName>
    <definedName name="l">[1]Lists!$A$2:$A$4</definedName>
    <definedName name="Labor">'[1]Labor ratio'!$A$2:$K$14</definedName>
    <definedName name="limcount" hidden="1">1</definedName>
    <definedName name="Mgmt" localSheetId="2">[3]Current!#REF!</definedName>
    <definedName name="Mgmt">[3]Current!#REF!</definedName>
    <definedName name="million">1000000</definedName>
    <definedName name="month">[1]RPT80MAR!$A$1:$D$77</definedName>
    <definedName name="months">[2]Permanent!$A$24:$A$35</definedName>
    <definedName name="MTC_Amortization">'[1]JFJ-3 MTC Rate'!$A$32:$F$82</definedName>
    <definedName name="new" localSheetId="2">#REF!</definedName>
    <definedName name="new">#REF!</definedName>
    <definedName name="non_cap_int">'[1]Input Page'!$E$11</definedName>
    <definedName name="NSP_COS" localSheetId="1">#REF!</definedName>
    <definedName name="NSP_COS">#REF!</definedName>
    <definedName name="Nuclear_Secur_Date">[1]Assumptions!$E$21</definedName>
    <definedName name="one">1</definedName>
    <definedName name="pctHW">[1]Input!$M$24</definedName>
    <definedName name="pctSWExp">[1]Input!$M$26</definedName>
    <definedName name="pctTraining">[1]Input!$M$25</definedName>
    <definedName name="post_fossil">[1]Assumptions!$E$59</definedName>
    <definedName name="PPA">[1]Assumptions!$E$38</definedName>
    <definedName name="PreTaxDebt">'[1]MTC Return'!$F$18</definedName>
    <definedName name="_xlnm.Print_Area" localSheetId="1">'1-Project Rev Req'!$A$1:$S$108</definedName>
    <definedName name="_xlnm.Print_Area" localSheetId="2">'2-Incentive ROE'!$A$1:$K$48</definedName>
    <definedName name="_xlnm.Print_Area" localSheetId="4">'4- Rate Base'!$A$1:$J$73</definedName>
    <definedName name="_xlnm.Print_Area" localSheetId="5">'4a-Projection ADIT'!$A$1:$K$126</definedName>
    <definedName name="_xlnm.Print_Area" localSheetId="6">'5-P3 Support'!$A$1:$M$95</definedName>
    <definedName name="_xlnm.Print_Area" localSheetId="8">'7 - PBOP'!$A$1:$F$22</definedName>
    <definedName name="_xlnm.Print_Area" localSheetId="9">'8-Dep Rates'!$A$1:$D$47</definedName>
    <definedName name="_xlnm.Print_Area" localSheetId="0">'Attachment H'!$A$1:$K$274</definedName>
    <definedName name="Print_Titles_MI">'[1]DACTIVE$'!$A$1:$IV$4,'[1]DACTIVE$'!$A$1:$A$65536</definedName>
    <definedName name="Print1" localSheetId="1">#REF!</definedName>
    <definedName name="Print1" localSheetId="2">#REF!</definedName>
    <definedName name="Print1">#REF!</definedName>
    <definedName name="Print3" localSheetId="1">#REF!</definedName>
    <definedName name="Print3">#REF!</definedName>
    <definedName name="Print4" localSheetId="1">#REF!</definedName>
    <definedName name="Print4">#REF!</definedName>
    <definedName name="Print5">#REF!</definedName>
    <definedName name="PrintareaDec">'[1]kWh-Mcf'!$E$97,'[1]kWh-Mcf'!$A$81:$E$118,'[1]kWh-Mcf'!$AM$86:$AO$118</definedName>
    <definedName name="ProjIDList">#REF!</definedName>
    <definedName name="PSCo_COS">#REF!</definedName>
    <definedName name="q_MTEP06_App_AB_Facility">#REF!</definedName>
    <definedName name="q_MTEP06_App_AB_Projects">#REF!</definedName>
    <definedName name="query">'[1]Boston Edison'!$A$1:$M$3434</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PS_COS" localSheetId="2">#REF!</definedName>
    <definedName name="SPS_COS">#REF!</definedName>
    <definedName name="State">'[1]State List'!$A$2:$A$53</definedName>
    <definedName name="statsrevised" hidden="1">{#N/A,#N/A,FALSE,"O&amp;M by processes";#N/A,#N/A,FALSE,"Elec Act vs Bud";#N/A,#N/A,FALSE,"G&amp;A";#N/A,#N/A,FALSE,"BGS";#N/A,#N/A,FALSE,"Res Cost"}</definedName>
    <definedName name="STILL1040">'[1]Addt''l 1040 Exclusions'!$A$5:$U$44</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ap_Amort">'[1]Keystone Swap Amort Sched'!$A$1:$F$241</definedName>
    <definedName name="Tacx_Factor">[1]Assumptions!$E$52</definedName>
    <definedName name="tax_base_on_inc">'[1]Input Page'!$E$10</definedName>
    <definedName name="tax_basis">'[1]Input Page'!$E$13</definedName>
    <definedName name="taxcalc">#REF!</definedName>
    <definedName name="thousand">1000</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_ded">'[1]Input Page'!$E$8</definedName>
    <definedName name="Tota_Deferred">#REF!</definedName>
    <definedName name="valDate">[1]Inputs!$B$1</definedName>
    <definedName name="WCCGCR2">[1]Rates!$B$96:$C$190</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_Description">'[1]WO Info'!$A$1:$F$17972</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cel" localSheetId="1">'[4]Data Entry and Forecaster'!#REF!</definedName>
    <definedName name="Xcel">'[5]Data Entry and Forecaster'!#REF!</definedName>
    <definedName name="Xcel_COS" localSheetId="1">#REF!</definedName>
    <definedName name="Xcel_COS" localSheetId="2">#REF!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EAR1">[1]Inputs!$C$17</definedName>
    <definedName name="yeartodate">[1]RPT80MAR!$A$84:$D$158</definedName>
    <definedName name="Z_F04A2B9A_C6FE_4FEB_AD1E_2CF9AC309BE4_.wvu.PrintArea" localSheetId="1" hidden="1">'1-Project Rev Req'!$A$1:$Q$105</definedName>
    <definedName name="Z_F04A2B9A_C6FE_4FEB_AD1E_2CF9AC309BE4_.wvu.PrintArea" localSheetId="3" hidden="1">'3-Project True-up'!$A$1:$L$24</definedName>
    <definedName name="Z_F04A2B9A_C6FE_4FEB_AD1E_2CF9AC309BE4_.wvu.PrintArea" localSheetId="4" hidden="1">'4- Rate Base'!$A$1:$L$49</definedName>
    <definedName name="Z_F04A2B9A_C6FE_4FEB_AD1E_2CF9AC309BE4_.wvu.PrintArea" localSheetId="0" hidden="1">'Attachment H'!$A$1:$K$267</definedName>
    <definedName name="zero">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10" l="1"/>
  <c r="D33" i="10"/>
  <c r="A31" i="10"/>
  <c r="A32" i="10" s="1"/>
  <c r="A33" i="10" s="1"/>
  <c r="A34" i="10" s="1"/>
  <c r="A35" i="10" s="1"/>
  <c r="A36" i="10" s="1"/>
  <c r="A10" i="10"/>
  <c r="A11" i="10" s="1"/>
  <c r="A12" i="10" s="1"/>
  <c r="A13" i="10" s="1"/>
  <c r="A14" i="10" s="1"/>
  <c r="A15" i="10" s="1"/>
  <c r="A16" i="10" s="1"/>
  <c r="A17" i="10" s="1"/>
  <c r="A20" i="10" s="1"/>
  <c r="A21" i="10" s="1"/>
  <c r="A22" i="10" s="1"/>
  <c r="A23" i="10" s="1"/>
  <c r="A24" i="10" s="1"/>
  <c r="A25" i="10" s="1"/>
  <c r="A26" i="10" s="1"/>
  <c r="A27" i="10" s="1"/>
  <c r="A9" i="10"/>
  <c r="A4" i="10"/>
  <c r="D11" i="9"/>
  <c r="D13" i="9" s="1"/>
  <c r="C3" i="9"/>
  <c r="H15" i="8"/>
  <c r="G15" i="8"/>
  <c r="H14" i="8"/>
  <c r="G14" i="8"/>
  <c r="G13" i="8"/>
  <c r="H13" i="8"/>
  <c r="G12" i="8"/>
  <c r="H12" i="8"/>
  <c r="H11" i="8"/>
  <c r="G11" i="8"/>
  <c r="H9" i="8"/>
  <c r="G9" i="8"/>
  <c r="H8" i="8"/>
  <c r="I3" i="8"/>
  <c r="F88" i="7"/>
  <c r="G86" i="7"/>
  <c r="K86" i="7" s="1"/>
  <c r="J80" i="7"/>
  <c r="G68" i="7"/>
  <c r="F68" i="7"/>
  <c r="E68" i="7"/>
  <c r="D68" i="7"/>
  <c r="I222" i="1" s="1"/>
  <c r="C68" i="7"/>
  <c r="A56" i="7"/>
  <c r="A57" i="7" s="1"/>
  <c r="A58" i="7" s="1"/>
  <c r="A59" i="7" s="1"/>
  <c r="A60" i="7" s="1"/>
  <c r="A61" i="7" s="1"/>
  <c r="A62" i="7" s="1"/>
  <c r="A63" i="7" s="1"/>
  <c r="A64" i="7" s="1"/>
  <c r="A65" i="7" s="1"/>
  <c r="A66" i="7" s="1"/>
  <c r="A67" i="7" s="1"/>
  <c r="A68" i="7" s="1"/>
  <c r="A69" i="7" s="1"/>
  <c r="A70" i="7" s="1"/>
  <c r="A73" i="7" s="1"/>
  <c r="A75" i="7" s="1"/>
  <c r="A77" i="7" s="1"/>
  <c r="A78" i="7" s="1"/>
  <c r="A79" i="7" s="1"/>
  <c r="A80" i="7" s="1"/>
  <c r="A85" i="7" s="1"/>
  <c r="A86" i="7" s="1"/>
  <c r="A87" i="7" s="1"/>
  <c r="A88" i="7" s="1"/>
  <c r="F54" i="7"/>
  <c r="G48" i="7"/>
  <c r="M45" i="7"/>
  <c r="L45" i="7"/>
  <c r="K45" i="7"/>
  <c r="J45" i="7"/>
  <c r="I45" i="7"/>
  <c r="H45" i="7"/>
  <c r="F45" i="7"/>
  <c r="E45" i="7"/>
  <c r="D45" i="7"/>
  <c r="C45" i="7"/>
  <c r="G45" i="7"/>
  <c r="D148" i="1" s="1"/>
  <c r="F30" i="7"/>
  <c r="G30" i="7" s="1"/>
  <c r="H30" i="7" s="1"/>
  <c r="I30" i="7" s="1"/>
  <c r="J30" i="7" s="1"/>
  <c r="L24" i="7"/>
  <c r="K24" i="7"/>
  <c r="J24" i="7"/>
  <c r="I24" i="7"/>
  <c r="H24" i="7"/>
  <c r="G24" i="7"/>
  <c r="E24" i="7"/>
  <c r="D24" i="7"/>
  <c r="F24" i="7"/>
  <c r="F15" i="7"/>
  <c r="C13" i="7"/>
  <c r="I9" i="7"/>
  <c r="H9" i="7"/>
  <c r="G3" i="7"/>
  <c r="B122" i="6"/>
  <c r="J120" i="6"/>
  <c r="D115" i="6"/>
  <c r="D114" i="6"/>
  <c r="D113" i="6"/>
  <c r="D112" i="6"/>
  <c r="D111" i="6"/>
  <c r="D110" i="6"/>
  <c r="D109" i="6"/>
  <c r="D108" i="6"/>
  <c r="D107" i="6"/>
  <c r="H106" i="6"/>
  <c r="D106" i="6"/>
  <c r="H105" i="6"/>
  <c r="D105" i="6"/>
  <c r="D104" i="6"/>
  <c r="B91" i="6"/>
  <c r="J89" i="6"/>
  <c r="J88" i="6"/>
  <c r="D84" i="6"/>
  <c r="D83" i="6"/>
  <c r="D82" i="6"/>
  <c r="D81" i="6"/>
  <c r="D80" i="6"/>
  <c r="D79" i="6"/>
  <c r="D78" i="6"/>
  <c r="D77" i="6"/>
  <c r="D76" i="6"/>
  <c r="D75" i="6"/>
  <c r="D74" i="6"/>
  <c r="C74" i="6"/>
  <c r="H74" i="6"/>
  <c r="D73" i="6"/>
  <c r="B60" i="6"/>
  <c r="J58" i="6"/>
  <c r="D53" i="6"/>
  <c r="D52" i="6"/>
  <c r="D51" i="6"/>
  <c r="D50" i="6"/>
  <c r="D49" i="6"/>
  <c r="D48" i="6"/>
  <c r="D47" i="6"/>
  <c r="D46" i="6"/>
  <c r="D54" i="6" s="1"/>
  <c r="E42" i="6" s="1"/>
  <c r="F42" i="6" s="1"/>
  <c r="I42" i="6" s="1"/>
  <c r="D45" i="6"/>
  <c r="H44" i="6"/>
  <c r="D44" i="6"/>
  <c r="H43" i="6"/>
  <c r="C43" i="6"/>
  <c r="D43" i="6" s="1"/>
  <c r="D42" i="6"/>
  <c r="B29" i="6"/>
  <c r="J27" i="6"/>
  <c r="J26" i="6" s="1"/>
  <c r="D22" i="6"/>
  <c r="D21" i="6"/>
  <c r="D20" i="6"/>
  <c r="D19" i="6"/>
  <c r="D18" i="6"/>
  <c r="D17" i="6"/>
  <c r="D16" i="6"/>
  <c r="D15" i="6"/>
  <c r="D14" i="6"/>
  <c r="D13" i="6"/>
  <c r="H12" i="6"/>
  <c r="D12" i="6"/>
  <c r="D11" i="6"/>
  <c r="A6" i="6"/>
  <c r="A8" i="6" s="1"/>
  <c r="A9" i="6" s="1"/>
  <c r="A10" i="6" s="1"/>
  <c r="B1" i="6"/>
  <c r="D59" i="5"/>
  <c r="I58" i="5"/>
  <c r="I54" i="5"/>
  <c r="I53" i="5"/>
  <c r="F49" i="5"/>
  <c r="I44" i="5"/>
  <c r="H44" i="5"/>
  <c r="G44" i="5"/>
  <c r="E44" i="5"/>
  <c r="D44" i="5"/>
  <c r="C44" i="5"/>
  <c r="J24" i="5"/>
  <c r="H24" i="5"/>
  <c r="G24" i="5"/>
  <c r="F24" i="5"/>
  <c r="E24" i="5"/>
  <c r="D24" i="5"/>
  <c r="I16" i="5"/>
  <c r="I17" i="5" s="1"/>
  <c r="I18" i="5" s="1"/>
  <c r="I19" i="5" s="1"/>
  <c r="I20" i="5" s="1"/>
  <c r="C24" i="5"/>
  <c r="G3" i="5"/>
  <c r="E59" i="4"/>
  <c r="B57" i="4"/>
  <c r="G39" i="4"/>
  <c r="D39" i="4"/>
  <c r="F37" i="4"/>
  <c r="H37" i="4" s="1"/>
  <c r="F36" i="4"/>
  <c r="H36" i="4" s="1"/>
  <c r="F35" i="4"/>
  <c r="H35" i="4" s="1"/>
  <c r="H34" i="4"/>
  <c r="F34" i="4"/>
  <c r="F33" i="4"/>
  <c r="H33" i="4" s="1"/>
  <c r="E33" i="4"/>
  <c r="H32" i="4"/>
  <c r="F32" i="4"/>
  <c r="F31" i="4"/>
  <c r="H31" i="4" s="1"/>
  <c r="F30" i="4"/>
  <c r="H30" i="4" s="1"/>
  <c r="E30" i="4"/>
  <c r="F29" i="4"/>
  <c r="H29" i="4" s="1"/>
  <c r="H28" i="4"/>
  <c r="F28" i="4"/>
  <c r="E28" i="4"/>
  <c r="F27" i="4"/>
  <c r="H27" i="4" s="1"/>
  <c r="H26" i="4"/>
  <c r="F26" i="4"/>
  <c r="F25" i="4"/>
  <c r="H25" i="4" s="1"/>
  <c r="E25" i="4"/>
  <c r="H24" i="4"/>
  <c r="F24" i="4"/>
  <c r="F23" i="4"/>
  <c r="H23" i="4" s="1"/>
  <c r="F22" i="4"/>
  <c r="H22" i="4" s="1"/>
  <c r="E22" i="4"/>
  <c r="F21" i="4"/>
  <c r="H21" i="4" s="1"/>
  <c r="F20" i="4"/>
  <c r="H20" i="4" s="1"/>
  <c r="E20" i="4"/>
  <c r="F19" i="4"/>
  <c r="H19" i="4" s="1"/>
  <c r="H18" i="4"/>
  <c r="F18" i="4"/>
  <c r="E7" i="4"/>
  <c r="E19" i="3"/>
  <c r="E23" i="3" s="1"/>
  <c r="E15" i="3"/>
  <c r="H14" i="3"/>
  <c r="J14" i="3" s="1"/>
  <c r="J13" i="3"/>
  <c r="J12" i="3"/>
  <c r="A9" i="3"/>
  <c r="A12" i="3" s="1"/>
  <c r="A13" i="3" s="1"/>
  <c r="A14" i="3" s="1"/>
  <c r="A15" i="3" s="1"/>
  <c r="A16" i="3" s="1"/>
  <c r="A18" i="3" s="1"/>
  <c r="A19" i="3" s="1"/>
  <c r="F5" i="3"/>
  <c r="P86" i="2"/>
  <c r="S85" i="2"/>
  <c r="H67" i="2"/>
  <c r="E66" i="2"/>
  <c r="G57" i="2"/>
  <c r="G56" i="2"/>
  <c r="G55" i="2"/>
  <c r="I34" i="2"/>
  <c r="L34" i="2" s="1"/>
  <c r="G7" i="2"/>
  <c r="D238" i="1"/>
  <c r="K236" i="1"/>
  <c r="I227" i="1"/>
  <c r="D15" i="1" s="1"/>
  <c r="I226" i="1"/>
  <c r="I225" i="1"/>
  <c r="I219" i="1"/>
  <c r="I220" i="1" s="1"/>
  <c r="D213" i="1"/>
  <c r="G212" i="1"/>
  <c r="D212" i="1"/>
  <c r="I211" i="1"/>
  <c r="G211" i="1"/>
  <c r="E211" i="1"/>
  <c r="D211" i="1"/>
  <c r="G210" i="1"/>
  <c r="D210" i="1"/>
  <c r="G209" i="1"/>
  <c r="I203" i="1"/>
  <c r="D199" i="1"/>
  <c r="G198" i="1"/>
  <c r="G197" i="1"/>
  <c r="G195" i="1"/>
  <c r="A187" i="1"/>
  <c r="A188" i="1" s="1"/>
  <c r="A189" i="1" s="1"/>
  <c r="A191" i="1" s="1"/>
  <c r="A193" i="1" s="1"/>
  <c r="A195" i="1" s="1"/>
  <c r="A196" i="1" s="1"/>
  <c r="A197" i="1" s="1"/>
  <c r="A198" i="1" s="1"/>
  <c r="A199" i="1" s="1"/>
  <c r="A201" i="1" s="1"/>
  <c r="A202" i="1" s="1"/>
  <c r="A203" i="1" s="1"/>
  <c r="A204" i="1" s="1"/>
  <c r="A205" i="1" s="1"/>
  <c r="A207" i="1" s="1"/>
  <c r="A208" i="1" s="1"/>
  <c r="A209" i="1" s="1"/>
  <c r="A210" i="1" s="1"/>
  <c r="A211" i="1" s="1"/>
  <c r="A212" i="1" s="1"/>
  <c r="A213" i="1" s="1"/>
  <c r="A215" i="1" s="1"/>
  <c r="A217" i="1" s="1"/>
  <c r="A218" i="1" s="1"/>
  <c r="A219" i="1" s="1"/>
  <c r="A220" i="1" s="1"/>
  <c r="A222" i="1" s="1"/>
  <c r="D179" i="1"/>
  <c r="K177" i="1"/>
  <c r="D162" i="1"/>
  <c r="E26" i="3" s="1"/>
  <c r="D161" i="1"/>
  <c r="E25" i="3" s="1"/>
  <c r="D160" i="1"/>
  <c r="E24" i="3" s="1"/>
  <c r="D155" i="1"/>
  <c r="C154" i="1"/>
  <c r="D151" i="1"/>
  <c r="D150" i="1"/>
  <c r="D149" i="1"/>
  <c r="D146" i="1"/>
  <c r="D145" i="1"/>
  <c r="D140" i="1"/>
  <c r="I140" i="1" s="1"/>
  <c r="D138" i="1"/>
  <c r="D132" i="1"/>
  <c r="D159" i="1" s="1"/>
  <c r="D165" i="1" s="1"/>
  <c r="D131" i="1"/>
  <c r="I129" i="1"/>
  <c r="F129" i="1"/>
  <c r="D129" i="1"/>
  <c r="D127" i="1"/>
  <c r="D126" i="1"/>
  <c r="D125" i="1"/>
  <c r="D124" i="1"/>
  <c r="D123" i="1"/>
  <c r="A123" i="1"/>
  <c r="A124" i="1" s="1"/>
  <c r="A126" i="1" s="1"/>
  <c r="A128" i="1" s="1"/>
  <c r="A129" i="1" s="1"/>
  <c r="A130" i="1" s="1"/>
  <c r="A131" i="1" s="1"/>
  <c r="A132" i="1" s="1"/>
  <c r="A133" i="1" s="1"/>
  <c r="A134" i="1" s="1"/>
  <c r="A136" i="1" s="1"/>
  <c r="A137" i="1" s="1"/>
  <c r="A138" i="1" s="1"/>
  <c r="A139" i="1" s="1"/>
  <c r="A140" i="1" s="1"/>
  <c r="A141" i="1" s="1"/>
  <c r="A143" i="1" s="1"/>
  <c r="A144" i="1" s="1"/>
  <c r="A145" i="1" s="1"/>
  <c r="A146" i="1" s="1"/>
  <c r="A147" i="1" s="1"/>
  <c r="A148" i="1" s="1"/>
  <c r="A149" i="1" s="1"/>
  <c r="A150" i="1" s="1"/>
  <c r="A151" i="1" s="1"/>
  <c r="A152" i="1" s="1"/>
  <c r="A154" i="1" s="1"/>
  <c r="A155" i="1" s="1"/>
  <c r="D122" i="1"/>
  <c r="F121" i="1"/>
  <c r="D121" i="1"/>
  <c r="A121" i="1"/>
  <c r="A122" i="1" s="1"/>
  <c r="F120" i="1"/>
  <c r="D120" i="1"/>
  <c r="A120" i="1"/>
  <c r="D113" i="1"/>
  <c r="K111" i="1"/>
  <c r="D103" i="1"/>
  <c r="D102" i="1"/>
  <c r="D98" i="1"/>
  <c r="I95" i="1"/>
  <c r="D95" i="1"/>
  <c r="I94" i="1"/>
  <c r="F94" i="1"/>
  <c r="D94" i="1"/>
  <c r="I93" i="1"/>
  <c r="F93" i="1"/>
  <c r="D93" i="1"/>
  <c r="G92" i="1"/>
  <c r="D91" i="1"/>
  <c r="D90" i="1"/>
  <c r="D89" i="1"/>
  <c r="D87" i="1"/>
  <c r="D83" i="1"/>
  <c r="I81" i="1"/>
  <c r="D81" i="1"/>
  <c r="I79" i="1"/>
  <c r="D79" i="1"/>
  <c r="D74" i="1"/>
  <c r="I73" i="1"/>
  <c r="G73" i="1"/>
  <c r="I66" i="1"/>
  <c r="G66" i="1"/>
  <c r="G74" i="1" s="1"/>
  <c r="D66" i="1"/>
  <c r="D82" i="1" s="1"/>
  <c r="A65" i="1"/>
  <c r="D64" i="1"/>
  <c r="D68" i="1" s="1"/>
  <c r="A64" i="1"/>
  <c r="D56" i="1"/>
  <c r="K54" i="1"/>
  <c r="D16" i="1"/>
  <c r="A16" i="1"/>
  <c r="A17" i="1" s="1"/>
  <c r="A18" i="1" s="1"/>
  <c r="A19" i="1" s="1"/>
  <c r="A21" i="1" s="1"/>
  <c r="A23" i="1" s="1"/>
  <c r="A25" i="1" s="1"/>
  <c r="A15" i="1"/>
  <c r="D14" i="1"/>
  <c r="A14" i="1"/>
  <c r="G122" i="1" l="1"/>
  <c r="I74" i="1"/>
  <c r="A224" i="1"/>
  <c r="A225" i="1" s="1"/>
  <c r="A226" i="1" s="1"/>
  <c r="A227" i="1" s="1"/>
  <c r="C15" i="1" s="1"/>
  <c r="C14" i="1"/>
  <c r="B159" i="1"/>
  <c r="A156" i="1"/>
  <c r="A157" i="1" s="1"/>
  <c r="A158" i="1" s="1"/>
  <c r="A159" i="1" s="1"/>
  <c r="A160" i="1" s="1"/>
  <c r="A161" i="1" s="1"/>
  <c r="A162" i="1" s="1"/>
  <c r="A163" i="1" s="1"/>
  <c r="A164" i="1" s="1"/>
  <c r="A165" i="1" s="1"/>
  <c r="A166" i="1" s="1"/>
  <c r="A167" i="1" s="1"/>
  <c r="A169" i="1" s="1"/>
  <c r="A170" i="1" s="1"/>
  <c r="A172" i="1" s="1"/>
  <c r="J42" i="6"/>
  <c r="D19" i="1"/>
  <c r="F27" i="6"/>
  <c r="A11" i="6"/>
  <c r="A12" i="6" s="1"/>
  <c r="A13" i="6" s="1"/>
  <c r="A14" i="6" s="1"/>
  <c r="A15" i="6" s="1"/>
  <c r="A16" i="6" s="1"/>
  <c r="A17" i="6" s="1"/>
  <c r="A18" i="6" s="1"/>
  <c r="A19" i="6" s="1"/>
  <c r="A20" i="6" s="1"/>
  <c r="A21" i="6" s="1"/>
  <c r="A22" i="6" s="1"/>
  <c r="E30" i="3"/>
  <c r="E28" i="3"/>
  <c r="E29" i="3"/>
  <c r="D164" i="1"/>
  <c r="D152" i="1"/>
  <c r="A66" i="1"/>
  <c r="A67" i="1" s="1"/>
  <c r="I82" i="1"/>
  <c r="C24" i="7"/>
  <c r="D119" i="1" s="1"/>
  <c r="D134" i="1" s="1"/>
  <c r="D101" i="1" s="1"/>
  <c r="D104" i="1" s="1"/>
  <c r="I186" i="1"/>
  <c r="B23" i="3"/>
  <c r="A20" i="3"/>
  <c r="J15" i="3"/>
  <c r="I131" i="1"/>
  <c r="D133" i="1"/>
  <c r="D166" i="1"/>
  <c r="I21" i="5"/>
  <c r="I22" i="5" s="1"/>
  <c r="I23" i="5" s="1"/>
  <c r="H75" i="6"/>
  <c r="M24" i="7"/>
  <c r="H17" i="8"/>
  <c r="E31" i="4"/>
  <c r="E23" i="4"/>
  <c r="E34" i="4"/>
  <c r="E26" i="4"/>
  <c r="E18" i="4"/>
  <c r="E37" i="4"/>
  <c r="E29" i="4"/>
  <c r="E21" i="4"/>
  <c r="E32" i="4"/>
  <c r="E24" i="4"/>
  <c r="E35" i="4"/>
  <c r="E27" i="4"/>
  <c r="E19" i="4"/>
  <c r="E36" i="4"/>
  <c r="I59" i="5"/>
  <c r="D92" i="1" s="1"/>
  <c r="I92" i="1" s="1"/>
  <c r="H10" i="8"/>
  <c r="G10" i="8"/>
  <c r="F39" i="4"/>
  <c r="D23" i="6"/>
  <c r="J57" i="6"/>
  <c r="D85" i="6"/>
  <c r="E73" i="6" s="1"/>
  <c r="F73" i="6" s="1"/>
  <c r="I73" i="6" s="1"/>
  <c r="D116" i="6"/>
  <c r="E104" i="6" s="1"/>
  <c r="F104" i="6" s="1"/>
  <c r="I104" i="6" s="1"/>
  <c r="G85" i="7"/>
  <c r="G87" i="7"/>
  <c r="H39" i="4"/>
  <c r="J119" i="6"/>
  <c r="H13" i="6"/>
  <c r="H107" i="6"/>
  <c r="H45" i="6"/>
  <c r="G8" i="8"/>
  <c r="G17" i="8" s="1"/>
  <c r="I45" i="6" l="1"/>
  <c r="H46" i="6"/>
  <c r="K66" i="2"/>
  <c r="D137" i="1"/>
  <c r="D141" i="1" s="1"/>
  <c r="K87" i="7"/>
  <c r="I212" i="1" s="1"/>
  <c r="E212" i="1"/>
  <c r="P33" i="8"/>
  <c r="J41" i="4"/>
  <c r="J104" i="6"/>
  <c r="H76" i="6"/>
  <c r="J73" i="6"/>
  <c r="E39" i="4"/>
  <c r="A21" i="3"/>
  <c r="A22" i="3" s="1"/>
  <c r="A23" i="3" s="1"/>
  <c r="B27" i="3"/>
  <c r="E20" i="3"/>
  <c r="H108" i="6"/>
  <c r="H14" i="6"/>
  <c r="I24" i="5"/>
  <c r="I189" i="1"/>
  <c r="I191" i="1" s="1"/>
  <c r="F30" i="6"/>
  <c r="A23" i="6"/>
  <c r="A25" i="6" s="1"/>
  <c r="E210" i="1"/>
  <c r="K85" i="7"/>
  <c r="E109" i="6"/>
  <c r="F109" i="6" s="1"/>
  <c r="E84" i="6"/>
  <c r="F84" i="6" s="1"/>
  <c r="E76" i="6"/>
  <c r="F76" i="6" s="1"/>
  <c r="E49" i="6"/>
  <c r="F49" i="6" s="1"/>
  <c r="E15" i="6"/>
  <c r="F15" i="6" s="1"/>
  <c r="E110" i="6"/>
  <c r="F110" i="6" s="1"/>
  <c r="E77" i="6"/>
  <c r="F77" i="6" s="1"/>
  <c r="E50" i="6"/>
  <c r="F50" i="6" s="1"/>
  <c r="E16" i="6"/>
  <c r="F16" i="6" s="1"/>
  <c r="E111" i="6"/>
  <c r="F111" i="6" s="1"/>
  <c r="E78" i="6"/>
  <c r="F78" i="6" s="1"/>
  <c r="E51" i="6"/>
  <c r="F51" i="6" s="1"/>
  <c r="E43" i="6"/>
  <c r="F43" i="6" s="1"/>
  <c r="I43" i="6" s="1"/>
  <c r="E17" i="6"/>
  <c r="F17" i="6" s="1"/>
  <c r="E112" i="6"/>
  <c r="F112" i="6" s="1"/>
  <c r="E79" i="6"/>
  <c r="F79" i="6" s="1"/>
  <c r="E52" i="6"/>
  <c r="F52" i="6" s="1"/>
  <c r="E44" i="6"/>
  <c r="F44" i="6" s="1"/>
  <c r="I44" i="6" s="1"/>
  <c r="E18" i="6"/>
  <c r="F18" i="6" s="1"/>
  <c r="E11" i="6"/>
  <c r="F11" i="6" s="1"/>
  <c r="I11" i="6" s="1"/>
  <c r="E113" i="6"/>
  <c r="F113" i="6" s="1"/>
  <c r="E105" i="6"/>
  <c r="F105" i="6" s="1"/>
  <c r="I105" i="6" s="1"/>
  <c r="J105" i="6" s="1"/>
  <c r="E80" i="6"/>
  <c r="F80" i="6" s="1"/>
  <c r="E53" i="6"/>
  <c r="F53" i="6" s="1"/>
  <c r="E45" i="6"/>
  <c r="F45" i="6" s="1"/>
  <c r="E19" i="6"/>
  <c r="F19" i="6" s="1"/>
  <c r="E75" i="6"/>
  <c r="F75" i="6" s="1"/>
  <c r="I75" i="6" s="1"/>
  <c r="E14" i="6"/>
  <c r="F14" i="6" s="1"/>
  <c r="E82" i="6"/>
  <c r="F82" i="6" s="1"/>
  <c r="E48" i="6"/>
  <c r="F48" i="6" s="1"/>
  <c r="E21" i="6"/>
  <c r="F21" i="6" s="1"/>
  <c r="E106" i="6"/>
  <c r="F106" i="6" s="1"/>
  <c r="I106" i="6" s="1"/>
  <c r="E81" i="6"/>
  <c r="F81" i="6" s="1"/>
  <c r="E74" i="6"/>
  <c r="F74" i="6" s="1"/>
  <c r="I74" i="6" s="1"/>
  <c r="E20" i="6"/>
  <c r="F20" i="6" s="1"/>
  <c r="E13" i="6"/>
  <c r="F13" i="6" s="1"/>
  <c r="I13" i="6" s="1"/>
  <c r="E108" i="6"/>
  <c r="F108" i="6" s="1"/>
  <c r="E47" i="6"/>
  <c r="F47" i="6" s="1"/>
  <c r="E83" i="6"/>
  <c r="F83" i="6" s="1"/>
  <c r="E46" i="6"/>
  <c r="F46" i="6" s="1"/>
  <c r="E22" i="6"/>
  <c r="F22" i="6" s="1"/>
  <c r="E12" i="6"/>
  <c r="F12" i="6" s="1"/>
  <c r="I12" i="6" s="1"/>
  <c r="E115" i="6"/>
  <c r="F115" i="6" s="1"/>
  <c r="E114" i="6"/>
  <c r="F114" i="6" s="1"/>
  <c r="E107" i="6"/>
  <c r="F107" i="6" s="1"/>
  <c r="I107" i="6" s="1"/>
  <c r="A68" i="1"/>
  <c r="A70" i="1" s="1"/>
  <c r="A71" i="1" s="1"/>
  <c r="I122" i="1"/>
  <c r="G123" i="1"/>
  <c r="G138" i="1"/>
  <c r="G14" i="1" l="1"/>
  <c r="G64" i="1"/>
  <c r="E196" i="1"/>
  <c r="G196" i="1" s="1"/>
  <c r="G199" i="1" s="1"/>
  <c r="G119" i="1"/>
  <c r="J11" i="6"/>
  <c r="I138" i="1"/>
  <c r="G145" i="1"/>
  <c r="J74" i="6"/>
  <c r="J75" i="6" s="1"/>
  <c r="D72" i="1"/>
  <c r="H66" i="2"/>
  <c r="H77" i="6"/>
  <c r="I76" i="6"/>
  <c r="A26" i="6"/>
  <c r="A27" i="6" s="1"/>
  <c r="J21" i="4"/>
  <c r="K21" i="4" s="1"/>
  <c r="J18" i="4"/>
  <c r="J34" i="4"/>
  <c r="K34" i="4" s="1"/>
  <c r="J26" i="4"/>
  <c r="K26" i="4" s="1"/>
  <c r="J28" i="4"/>
  <c r="K28" i="4" s="1"/>
  <c r="J35" i="4"/>
  <c r="K35" i="4" s="1"/>
  <c r="J25" i="4"/>
  <c r="K25" i="4" s="1"/>
  <c r="J24" i="4"/>
  <c r="K24" i="4" s="1"/>
  <c r="J27" i="4"/>
  <c r="K27" i="4" s="1"/>
  <c r="J37" i="4"/>
  <c r="K37" i="4" s="1"/>
  <c r="J31" i="4"/>
  <c r="K31" i="4" s="1"/>
  <c r="J32" i="4"/>
  <c r="K32" i="4" s="1"/>
  <c r="J19" i="4"/>
  <c r="K19" i="4" s="1"/>
  <c r="J33" i="4"/>
  <c r="K33" i="4" s="1"/>
  <c r="J23" i="4"/>
  <c r="K23" i="4" s="1"/>
  <c r="J36" i="4"/>
  <c r="K36" i="4" s="1"/>
  <c r="J20" i="4"/>
  <c r="K20" i="4" s="1"/>
  <c r="J29" i="4"/>
  <c r="K29" i="4" s="1"/>
  <c r="J30" i="4"/>
  <c r="K30" i="4" s="1"/>
  <c r="J22" i="4"/>
  <c r="K22" i="4" s="1"/>
  <c r="P34" i="8"/>
  <c r="Q33" i="8"/>
  <c r="J12" i="6"/>
  <c r="J13" i="6" s="1"/>
  <c r="G124" i="1"/>
  <c r="I123" i="1"/>
  <c r="I14" i="6"/>
  <c r="H15" i="6"/>
  <c r="A72" i="1"/>
  <c r="A73" i="1" s="1"/>
  <c r="C79" i="1"/>
  <c r="I108" i="6"/>
  <c r="H109" i="6"/>
  <c r="J43" i="6"/>
  <c r="J44" i="6" s="1"/>
  <c r="J45" i="6" s="1"/>
  <c r="J106" i="6"/>
  <c r="J107" i="6" s="1"/>
  <c r="K88" i="7"/>
  <c r="I213" i="1" s="1"/>
  <c r="I210" i="1"/>
  <c r="D156" i="1" s="1"/>
  <c r="B30" i="3"/>
  <c r="B28" i="3"/>
  <c r="A24" i="3"/>
  <c r="A25" i="3" s="1"/>
  <c r="A26" i="3" s="1"/>
  <c r="A27" i="3" s="1"/>
  <c r="B29" i="3"/>
  <c r="I46" i="6"/>
  <c r="H47" i="6"/>
  <c r="I124" i="1" l="1"/>
  <c r="G125" i="1"/>
  <c r="A28" i="6"/>
  <c r="J76" i="6"/>
  <c r="G146" i="1"/>
  <c r="I146" i="1" s="1"/>
  <c r="I145" i="1"/>
  <c r="G132" i="1"/>
  <c r="I132" i="1" s="1"/>
  <c r="G102" i="1"/>
  <c r="I102" i="1" s="1"/>
  <c r="G120" i="1"/>
  <c r="G126" i="1"/>
  <c r="I126" i="1" s="1"/>
  <c r="I119" i="1"/>
  <c r="J108" i="6"/>
  <c r="A74" i="1"/>
  <c r="A75" i="1" s="1"/>
  <c r="C81" i="1"/>
  <c r="H78" i="6"/>
  <c r="I77" i="6"/>
  <c r="D76" i="1"/>
  <c r="D80" i="1"/>
  <c r="H110" i="6"/>
  <c r="I109" i="6"/>
  <c r="I47" i="6"/>
  <c r="J47" i="6" s="1"/>
  <c r="H48" i="6"/>
  <c r="J46" i="6"/>
  <c r="I64" i="1"/>
  <c r="G72" i="1"/>
  <c r="H16" i="6"/>
  <c r="I15" i="6"/>
  <c r="J15" i="6" s="1"/>
  <c r="G15" i="1"/>
  <c r="I14" i="1"/>
  <c r="F26" i="6"/>
  <c r="P35" i="8"/>
  <c r="Q34" i="8"/>
  <c r="A28" i="3"/>
  <c r="A29" i="3" s="1"/>
  <c r="A30" i="3" s="1"/>
  <c r="A31" i="3" s="1"/>
  <c r="A33" i="3" s="1"/>
  <c r="A35" i="3" s="1"/>
  <c r="A36" i="3" s="1"/>
  <c r="A37" i="3" s="1"/>
  <c r="A38" i="3" s="1"/>
  <c r="A39" i="3" s="1"/>
  <c r="A40" i="3" s="1"/>
  <c r="J14" i="6"/>
  <c r="J39" i="4"/>
  <c r="J42" i="4" s="1"/>
  <c r="K18" i="4"/>
  <c r="K39" i="4" s="1"/>
  <c r="D23" i="1" s="1"/>
  <c r="I23" i="1" s="1"/>
  <c r="G98" i="1" l="1"/>
  <c r="I72" i="1"/>
  <c r="H111" i="6"/>
  <c r="I110" i="6"/>
  <c r="I18" i="2"/>
  <c r="I80" i="1"/>
  <c r="D202" i="1"/>
  <c r="D205" i="1" s="1"/>
  <c r="G203" i="1" s="1"/>
  <c r="K203" i="1" s="1"/>
  <c r="G67" i="1" s="1"/>
  <c r="D84" i="1"/>
  <c r="F29" i="6"/>
  <c r="A29" i="6"/>
  <c r="A30" i="6" s="1"/>
  <c r="J77" i="6"/>
  <c r="I120" i="1"/>
  <c r="G121" i="1"/>
  <c r="I121" i="1" s="1"/>
  <c r="I125" i="1"/>
  <c r="G127" i="1"/>
  <c r="I127" i="1" s="1"/>
  <c r="B31" i="3"/>
  <c r="G16" i="1"/>
  <c r="I16" i="1" s="1"/>
  <c r="I15" i="1"/>
  <c r="G17" i="1"/>
  <c r="I48" i="6"/>
  <c r="J48" i="6" s="1"/>
  <c r="H49" i="6"/>
  <c r="H79" i="6"/>
  <c r="I78" i="6"/>
  <c r="P36" i="8"/>
  <c r="Q35" i="8"/>
  <c r="H17" i="6"/>
  <c r="I16" i="6"/>
  <c r="J16" i="6" s="1"/>
  <c r="J109" i="6"/>
  <c r="A76" i="1"/>
  <c r="A78" i="1" s="1"/>
  <c r="A79" i="1" s="1"/>
  <c r="A80" i="1" s="1"/>
  <c r="A81" i="1" s="1"/>
  <c r="A82" i="1" s="1"/>
  <c r="A83" i="1" s="1"/>
  <c r="A84" i="1" s="1"/>
  <c r="A86" i="1" s="1"/>
  <c r="A87" i="1" s="1"/>
  <c r="A88" i="1" s="1"/>
  <c r="A89" i="1" s="1"/>
  <c r="A90" i="1" s="1"/>
  <c r="A91" i="1" s="1"/>
  <c r="A93" i="1" s="1"/>
  <c r="A94" i="1" s="1"/>
  <c r="A95" i="1" s="1"/>
  <c r="A96" i="1" s="1"/>
  <c r="A98" i="1" s="1"/>
  <c r="A100" i="1" s="1"/>
  <c r="A101" i="1" s="1"/>
  <c r="A102" i="1" s="1"/>
  <c r="A103" i="1" s="1"/>
  <c r="A104" i="1" s="1"/>
  <c r="A106" i="1" s="1"/>
  <c r="C83" i="1"/>
  <c r="H18" i="6" l="1"/>
  <c r="I17" i="6"/>
  <c r="J110" i="6"/>
  <c r="A31" i="6"/>
  <c r="F31" i="6"/>
  <c r="H112" i="6"/>
  <c r="I111" i="6"/>
  <c r="I67" i="1"/>
  <c r="G75" i="1"/>
  <c r="I19" i="2"/>
  <c r="G18" i="1"/>
  <c r="I18" i="1" s="1"/>
  <c r="I17" i="1"/>
  <c r="I19" i="1" s="1"/>
  <c r="I33" i="2" s="1"/>
  <c r="P37" i="8"/>
  <c r="Q36" i="8"/>
  <c r="J78" i="6"/>
  <c r="I79" i="6"/>
  <c r="J79" i="6" s="1"/>
  <c r="H80" i="6"/>
  <c r="H50" i="6"/>
  <c r="I49" i="6"/>
  <c r="I98" i="1"/>
  <c r="G137" i="1"/>
  <c r="I137" i="1" s="1"/>
  <c r="G128" i="1" l="1"/>
  <c r="I75" i="1"/>
  <c r="I76" i="1" s="1"/>
  <c r="J111" i="6"/>
  <c r="I18" i="6"/>
  <c r="J18" i="6" s="1"/>
  <c r="H19" i="6"/>
  <c r="I83" i="1"/>
  <c r="I84" i="1" s="1"/>
  <c r="G84" i="1" s="1"/>
  <c r="I68" i="1"/>
  <c r="G68" i="1" s="1"/>
  <c r="P38" i="8"/>
  <c r="Q37" i="8"/>
  <c r="J17" i="6"/>
  <c r="J49" i="6"/>
  <c r="I112" i="6"/>
  <c r="H113" i="6"/>
  <c r="H51" i="6"/>
  <c r="I50" i="6"/>
  <c r="J50" i="6" s="1"/>
  <c r="I80" i="6"/>
  <c r="J80" i="6" s="1"/>
  <c r="H81" i="6"/>
  <c r="A32" i="6"/>
  <c r="A33" i="6" s="1"/>
  <c r="A36" i="6" s="1"/>
  <c r="A37" i="6" s="1"/>
  <c r="A39" i="6" s="1"/>
  <c r="A40" i="6" s="1"/>
  <c r="A41" i="6" s="1"/>
  <c r="H28" i="3" l="1"/>
  <c r="G164" i="1"/>
  <c r="G88" i="1"/>
  <c r="G89" i="1" s="1"/>
  <c r="F33" i="6"/>
  <c r="I19" i="6"/>
  <c r="J19" i="6" s="1"/>
  <c r="H20" i="6"/>
  <c r="A42" i="6"/>
  <c r="A43" i="6" s="1"/>
  <c r="A44" i="6" s="1"/>
  <c r="A45" i="6" s="1"/>
  <c r="A46" i="6" s="1"/>
  <c r="A47" i="6" s="1"/>
  <c r="A48" i="6" s="1"/>
  <c r="A49" i="6" s="1"/>
  <c r="A50" i="6" s="1"/>
  <c r="A51" i="6" s="1"/>
  <c r="A52" i="6" s="1"/>
  <c r="A53" i="6" s="1"/>
  <c r="F58" i="6"/>
  <c r="I81" i="6"/>
  <c r="J81" i="6" s="1"/>
  <c r="H82" i="6"/>
  <c r="H52" i="6"/>
  <c r="I51" i="6"/>
  <c r="J51" i="6" s="1"/>
  <c r="P39" i="8"/>
  <c r="Q38" i="8"/>
  <c r="I128" i="1"/>
  <c r="I134" i="1" s="1"/>
  <c r="G139" i="1"/>
  <c r="I139" i="1" s="1"/>
  <c r="I113" i="6"/>
  <c r="H114" i="6"/>
  <c r="J112" i="6"/>
  <c r="G148" i="1"/>
  <c r="G103" i="1"/>
  <c r="I103" i="1" s="1"/>
  <c r="I26" i="2" l="1"/>
  <c r="I27" i="2" s="1"/>
  <c r="L27" i="2" s="1"/>
  <c r="I141" i="1"/>
  <c r="F61" i="6"/>
  <c r="A54" i="6"/>
  <c r="A56" i="6" s="1"/>
  <c r="I20" i="6"/>
  <c r="J20" i="6" s="1"/>
  <c r="H21" i="6"/>
  <c r="I52" i="6"/>
  <c r="J52" i="6" s="1"/>
  <c r="H53" i="6"/>
  <c r="G91" i="1"/>
  <c r="I91" i="1" s="1"/>
  <c r="G90" i="1"/>
  <c r="I90" i="1" s="1"/>
  <c r="I89" i="1"/>
  <c r="I82" i="6"/>
  <c r="J82" i="6" s="1"/>
  <c r="H83" i="6"/>
  <c r="G165" i="1"/>
  <c r="I164" i="1"/>
  <c r="I101" i="1"/>
  <c r="I104" i="1" s="1"/>
  <c r="I22" i="2"/>
  <c r="I23" i="2" s="1"/>
  <c r="L23" i="2" s="1"/>
  <c r="G151" i="1"/>
  <c r="I151" i="1" s="1"/>
  <c r="I148" i="1"/>
  <c r="G150" i="1"/>
  <c r="I150" i="1" s="1"/>
  <c r="P40" i="8"/>
  <c r="Q39" i="8"/>
  <c r="I114" i="6"/>
  <c r="J114" i="6" s="1"/>
  <c r="H115" i="6"/>
  <c r="J113" i="6"/>
  <c r="H29" i="3"/>
  <c r="J28" i="3"/>
  <c r="I21" i="6" l="1"/>
  <c r="J21" i="6" s="1"/>
  <c r="H22" i="6"/>
  <c r="P41" i="8"/>
  <c r="Q40" i="8"/>
  <c r="I83" i="6"/>
  <c r="J83" i="6" s="1"/>
  <c r="H84" i="6"/>
  <c r="I84" i="6" s="1"/>
  <c r="A57" i="6"/>
  <c r="A58" i="6" s="1"/>
  <c r="I115" i="6"/>
  <c r="H116" i="6"/>
  <c r="I152" i="1"/>
  <c r="I30" i="2" s="1"/>
  <c r="I31" i="2" s="1"/>
  <c r="L31" i="2" s="1"/>
  <c r="L36" i="2" s="1"/>
  <c r="I165" i="1"/>
  <c r="G166" i="1"/>
  <c r="I166" i="1" s="1"/>
  <c r="H30" i="3"/>
  <c r="J30" i="3" s="1"/>
  <c r="J29" i="3"/>
  <c r="I53" i="6"/>
  <c r="H54" i="6"/>
  <c r="F83" i="2" l="1"/>
  <c r="G83" i="2" s="1"/>
  <c r="F75" i="2"/>
  <c r="G75" i="2" s="1"/>
  <c r="F82" i="2"/>
  <c r="G82" i="2" s="1"/>
  <c r="F74" i="2"/>
  <c r="G74" i="2" s="1"/>
  <c r="F67" i="2"/>
  <c r="G67" i="2" s="1"/>
  <c r="F81" i="2"/>
  <c r="G81" i="2" s="1"/>
  <c r="F73" i="2"/>
  <c r="G73" i="2" s="1"/>
  <c r="F80" i="2"/>
  <c r="G80" i="2" s="1"/>
  <c r="F72" i="2"/>
  <c r="G72" i="2" s="1"/>
  <c r="F79" i="2"/>
  <c r="G79" i="2" s="1"/>
  <c r="F71" i="2"/>
  <c r="G71" i="2" s="1"/>
  <c r="F66" i="2"/>
  <c r="G66" i="2" s="1"/>
  <c r="F77" i="2"/>
  <c r="G77" i="2" s="1"/>
  <c r="F69" i="2"/>
  <c r="G69" i="2" s="1"/>
  <c r="F70" i="2"/>
  <c r="G70" i="2" s="1"/>
  <c r="F84" i="2"/>
  <c r="G84" i="2" s="1"/>
  <c r="F76" i="2"/>
  <c r="G76" i="2" s="1"/>
  <c r="F68" i="2"/>
  <c r="G68" i="2" s="1"/>
  <c r="F78" i="2"/>
  <c r="G78" i="2" s="1"/>
  <c r="A59" i="6"/>
  <c r="J84" i="6"/>
  <c r="J92" i="6" s="1"/>
  <c r="I85" i="6"/>
  <c r="P42" i="8"/>
  <c r="Q41" i="8"/>
  <c r="F57" i="6"/>
  <c r="I22" i="6"/>
  <c r="H23" i="6"/>
  <c r="J53" i="6"/>
  <c r="J61" i="6" s="1"/>
  <c r="I54" i="6"/>
  <c r="J115" i="6"/>
  <c r="J123" i="6" s="1"/>
  <c r="I116" i="6"/>
  <c r="J122" i="6" l="1"/>
  <c r="J124" i="6"/>
  <c r="J126" i="6" s="1"/>
  <c r="J60" i="6"/>
  <c r="J62" i="6"/>
  <c r="J64" i="6" s="1"/>
  <c r="P43" i="8"/>
  <c r="Q42" i="8"/>
  <c r="J91" i="6"/>
  <c r="J93" i="6" s="1"/>
  <c r="J95" i="6" s="1"/>
  <c r="F44" i="5" s="1"/>
  <c r="D88" i="1" s="1"/>
  <c r="A60" i="6"/>
  <c r="A61" i="6" s="1"/>
  <c r="J22" i="6"/>
  <c r="J30" i="6" s="1"/>
  <c r="I23" i="6"/>
  <c r="I88" i="1" l="1"/>
  <c r="I96" i="1" s="1"/>
  <c r="I106" i="1" s="1"/>
  <c r="D96" i="1"/>
  <c r="D106" i="1" s="1"/>
  <c r="D170" i="1" s="1"/>
  <c r="A62" i="6"/>
  <c r="F62" i="6"/>
  <c r="J29" i="6"/>
  <c r="J31" i="6"/>
  <c r="J33" i="6" s="1"/>
  <c r="P44" i="8"/>
  <c r="Q43" i="8"/>
  <c r="F60" i="6"/>
  <c r="P45" i="8" l="1"/>
  <c r="Q44" i="8"/>
  <c r="A63" i="6"/>
  <c r="A64" i="6" s="1"/>
  <c r="A67" i="6" s="1"/>
  <c r="A68" i="6" s="1"/>
  <c r="A70" i="6" s="1"/>
  <c r="A71" i="6" s="1"/>
  <c r="A72" i="6" s="1"/>
  <c r="F64" i="6"/>
  <c r="D163" i="1"/>
  <c r="D167" i="1" s="1"/>
  <c r="D172" i="1" s="1"/>
  <c r="K7" i="3"/>
  <c r="I170" i="1"/>
  <c r="K39" i="3" l="1"/>
  <c r="K16" i="3"/>
  <c r="J27" i="3" s="1"/>
  <c r="J31" i="3" s="1"/>
  <c r="K31" i="3" s="1"/>
  <c r="K33" i="3" s="1"/>
  <c r="K35" i="3"/>
  <c r="I43" i="2"/>
  <c r="I44" i="2" s="1"/>
  <c r="I163" i="1"/>
  <c r="I167" i="1" s="1"/>
  <c r="A73" i="6"/>
  <c r="A74" i="6" s="1"/>
  <c r="A75" i="6" s="1"/>
  <c r="A76" i="6" s="1"/>
  <c r="A77" i="6" s="1"/>
  <c r="A78" i="6" s="1"/>
  <c r="A79" i="6" s="1"/>
  <c r="A80" i="6" s="1"/>
  <c r="A81" i="6" s="1"/>
  <c r="A82" i="6" s="1"/>
  <c r="A83" i="6" s="1"/>
  <c r="A84" i="6" s="1"/>
  <c r="F89" i="6"/>
  <c r="P46" i="8"/>
  <c r="Q45" i="8"/>
  <c r="F92" i="6" l="1"/>
  <c r="A85" i="6"/>
  <c r="A87" i="6" s="1"/>
  <c r="K36" i="3"/>
  <c r="K37" i="3" s="1"/>
  <c r="K38" i="3" s="1"/>
  <c r="K40" i="3" s="1"/>
  <c r="I39" i="2"/>
  <c r="I40" i="2" s="1"/>
  <c r="L40" i="2" s="1"/>
  <c r="I46" i="2"/>
  <c r="L44" i="2"/>
  <c r="I172" i="1"/>
  <c r="E27" i="3"/>
  <c r="E31" i="3" s="1"/>
  <c r="P47" i="8"/>
  <c r="Q46" i="8"/>
  <c r="N78" i="2" l="1"/>
  <c r="N70" i="2"/>
  <c r="N77" i="2"/>
  <c r="N69" i="2"/>
  <c r="N84" i="2"/>
  <c r="N76" i="2"/>
  <c r="N68" i="2"/>
  <c r="N83" i="2"/>
  <c r="N75" i="2"/>
  <c r="N67" i="2"/>
  <c r="N82" i="2"/>
  <c r="N74" i="2"/>
  <c r="N80" i="2"/>
  <c r="N72" i="2"/>
  <c r="N73" i="2"/>
  <c r="N66" i="2"/>
  <c r="N79" i="2"/>
  <c r="N71" i="2"/>
  <c r="N81" i="2"/>
  <c r="T88" i="2"/>
  <c r="I11" i="1"/>
  <c r="I21" i="1" s="1"/>
  <c r="I25" i="1" s="1"/>
  <c r="L46" i="2"/>
  <c r="P48" i="8"/>
  <c r="Q47" i="8"/>
  <c r="A88" i="6"/>
  <c r="A89" i="6" s="1"/>
  <c r="I81" i="2" l="1"/>
  <c r="J81" i="2" s="1"/>
  <c r="L81" i="2" s="1"/>
  <c r="I73" i="2"/>
  <c r="J73" i="2" s="1"/>
  <c r="L73" i="2" s="1"/>
  <c r="I80" i="2"/>
  <c r="J80" i="2" s="1"/>
  <c r="L80" i="2" s="1"/>
  <c r="I72" i="2"/>
  <c r="J72" i="2" s="1"/>
  <c r="L72" i="2" s="1"/>
  <c r="I66" i="2"/>
  <c r="J66" i="2" s="1"/>
  <c r="L66" i="2" s="1"/>
  <c r="I79" i="2"/>
  <c r="J79" i="2" s="1"/>
  <c r="L79" i="2" s="1"/>
  <c r="I71" i="2"/>
  <c r="J71" i="2" s="1"/>
  <c r="L71" i="2" s="1"/>
  <c r="I78" i="2"/>
  <c r="J78" i="2" s="1"/>
  <c r="L78" i="2" s="1"/>
  <c r="I70" i="2"/>
  <c r="J70" i="2" s="1"/>
  <c r="L70" i="2" s="1"/>
  <c r="I77" i="2"/>
  <c r="J77" i="2" s="1"/>
  <c r="L77" i="2" s="1"/>
  <c r="I69" i="2"/>
  <c r="J69" i="2" s="1"/>
  <c r="L69" i="2" s="1"/>
  <c r="I83" i="2"/>
  <c r="J83" i="2" s="1"/>
  <c r="L83" i="2" s="1"/>
  <c r="I75" i="2"/>
  <c r="J75" i="2" s="1"/>
  <c r="L75" i="2" s="1"/>
  <c r="I67" i="2"/>
  <c r="J67" i="2" s="1"/>
  <c r="L67" i="2" s="1"/>
  <c r="I84" i="2"/>
  <c r="J84" i="2" s="1"/>
  <c r="L84" i="2" s="1"/>
  <c r="I76" i="2"/>
  <c r="J76" i="2" s="1"/>
  <c r="L76" i="2" s="1"/>
  <c r="I68" i="2"/>
  <c r="J68" i="2" s="1"/>
  <c r="L68" i="2" s="1"/>
  <c r="I82" i="2"/>
  <c r="J82" i="2" s="1"/>
  <c r="L82" i="2" s="1"/>
  <c r="I74" i="2"/>
  <c r="J74" i="2" s="1"/>
  <c r="L74" i="2" s="1"/>
  <c r="A90" i="6"/>
  <c r="P49" i="8"/>
  <c r="Q48" i="8"/>
  <c r="F88" i="6"/>
  <c r="S71" i="2" l="1"/>
  <c r="O71" i="2"/>
  <c r="Q71" i="2"/>
  <c r="Q78" i="2"/>
  <c r="S78" i="2"/>
  <c r="O78" i="2"/>
  <c r="Q67" i="2"/>
  <c r="S67" i="2" s="1"/>
  <c r="O67" i="2"/>
  <c r="S72" i="2"/>
  <c r="Q72" i="2"/>
  <c r="O72" i="2"/>
  <c r="P50" i="8"/>
  <c r="Q49" i="8"/>
  <c r="S79" i="2"/>
  <c r="O79" i="2"/>
  <c r="Q79" i="2"/>
  <c r="Q66" i="2"/>
  <c r="S66" i="2" s="1"/>
  <c r="O66" i="2"/>
  <c r="S80" i="2"/>
  <c r="Q80" i="2"/>
  <c r="O80" i="2"/>
  <c r="Q76" i="2"/>
  <c r="O76" i="2"/>
  <c r="S76" i="2"/>
  <c r="S75" i="2"/>
  <c r="Q75" i="2"/>
  <c r="O75" i="2"/>
  <c r="S74" i="2"/>
  <c r="Q74" i="2"/>
  <c r="O74" i="2"/>
  <c r="O69" i="2"/>
  <c r="Q69" i="2"/>
  <c r="S69" i="2" s="1"/>
  <c r="S82" i="2"/>
  <c r="Q82" i="2"/>
  <c r="O82" i="2"/>
  <c r="O77" i="2"/>
  <c r="S77" i="2"/>
  <c r="Q77" i="2"/>
  <c r="S73" i="2"/>
  <c r="Q73" i="2"/>
  <c r="O73" i="2"/>
  <c r="Q84" i="2"/>
  <c r="O84" i="2"/>
  <c r="S84" i="2"/>
  <c r="A91" i="6"/>
  <c r="A92" i="6" s="1"/>
  <c r="S83" i="2"/>
  <c r="Q83" i="2"/>
  <c r="O83" i="2"/>
  <c r="Q68" i="2"/>
  <c r="S68" i="2" s="1"/>
  <c r="O68" i="2"/>
  <c r="Q70" i="2"/>
  <c r="S70" i="2" s="1"/>
  <c r="O70" i="2"/>
  <c r="S81" i="2"/>
  <c r="Q81" i="2"/>
  <c r="O81" i="2"/>
  <c r="A93" i="6" l="1"/>
  <c r="F93" i="6"/>
  <c r="F91" i="6"/>
  <c r="P51" i="8"/>
  <c r="Q51" i="8" s="1"/>
  <c r="Q50" i="8"/>
  <c r="S86" i="2"/>
  <c r="T89" i="2" s="1"/>
  <c r="T90" i="2" s="1"/>
  <c r="A94" i="6" l="1"/>
  <c r="A95" i="6" s="1"/>
  <c r="A98" i="6" s="1"/>
  <c r="A99" i="6" s="1"/>
  <c r="A101" i="6" s="1"/>
  <c r="A102" i="6" s="1"/>
  <c r="A103" i="6" s="1"/>
  <c r="F120" i="6" l="1"/>
  <c r="A104" i="6"/>
  <c r="A105" i="6" s="1"/>
  <c r="A106" i="6" s="1"/>
  <c r="A107" i="6" s="1"/>
  <c r="A108" i="6" s="1"/>
  <c r="A109" i="6" s="1"/>
  <c r="A110" i="6" s="1"/>
  <c r="A111" i="6" s="1"/>
  <c r="A112" i="6" s="1"/>
  <c r="A113" i="6" s="1"/>
  <c r="A114" i="6" s="1"/>
  <c r="A115" i="6" s="1"/>
  <c r="F95" i="6"/>
  <c r="F123" i="6" l="1"/>
  <c r="A116" i="6"/>
  <c r="A118" i="6" s="1"/>
  <c r="A119" i="6" l="1"/>
  <c r="A120" i="6" s="1"/>
  <c r="A121" i="6" l="1"/>
  <c r="F119" i="6"/>
  <c r="A122" i="6" l="1"/>
  <c r="A123" i="6" s="1"/>
  <c r="A124" i="6" l="1"/>
  <c r="F124" i="6"/>
  <c r="F122" i="6"/>
  <c r="A125" i="6" l="1"/>
  <c r="A126" i="6" s="1"/>
  <c r="F126" i="6" l="1"/>
</calcChain>
</file>

<file path=xl/sharedStrings.xml><?xml version="1.0" encoding="utf-8"?>
<sst xmlns="http://schemas.openxmlformats.org/spreadsheetml/2006/main" count="1407" uniqueCount="849">
  <si>
    <t>page 1 of 5</t>
  </si>
  <si>
    <t>Attachment H</t>
  </si>
  <si>
    <t xml:space="preserve">Formula Rate - Non-Levelized </t>
  </si>
  <si>
    <r>
      <t>NextEra Energy Transmission MidAtlantic Indiana, Inc</t>
    </r>
    <r>
      <rPr>
        <sz val="10"/>
        <color rgb="FFFF0000"/>
        <rFont val="Times New Roman"/>
        <family val="1"/>
      </rPr>
      <t>.</t>
    </r>
  </si>
  <si>
    <t>Rate Formula Template</t>
  </si>
  <si>
    <t>Utilizing FERC Form 1 Data</t>
  </si>
  <si>
    <t>NextEra Energy Transmission MidAtlantic Indiana, Inc.</t>
  </si>
  <si>
    <t>(1)</t>
  </si>
  <si>
    <t>(2)</t>
  </si>
  <si>
    <t>(3)</t>
  </si>
  <si>
    <t xml:space="preserve"> </t>
  </si>
  <si>
    <t>(4)</t>
  </si>
  <si>
    <t>(5)</t>
  </si>
  <si>
    <t>Line</t>
  </si>
  <si>
    <t>Allocated</t>
  </si>
  <si>
    <t>No.</t>
  </si>
  <si>
    <t>Amount</t>
  </si>
  <si>
    <t>GROSS REVENUE REQUIREMENT</t>
  </si>
  <si>
    <t>(page 3, line 47)</t>
  </si>
  <si>
    <t xml:space="preserve">REVENUE CREDITS </t>
  </si>
  <si>
    <t>(Note O)</t>
  </si>
  <si>
    <t>Total</t>
  </si>
  <si>
    <t>Allocator</t>
  </si>
  <si>
    <t xml:space="preserve">  Account No. 454</t>
  </si>
  <si>
    <t>TP</t>
  </si>
  <si>
    <t xml:space="preserve">  Account No. 456.1</t>
  </si>
  <si>
    <t xml:space="preserve">  Account No. 457.1 Scheduling</t>
  </si>
  <si>
    <t>Attachment 5, line 39, col e</t>
  </si>
  <si>
    <t xml:space="preserve">  Revenues from Grandfathered Interzonal Transactions </t>
  </si>
  <si>
    <t>(Note N)</t>
  </si>
  <si>
    <t xml:space="preserve">  Revenues from service provided by the ISO at a discount</t>
  </si>
  <si>
    <t xml:space="preserve">TOTAL REVENUE CREDITS </t>
  </si>
  <si>
    <t>(Sum of Lines 2 through 6)</t>
  </si>
  <si>
    <t>NET REVENUE REQUIREMENT</t>
  </si>
  <si>
    <t>(line 1 minus line 7)</t>
  </si>
  <si>
    <t>True-up Adjustment with Interest</t>
  </si>
  <si>
    <t>Attachment 3, line 4, Col. J</t>
  </si>
  <si>
    <t>DA</t>
  </si>
  <si>
    <t>(line 8 plus line 9)</t>
  </si>
  <si>
    <t>page 2 of 5</t>
  </si>
  <si>
    <t>Transmission</t>
  </si>
  <si>
    <t>Source</t>
  </si>
  <si>
    <t>Company Total</t>
  </si>
  <si>
    <t xml:space="preserve">                  Allocator</t>
  </si>
  <si>
    <t>(Col 3 times Col 4)</t>
  </si>
  <si>
    <t xml:space="preserve">RATE BASE: </t>
  </si>
  <si>
    <t>GROSS PLANT IN SERVICE   (Notes U and R)</t>
  </si>
  <si>
    <t xml:space="preserve">  Production </t>
  </si>
  <si>
    <t>205.46.g for end of year, records for other months</t>
  </si>
  <si>
    <t>NA</t>
  </si>
  <si>
    <t xml:space="preserve">  Transmission</t>
  </si>
  <si>
    <t>Attachment 4, Line 14, Col. (b)</t>
  </si>
  <si>
    <t xml:space="preserve">  Distribution </t>
  </si>
  <si>
    <t>207.75.g for end of year, records for other months</t>
  </si>
  <si>
    <t xml:space="preserve">  General &amp; Intangible</t>
  </si>
  <si>
    <t>Attachment 4, Line 14, Col. (c)</t>
  </si>
  <si>
    <t>W/S</t>
  </si>
  <si>
    <t xml:space="preserve">  Common </t>
  </si>
  <si>
    <t>356.1 for end of year, records for other months</t>
  </si>
  <si>
    <t>CE</t>
  </si>
  <si>
    <t>TOTAL GROSS PLANT</t>
  </si>
  <si>
    <t>(Sum of Lines 1 through 5)</t>
  </si>
  <si>
    <t>GP=</t>
  </si>
  <si>
    <t>ACCUMULATED DEPRECIATION  (Notes U and R)</t>
  </si>
  <si>
    <t>219.20-24.c for end of year, records for other months</t>
  </si>
  <si>
    <t>Attachment 4, Line 14, Col. (h)</t>
  </si>
  <si>
    <t>219.26.c for end of year, records for other months</t>
  </si>
  <si>
    <t>Attachment 4, Line 14, Col. (i)</t>
  </si>
  <si>
    <t xml:space="preserve">TOTAL ACCUM. DEPRECIATION </t>
  </si>
  <si>
    <t>(Sum of Lines 8 through 12)</t>
  </si>
  <si>
    <t>NET PLANT IN SERVICE</t>
  </si>
  <si>
    <t>(Line 2 minus line 9)</t>
  </si>
  <si>
    <t>(Line 4 minus line 11)</t>
  </si>
  <si>
    <t>TOTAL NET PLANT</t>
  </si>
  <si>
    <t>(Sum of Lines 15 through 19)</t>
  </si>
  <si>
    <t>NP=</t>
  </si>
  <si>
    <t>ADJUSTMENTS TO RATE BASE  (Note R)</t>
  </si>
  <si>
    <t xml:space="preserve">  Account No. 281 (enter negative)</t>
  </si>
  <si>
    <t>Attach 4, Line 28, Col. (d)/Attach 4a, Line 54, Col. H (Notes B and X)</t>
  </si>
  <si>
    <t>zero</t>
  </si>
  <si>
    <t xml:space="preserve">  Account No. 282 (enter negative)</t>
  </si>
  <si>
    <t>Attach 4, Line 28, Col. (e)/Attach 4a, Line 81, Col. H (Notes B and X)</t>
  </si>
  <si>
    <t>NP</t>
  </si>
  <si>
    <t xml:space="preserve">  Account No. 283 (enter negative)</t>
  </si>
  <si>
    <t>Attach 4, Line 28, Col. (f)/Attach 4a, Line 108, Col. H (Notes B and X)</t>
  </si>
  <si>
    <t xml:space="preserve">  Account No. 190 </t>
  </si>
  <si>
    <t>Attach 4, Line 28, Col. (g)/Attach 4a, Line 27, Col. H (Notes B and X)</t>
  </si>
  <si>
    <t xml:space="preserve">  Account No. 255 (enter negative)</t>
  </si>
  <si>
    <t>Attachment 4, Line 28, Col. (h) (Notes B and X)</t>
  </si>
  <si>
    <t>26a</t>
  </si>
  <si>
    <t xml:space="preserve">  Unfunded Reserves (enter negative)</t>
  </si>
  <si>
    <t>Attachment 4, Line 31, Col. (h)  (Note Y)</t>
  </si>
  <si>
    <t xml:space="preserve">  CWIP</t>
  </si>
  <si>
    <t>Attachment 4, Line 14, Col. (d)</t>
  </si>
  <si>
    <t xml:space="preserve">  Unamortized Regulatory Asset </t>
  </si>
  <si>
    <t>Attachment 4, Line 28, Col. (b) (Note T)</t>
  </si>
  <si>
    <t xml:space="preserve">  Unamortized Abandoned Plant  </t>
  </si>
  <si>
    <t>Attachment 4, Line 28, Col. (c) (Note S)</t>
  </si>
  <si>
    <t xml:space="preserve">TOTAL ADJUSTMENTS </t>
  </si>
  <si>
    <t>(Sum of Lines 22 through 29)</t>
  </si>
  <si>
    <t xml:space="preserve">LAND HELD FOR FUTURE USE  </t>
  </si>
  <si>
    <t>Attachment 4, Line 14, Col. (e) (Note C)</t>
  </si>
  <si>
    <t xml:space="preserve">WORKING CAPITAL </t>
  </si>
  <si>
    <t>(Note D)</t>
  </si>
  <si>
    <t xml:space="preserve">  CWC </t>
  </si>
  <si>
    <t>1/8*(Page 3, Line 14 minus Page 3, Line 11)</t>
  </si>
  <si>
    <t xml:space="preserve">  Materials &amp; Supplies</t>
  </si>
  <si>
    <t>Attachment 4, Line 14, Col. (f) (Note C)</t>
  </si>
  <si>
    <t xml:space="preserve">  Prepayments (Account 165)</t>
  </si>
  <si>
    <t>Attachment 4, Line 14, Col. (g)</t>
  </si>
  <si>
    <t>GP</t>
  </si>
  <si>
    <t xml:space="preserve">TOTAL WORKING CAPITAL  </t>
  </si>
  <si>
    <t>(Sum of Lines 33 through 35)</t>
  </si>
  <si>
    <t xml:space="preserve">RATE BASE </t>
  </si>
  <si>
    <t>(Sum of Lines 20, 30, 31 &amp; 36)</t>
  </si>
  <si>
    <t>page 3 of 5</t>
  </si>
  <si>
    <t>O&amp;M</t>
  </si>
  <si>
    <t xml:space="preserve">  Transmission </t>
  </si>
  <si>
    <t>321.112.b Attach. 5, Line 13, Col. (a)</t>
  </si>
  <si>
    <t xml:space="preserve">     Less Account 566 (Misc Trans Expense)</t>
  </si>
  <si>
    <t xml:space="preserve">321.97.b Attach. 5, Line 13, Col. (b) </t>
  </si>
  <si>
    <t xml:space="preserve">     Less Account 565</t>
  </si>
  <si>
    <t>321.96.b Attach. 5, Line 13, Col. (c)</t>
  </si>
  <si>
    <t xml:space="preserve">  A&amp;G</t>
  </si>
  <si>
    <t>323.197.b Attach. 5, Line 13, Col. (d)</t>
  </si>
  <si>
    <t xml:space="preserve">     Less FERC Annual Fees</t>
  </si>
  <si>
    <t>Attach. 5, Line 13, Col. (e)</t>
  </si>
  <si>
    <t xml:space="preserve">     Less EPRI &amp; Reg. Comm. Exp. &amp; Non-safety Ad.  </t>
  </si>
  <si>
    <t>(Note E) Attach. 5, Line 13, Col. (f)</t>
  </si>
  <si>
    <t>6a</t>
  </si>
  <si>
    <t xml:space="preserve">     Less PBOP Expense in Year</t>
  </si>
  <si>
    <t>Attachment 7, Line 8, Col. (g)</t>
  </si>
  <si>
    <t xml:space="preserve">     Plus Transmission Related Reg. Comm. Exp.  </t>
  </si>
  <si>
    <t>(Note E) Attach. 5, Line 13, Col. (g)</t>
  </si>
  <si>
    <t>7a</t>
  </si>
  <si>
    <t xml:space="preserve">     Plus PBOP Expense Allowed Amount</t>
  </si>
  <si>
    <t>Attachment 7, Line 6, Col. (g)</t>
  </si>
  <si>
    <t>356.1</t>
  </si>
  <si>
    <t xml:space="preserve">  Transmission Lease Payments</t>
  </si>
  <si>
    <t>Attach. 5, Line 13, Col (h)</t>
  </si>
  <si>
    <t>Account 566</t>
  </si>
  <si>
    <t xml:space="preserve">   Amortization of Regulatory Asset</t>
  </si>
  <si>
    <t>(Note T) Attach. 5, Line 13, Col. (i)</t>
  </si>
  <si>
    <t xml:space="preserve">   Miscellaneous Transmission Expense (less amortization of regulatory asset)</t>
  </si>
  <si>
    <t>Attach. 5, Line 13, Col .(j)</t>
  </si>
  <si>
    <t>Total Account 566</t>
  </si>
  <si>
    <t>(Line 11 plus Line 12) Ties to 321.97.b</t>
  </si>
  <si>
    <t>TOTAL O&amp;M</t>
  </si>
  <si>
    <t>(Sum of Lines 1, 4, 7, 7a, 8, 9, 13 less Lines 2, 3, 5, 6, 6a)</t>
  </si>
  <si>
    <t>DEPRECIATION EXPENSE  (Note U)</t>
  </si>
  <si>
    <t>336.7.b, d &amp;e Attach. 5, Line 13, Col. (k)</t>
  </si>
  <si>
    <t>336.10.b, d &amp;e, 336.1.b, d &amp;e Attach. 5, Line 26, Col. (a)</t>
  </si>
  <si>
    <t>336.11.b, d &amp;e</t>
  </si>
  <si>
    <t xml:space="preserve">  Amortization of Abandoned Plant</t>
  </si>
  <si>
    <t>(Note S) Attach. 5, Line 26, Col. (b)</t>
  </si>
  <si>
    <t xml:space="preserve">TOTAL DEPRECIATION </t>
  </si>
  <si>
    <t>(Sum of Lines 16 through 19)</t>
  </si>
  <si>
    <t xml:space="preserve">TAXES OTHER THAN INCOME TAXES </t>
  </si>
  <si>
    <t>(Note F)</t>
  </si>
  <si>
    <t xml:space="preserve">  LABOR RELATED</t>
  </si>
  <si>
    <t xml:space="preserve">          Payroll</t>
  </si>
  <si>
    <t>263.i Attach. 5, Line 26, Col. (c)</t>
  </si>
  <si>
    <t xml:space="preserve">          Highway and vehicle</t>
  </si>
  <si>
    <t>263.i Attach. 5, Line 26, Col. (d)</t>
  </si>
  <si>
    <t xml:space="preserve">  PLANT RELATED</t>
  </si>
  <si>
    <t xml:space="preserve">         Property</t>
  </si>
  <si>
    <t>263.i Attach. 5, Line 26, Co.l (e)</t>
  </si>
  <si>
    <t xml:space="preserve">         Gross Receipts</t>
  </si>
  <si>
    <t>263.i Attach. 5, Line 26, Col. (f)</t>
  </si>
  <si>
    <t xml:space="preserve">         Other</t>
  </si>
  <si>
    <t>263.i Attach. 5, Line 26, Col. (g)</t>
  </si>
  <si>
    <t xml:space="preserve">         Payments in lieu of taxes</t>
  </si>
  <si>
    <t>263.i Attach. 5, Line 26, Col. (h)</t>
  </si>
  <si>
    <t>TOTAL OTHER TAXES</t>
  </si>
  <si>
    <t>(Sum of Lines 23 through 29)</t>
  </si>
  <si>
    <t xml:space="preserve">INCOME TAXES          </t>
  </si>
  <si>
    <t xml:space="preserve">     T=1 - {[(1 - SIT) * (1 - FIT)] / (1 - SIT * FIT * p)}</t>
  </si>
  <si>
    <t xml:space="preserve">WCLTD = Page 4, Line 20 </t>
  </si>
  <si>
    <t xml:space="preserve">     CIT=(T/1-T) * (1-(WCLTD/R)) =</t>
  </si>
  <si>
    <t>R = Page 4, Line 23</t>
  </si>
  <si>
    <t xml:space="preserve">     FIT &amp; SIT &amp; P</t>
  </si>
  <si>
    <t>(Note G)</t>
  </si>
  <si>
    <t>Amortized Investment Tax Credit</t>
  </si>
  <si>
    <t>266.8f (enter negative) Attach. 5, Line 26, Col. (i)</t>
  </si>
  <si>
    <t xml:space="preserve">Excess Deferred Income Taxes </t>
  </si>
  <si>
    <t>(enter negative) Attach. 5, Line 26, Col. (j)</t>
  </si>
  <si>
    <t>Tax Effect of Permanent Differences</t>
  </si>
  <si>
    <t>Attach. 5, Line 26, Col. (k) (Note W)</t>
  </si>
  <si>
    <t xml:space="preserve">Income Tax Calculation </t>
  </si>
  <si>
    <t>(Line 33 times Line 46)</t>
  </si>
  <si>
    <t xml:space="preserve">ITC adjustment </t>
  </si>
  <si>
    <t>(Line 36 times Line 37)</t>
  </si>
  <si>
    <t xml:space="preserve">Excess Deferred Income Tax Adjustment </t>
  </si>
  <si>
    <t>(Line 36 times Line 38)</t>
  </si>
  <si>
    <t>Permanent Differences Tax Adjustment</t>
  </si>
  <si>
    <t>(Line 36 times Line 39)</t>
  </si>
  <si>
    <t xml:space="preserve">Total Income Taxes </t>
  </si>
  <si>
    <t>(Sum of Lines 40 through 43)</t>
  </si>
  <si>
    <t xml:space="preserve">RETURN </t>
  </si>
  <si>
    <t>Rate Base times Return</t>
  </si>
  <si>
    <t>(Page 2, Line 37 times Page 4, Line 23)</t>
  </si>
  <si>
    <t>REV. REQUIREMENT</t>
  </si>
  <si>
    <t>(Sum of Lines 14, 20, 30, 44 &amp; 46)</t>
  </si>
  <si>
    <t>page 4 of 5</t>
  </si>
  <si>
    <t xml:space="preserve">                SUPPORTING CALCULATIONS AND NOTES</t>
  </si>
  <si>
    <t>TRANSMISSION PLANT INCLUDED IN ISO RATES</t>
  </si>
  <si>
    <t xml:space="preserve">Total Transmission plant  </t>
  </si>
  <si>
    <t>(Page 2, Line 2, Column 3)</t>
  </si>
  <si>
    <t xml:space="preserve">Less Transmission plant excluded from ISO rates  </t>
  </si>
  <si>
    <t>(Note H)</t>
  </si>
  <si>
    <t xml:space="preserve">Less Transmission plant included in OATT Ancillary Services  </t>
  </si>
  <si>
    <t>(Note I)</t>
  </si>
  <si>
    <t>Transmission plant included in ISO rates</t>
  </si>
  <si>
    <t>(Line 1 minus Lines 2 &amp; 3)</t>
  </si>
  <si>
    <t xml:space="preserve">Percentage of Transmission plant included in ISO Rates  </t>
  </si>
  <si>
    <t>(Line 4 divided by Line 1)</t>
  </si>
  <si>
    <t>TP=</t>
  </si>
  <si>
    <t>WAGES &amp; SALARY ALLOCATOR  (W&amp;S)</t>
  </si>
  <si>
    <t>Form 1 Reference</t>
  </si>
  <si>
    <t>$</t>
  </si>
  <si>
    <t>Allocation</t>
  </si>
  <si>
    <t>354.20.b</t>
  </si>
  <si>
    <t>354.21.b</t>
  </si>
  <si>
    <t>354.23.b</t>
  </si>
  <si>
    <t>W&amp;S Allocator</t>
  </si>
  <si>
    <t xml:space="preserve">  Other</t>
  </si>
  <si>
    <t>354.24,25,26.b</t>
  </si>
  <si>
    <t>($ / Allocation)</t>
  </si>
  <si>
    <t xml:space="preserve"> Total  (W&amp; S Allocator is 1 if lines 7-10 are zero)</t>
  </si>
  <si>
    <t>(Sum of Lines 7 through 10)</t>
  </si>
  <si>
    <t>=</t>
  </si>
  <si>
    <t>WS</t>
  </si>
  <si>
    <t xml:space="preserve">COMMON PLANT ALLOCATOR  (CE)  (Note J and X) </t>
  </si>
  <si>
    <t>% Electric</t>
  </si>
  <si>
    <t xml:space="preserve">  Electric </t>
  </si>
  <si>
    <t>200.3.c</t>
  </si>
  <si>
    <t>(line 13 / line 16)</t>
  </si>
  <si>
    <t>(line 11)</t>
  </si>
  <si>
    <t xml:space="preserve">  Gas</t>
  </si>
  <si>
    <t>201.3.d</t>
  </si>
  <si>
    <t>*</t>
  </si>
  <si>
    <t xml:space="preserve">  Water </t>
  </si>
  <si>
    <t>201.3.e</t>
  </si>
  <si>
    <t xml:space="preserve">  Total</t>
  </si>
  <si>
    <t>(Sum of Lines 13 through 15)</t>
  </si>
  <si>
    <t>RETURN (R)</t>
  </si>
  <si>
    <t>(Note V)</t>
  </si>
  <si>
    <t>Cost</t>
  </si>
  <si>
    <t>%</t>
  </si>
  <si>
    <t>Weighted</t>
  </si>
  <si>
    <t xml:space="preserve">  Long Term Debt </t>
  </si>
  <si>
    <t>(Attachment 5, line 48    Notes Q &amp; R)</t>
  </si>
  <si>
    <t>=WCLTD</t>
  </si>
  <si>
    <t xml:space="preserve">  Preferred Stock  (112.3.c)</t>
  </si>
  <si>
    <t>(Attachment 5, line 49   Notes Q &amp; R)</t>
  </si>
  <si>
    <t xml:space="preserve">  Common Stock</t>
  </si>
  <si>
    <t>(Attachment 5, line 50  Notes K, Q &amp; R)</t>
  </si>
  <si>
    <t xml:space="preserve">Total </t>
  </si>
  <si>
    <t>(Attachment 5, line 51)</t>
  </si>
  <si>
    <t>=R</t>
  </si>
  <si>
    <t>REVENUE CREDITS</t>
  </si>
  <si>
    <t>ACCOUNT 447 (SALES FOR RESALE) (Note L)</t>
  </si>
  <si>
    <r>
      <t>310 -</t>
    </r>
    <r>
      <rPr>
        <sz val="10"/>
        <rFont val="Times New Roman"/>
        <family val="1"/>
      </rPr>
      <t>311</t>
    </r>
  </si>
  <si>
    <t xml:space="preserve">a. Bundled Non-RQ Sales for Resale </t>
  </si>
  <si>
    <t>311.x.h</t>
  </si>
  <si>
    <t xml:space="preserve">b. Bundled Sales for Resale </t>
  </si>
  <si>
    <t xml:space="preserve">Attach 5, line 39, col (a) </t>
  </si>
  <si>
    <t xml:space="preserve">  Total of (a)-(b)</t>
  </si>
  <si>
    <t xml:space="preserve">ACCOUNT 454 (RENT FROM ELECTRIC PROPERTY) </t>
  </si>
  <si>
    <t xml:space="preserve">(Note M) Attach 5, line 39, col (b) </t>
  </si>
  <si>
    <t>ACCOUNT 456.1 (OTHER ELECTRIC REVENUES)</t>
  </si>
  <si>
    <t xml:space="preserve">330.x.n </t>
  </si>
  <si>
    <t xml:space="preserve">a. Transmission charges for all transmission transactions </t>
  </si>
  <si>
    <t xml:space="preserve">Attach 5, line 39, col (c) </t>
  </si>
  <si>
    <t>b. Transmission charges associated with Project detailed on the Project Rev Req Schedule Col. 10.</t>
  </si>
  <si>
    <t xml:space="preserve">Attach 5, line 39, col (d) </t>
  </si>
  <si>
    <t>page 5 of 5</t>
  </si>
  <si>
    <t>General Note:  References to pages in this formulary rate are indicated as:  (page#, line#, col.#)</t>
  </si>
  <si>
    <t>References to data from FERC Form 1 are indicated as:  #.y.x  (page, line, column)</t>
  </si>
  <si>
    <t>Note</t>
  </si>
  <si>
    <t>Letter</t>
  </si>
  <si>
    <t xml:space="preserve">A </t>
  </si>
  <si>
    <t>Reserved</t>
  </si>
  <si>
    <t xml:space="preserve">B </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</si>
  <si>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</si>
  <si>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C</t>
  </si>
  <si>
    <t>Identified in Form 1 as being only transmission related.</t>
  </si>
  <si>
    <t>D</t>
  </si>
  <si>
    <t>Cash Working Capital assigned to transmission is one-eighth of O&amp;M allocated to transmission at page 3, line 14, column 5 minus amortization of Regulatory Asset at page 3, line 11, column 5.  Prepayments are the electric related prepayments booked to Account No. 165 and reported on pages 111, line 57 in the Form 1.</t>
  </si>
  <si>
    <t>E</t>
  </si>
  <si>
    <t xml:space="preserve">Page 3, Line 6 - EPRI Annual Membership Dues listed in Form 1 at 353.f, all Regulatory Commission Expenses itemized at 351.h, and non-safety related advertising included in Account 930.1 found at 323.191.b.  Page 3, Line 7-Regulatory Commission Expenses directly related to transmission service, ISO filings, or transmission siting itemized at 351.h. </t>
  </si>
  <si>
    <t>F</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</si>
  <si>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</si>
  <si>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G</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</si>
  <si>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</si>
  <si>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 xml:space="preserve">         Inputs Required:</t>
  </si>
  <si>
    <t>FIT =</t>
  </si>
  <si>
    <t>SIT=</t>
  </si>
  <si>
    <t>(State Income Tax Rate or Composite SIT)</t>
  </si>
  <si>
    <t>p =</t>
  </si>
  <si>
    <t>(percent of federal income tax deductible for state purposes)</t>
  </si>
  <si>
    <t>H</t>
  </si>
  <si>
    <t>Removes transmission plant determined by Commission order to be state-jurisdictional according to the seven-factor test (until Form 1 balances are adjusted to reflect application of seven-factor test).</t>
  </si>
  <si>
    <t>I</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</si>
  <si>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</si>
  <si>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J</t>
  </si>
  <si>
    <t>Enter dollar amounts</t>
  </si>
  <si>
    <t>K</t>
  </si>
  <si>
    <t>ROE will be supported in the original filing and no change in ROE may be made absent a filing with FERC.</t>
  </si>
  <si>
    <t xml:space="preserve">L </t>
  </si>
  <si>
    <t>Page 4, Line 28 must equal zero since all short-term power sales must be unbundled and the transmission component reflected in Account No. 456.1.</t>
  </si>
  <si>
    <t>M</t>
  </si>
  <si>
    <t>Includes income related only to transmission facilities, such as pole attachments, rentals and special use.</t>
  </si>
  <si>
    <t xml:space="preserve">N </t>
  </si>
  <si>
    <t xml:space="preserve">Company will not have any grandfathered agreements.  Therefore, this line shall remain zero. </t>
  </si>
  <si>
    <t>O</t>
  </si>
  <si>
    <r>
      <t>The revenues credited on page 1 lines 2-6 shall include only the amounts received directly (in the case of grandfathered agreements) or from the ISO (for service under this tariff) reflecting the Transmission Owner's integrated transmission facilities.  Revenue Credits do not include revenues associated with FERC annual charges, gross receipts taxes,</t>
    </r>
    <r>
      <rPr>
        <strike/>
        <sz val="10"/>
        <rFont val="Times New Roman"/>
        <family val="1"/>
      </rPr>
      <t xml:space="preserve"> </t>
    </r>
    <r>
      <rPr>
        <sz val="10"/>
        <rFont val="Times New Roman"/>
        <family val="1"/>
      </rPr>
      <t>facilities not included in this template (e.g., direct assignment facilities and GSUs) the costs of which are not recovered under this Rate Formula Template.</t>
    </r>
  </si>
  <si>
    <t>P</t>
  </si>
  <si>
    <t>Q</t>
  </si>
  <si>
    <r>
      <t xml:space="preserve">Prior to obtaining any debt, the cost of debt will be LIBOR plus 1.5%.  Once any debt is obtained, the formula will use the actual cost of debt determined in Attachment 5.  The capital structure will be 60% equity and 40% debt until NextEra Energy Transmission MidAtlantic, </t>
    </r>
    <r>
      <rPr>
        <sz val="10"/>
        <rFont val="Times New Roman"/>
        <family val="1"/>
      </rPr>
      <t>Inc.’s first transmission project enters service, after which the capital structure will be the actual capital structure.  LIBOR refers to the London Inter Bank Offer Rate from the Federal Reserve Bank of St. Louis's https://fred.stlouisfed.org/.</t>
    </r>
  </si>
  <si>
    <t>R</t>
  </si>
  <si>
    <t>Calculate using 13 month average balance, except ADIT.</t>
  </si>
  <si>
    <t>S</t>
  </si>
  <si>
    <t>Unamortized Abandoned Plant and Amortization of Abandoned Plant will be zero until the Commission accepts or approves recovery of the cost of abandoned plant.  Utility must receive FERC authorization before recovering the cost of abandoned plant.</t>
  </si>
  <si>
    <t>T</t>
  </si>
  <si>
    <t>Recovery of Regulatory Asset is permitted only for pre-commercial expenses incurred prior to the date when NEET MidAtlantic may first recover costs under the PJM Tariff, as authorized by the Commission.  Recovery of any other regulatory assets requires authorization from the Commission. A carrying charge equal to the weighted cost of capital calculated pursuant to this formula will be applied to the Regulatory Asset prior to the rate year when costs are first recovered.</t>
  </si>
  <si>
    <t>U</t>
  </si>
  <si>
    <t>Excludes Asset Retirement Obligation balances</t>
  </si>
  <si>
    <t>V</t>
  </si>
  <si>
    <t>Company shall be allowed recovery of costs related to interest rate locks.  Absent a Section 205 filing, Company shall not include in the Formula Rate, the gains, losses, or costs related to other hedges.</t>
  </si>
  <si>
    <t>W</t>
  </si>
  <si>
    <t>The Tax Effect of Permanent Differences captures the differences in the income taxes due under the Federal and State calculations and the income taxes calculated in Attachment H that are not the result of a timing difference</t>
  </si>
  <si>
    <t>X</t>
  </si>
  <si>
    <t>Calculated on Attachment 4 for the true up and on Attachment 4a for the projection</t>
  </si>
  <si>
    <t>Y</t>
  </si>
  <si>
    <t xml:space="preserve">Unfunded Reserves are customer contributed capital such as when employee vacation expense is accrued but not yet incurred.  Also, pursuant to Special Instructions to Accounts 228.1 through 228.4, </t>
  </si>
  <si>
    <t>no amounts shall be credited to accounts 228.1 through 228.4 unless authorized by a regulatory authority or authorities to be collected in a utility’s rates.</t>
  </si>
  <si>
    <t>Attachment 1</t>
  </si>
  <si>
    <t>Page 1 of 2</t>
  </si>
  <si>
    <t>Project Revenue Requirement Worksheet</t>
  </si>
  <si>
    <t>To be completed in conjunction with Attachment H.</t>
  </si>
  <si>
    <t>Page, Line, Col.</t>
  </si>
  <si>
    <t>Gross Transmission Plant - Total</t>
  </si>
  <si>
    <t>Attach H, p 2, line 2 col 5  (Note A)</t>
  </si>
  <si>
    <t>Net Transmission Plant - Total</t>
  </si>
  <si>
    <t>Attach H, p 2, line 16 col 5 plus line 27 &amp; 29 col 5 (Note B)</t>
  </si>
  <si>
    <t>O&amp;M EXPENSE</t>
  </si>
  <si>
    <t>Total O&amp;M Allocated to Transmission</t>
  </si>
  <si>
    <t>Attach H, p 3, line 14 col 5</t>
  </si>
  <si>
    <t>Annual Allocation Factor for O&amp;M</t>
  </si>
  <si>
    <t>(line 3 divided by line 1 col 3)</t>
  </si>
  <si>
    <t>GENERAL, INTANGIBLE AND COMMON (G&amp;C) DEPRECIATION EXPENSE</t>
  </si>
  <si>
    <t>5</t>
  </si>
  <si>
    <t>Total G, I &amp; C Depreciation Expense</t>
  </si>
  <si>
    <t>Attach H, p 3, lines 17 &amp; 18, col 5 (Note H)</t>
  </si>
  <si>
    <t>6</t>
  </si>
  <si>
    <t>Annual Allocation Factor for G, I &amp; C Depreciation Expense</t>
  </si>
  <si>
    <t>(line 5 divided by line 1 col 3)</t>
  </si>
  <si>
    <t>TAXES OTHER THAN INCOME TAXES</t>
  </si>
  <si>
    <t>7</t>
  </si>
  <si>
    <t>Total Other Taxes</t>
  </si>
  <si>
    <t>Attach H, p 3, line 30 col 5</t>
  </si>
  <si>
    <t>8</t>
  </si>
  <si>
    <t>Annual Allocation Factor for Other Taxes</t>
  </si>
  <si>
    <t>(line 7 divided by line 1 col 3)</t>
  </si>
  <si>
    <t>9</t>
  </si>
  <si>
    <t>Less Revenue Credits</t>
  </si>
  <si>
    <t>Attach H, p 1, line 7 col 5</t>
  </si>
  <si>
    <t>10</t>
  </si>
  <si>
    <t>Annual Allocation Factor Revenue Credits</t>
  </si>
  <si>
    <t>(line 9 divided by line 1 col 3)</t>
  </si>
  <si>
    <t>11</t>
  </si>
  <si>
    <t>Annual Allocation Factor for Expense</t>
  </si>
  <si>
    <t>Sum of line 4, 6, 8, and 10</t>
  </si>
  <si>
    <t>INCOME TAXES</t>
  </si>
  <si>
    <t>12</t>
  </si>
  <si>
    <t>Total Income Taxes</t>
  </si>
  <si>
    <t>Attach H, p 3, line 44 col 5</t>
  </si>
  <si>
    <t>13</t>
  </si>
  <si>
    <t>Annual Allocation Factor for Income Taxes</t>
  </si>
  <si>
    <t>(line 12 divided by line 2 col 3)</t>
  </si>
  <si>
    <t>14</t>
  </si>
  <si>
    <t>Return on Rate Base</t>
  </si>
  <si>
    <t>Attach H, p 3, line 46 col 5</t>
  </si>
  <si>
    <t>15</t>
  </si>
  <si>
    <t>Annual Allocation Factor for Return on Rate Base</t>
  </si>
  <si>
    <t>(line 14 divided by line 2 col 3)</t>
  </si>
  <si>
    <t>16</t>
  </si>
  <si>
    <t>Annual Allocation Factor for Return</t>
  </si>
  <si>
    <t>Sum of line 13 and 15</t>
  </si>
  <si>
    <t>Page 2 of 2</t>
  </si>
  <si>
    <t xml:space="preserve"> (12a)</t>
  </si>
  <si>
    <t>(14)</t>
  </si>
  <si>
    <t>(15)</t>
  </si>
  <si>
    <t>(16)</t>
  </si>
  <si>
    <t>Line No.</t>
  </si>
  <si>
    <t xml:space="preserve">Project Name </t>
  </si>
  <si>
    <t>RTO Project Number</t>
  </si>
  <si>
    <t xml:space="preserve">Project Gross Plant </t>
  </si>
  <si>
    <t>Annual Expense Charge</t>
  </si>
  <si>
    <t>Project Net Plant or CWIP Balance</t>
  </si>
  <si>
    <t>Annual Return Charge</t>
  </si>
  <si>
    <t>Project Depreciation/Amortization Expense</t>
  </si>
  <si>
    <t>Annual Revenue Requirement</t>
  </si>
  <si>
    <t>Incentive Return in basis Points</t>
  </si>
  <si>
    <t>Incentive Return</t>
  </si>
  <si>
    <t>Ceiling Rate</t>
  </si>
  <si>
    <t>Competitive Bid Concession</t>
  </si>
  <si>
    <t>Total Annual Revenue Requirement</t>
  </si>
  <si>
    <t>True-Up Adjustment</t>
  </si>
  <si>
    <t>Net Rev Req</t>
  </si>
  <si>
    <t>(Note C)</t>
  </si>
  <si>
    <t>(Page 1 line 11)</t>
  </si>
  <si>
    <t>(Col. 3 * Col. 4)</t>
  </si>
  <si>
    <t>(Notes D &amp; I)</t>
  </si>
  <si>
    <t>(Page 1 line 16)</t>
  </si>
  <si>
    <t>(Col. 6 * Col. 7)</t>
  </si>
  <si>
    <t>(Notes E &amp; I)</t>
  </si>
  <si>
    <t>(Sum Col. 5, 8 &amp; 9)</t>
  </si>
  <si>
    <t>(Note K)</t>
  </si>
  <si>
    <t>(Attachment 2, Line 28 /100 * Col. 11)</t>
  </si>
  <si>
    <t>(Sum Col. 10 &amp; 12)</t>
  </si>
  <si>
    <t>(Note J)</t>
  </si>
  <si>
    <t>(Sum Col. 10 &amp; 12 Less Col. 13)</t>
  </si>
  <si>
    <t>Sum Col. 14 &amp; 15 
(Note G)</t>
  </si>
  <si>
    <t>15a</t>
  </si>
  <si>
    <t>Lake County and Porter County, Indiana Assets</t>
  </si>
  <si>
    <t>15b</t>
  </si>
  <si>
    <t>15c</t>
  </si>
  <si>
    <t>Annual Totals</t>
  </si>
  <si>
    <t>A</t>
  </si>
  <si>
    <t>Gross Transmission Plant is that identified on page 2 line 2 of Attachment H</t>
  </si>
  <si>
    <t>B</t>
  </si>
  <si>
    <t>Inclusive of any CWIP or unamortized abandoned plant included in rate base when authorized by FERC order less any prefunded AFUDC, if applicable.</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</si>
  <si>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</si>
  <si>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 xml:space="preserve"> Gross plant does not include Unamortized Abandoned Plant.</t>
  </si>
  <si>
    <t>Project Net Plant is the Project Gross Plant Identified in Column 3 less the associated Accumulated Depreciation.  Net Plant includes CWIP and Unamortized Abandoned Plant and excludes any regulatory asset, which are to entered as a separate line item.</t>
  </si>
  <si>
    <t>Project Depreciation Expense is the actual value booked for the project and included in the Depreciation Expense in Attachment H, page 3, line 16.  Project Depreciation Expense includes the amortization of Abandoned Plant</t>
  </si>
  <si>
    <t>True-Up Adjustment is calculated on the Project True-up Schedule for the Rate Year</t>
  </si>
  <si>
    <t>The Net Rev Req is the value to be used in the rate calculation under the applicable Schedule under the PJM OATT for each project.</t>
  </si>
  <si>
    <t>The Total General, Intangible and Common Depreciation Expense excludes any depreciation expense directly associated with a project and thereby included in page 2 column 9.</t>
  </si>
  <si>
    <t>The Unamortized Abandoned Plant balance is included in Net Plant, and Amortization of Abandoned Plant is included in Depreciation/Amortization Expense.</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</si>
  <si>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</si>
  <si>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Requires approval by FERC of incentive return applicable to the specified project(s)</t>
  </si>
  <si>
    <t>All facilities other than those being recovered under Schedules 7, 8, 9 are to be included in Attachment 1.</t>
  </si>
  <si>
    <t>N</t>
  </si>
  <si>
    <t xml:space="preserve">Facilities that provide Wholesale Distribution Service are not to be listed as projects on lines 15, the revenue requirements associated with these facilities are calculated on Attachment 11 </t>
  </si>
  <si>
    <t>When an updated projected net revenue requirement is posted due to an asset acquisition as provided for in the Protocols, the difference between the updated net revenue requirement in Col (16) and the revenues collected to date will be recovered</t>
  </si>
  <si>
    <t>over the remaining months of the Rate Year.</t>
  </si>
  <si>
    <t>Attachment 2</t>
  </si>
  <si>
    <t>Page 1 of 1</t>
  </si>
  <si>
    <t>Incentive ROE</t>
  </si>
  <si>
    <t>Rate Base</t>
  </si>
  <si>
    <t xml:space="preserve">Attachment H, Page 2 line 37, Col.5 </t>
  </si>
  <si>
    <t>100 Basis Point Incentive Return</t>
  </si>
  <si>
    <t>(Attachment H, Notes Q and R)</t>
  </si>
  <si>
    <t xml:space="preserve">  Preferred Stock  </t>
  </si>
  <si>
    <t>(Attachment H, Notes K, Q and R)</t>
  </si>
  <si>
    <t>Cost = Attachment H, Page 4 Line 22, Cost plus .01</t>
  </si>
  <si>
    <t>Total  (sum lines 3-5)</t>
  </si>
  <si>
    <t>100 Basis Point Incentive Return multiplied by Rate Base (line 1 * line 6)</t>
  </si>
  <si>
    <t xml:space="preserve">     T=1 - {[(1 - SIT) * (1 - FIT)] / (1 - SIT * FIT * p)} =</t>
  </si>
  <si>
    <t xml:space="preserve">      WCLTD = Line 3</t>
  </si>
  <si>
    <t xml:space="preserve">       and FIT, SIT &amp; p are as given in footnote K.</t>
  </si>
  <si>
    <t>Amortized Investment Tax Credit (266.8f) (enter negative)</t>
  </si>
  <si>
    <t>Attachment H, Page 3, Line 37</t>
  </si>
  <si>
    <t>Excess Deferred Income Taxes (enter negative)</t>
  </si>
  <si>
    <t>Attachment H, Page 3, Line 38</t>
  </si>
  <si>
    <t>Tax Effect of Permanent Differences  (Note B)</t>
  </si>
  <si>
    <t>Attachment H, Page 3, Line 39</t>
  </si>
  <si>
    <t>Return and Income Taxes with 100 basis point increase in ROE</t>
  </si>
  <si>
    <t>(Sum lines 7 &amp; 21)</t>
  </si>
  <si>
    <t>Return    (Attach. H, page 3 line 46 col 5)</t>
  </si>
  <si>
    <t>Income Tax    (Attach. H, page 3 line 44 col 5)</t>
  </si>
  <si>
    <t>Return and Income Taxes without 100 basis point increase in ROE</t>
  </si>
  <si>
    <t>(Sum lines 23 &amp; 24)</t>
  </si>
  <si>
    <t>Incremental Return and Income Taxes for 100 basis point increase in ROE</t>
  </si>
  <si>
    <t>(Line 22 - line 25)</t>
  </si>
  <si>
    <t>Rate Base (line 1)</t>
  </si>
  <si>
    <t>Incremental Return and Income Taxes for 100 basis point increase in ROE divided by Rate Base</t>
  </si>
  <si>
    <t>(Line 26 / line 27)</t>
  </si>
  <si>
    <t xml:space="preserve">Notes: </t>
  </si>
  <si>
    <t>Line 5 includes a 100 basis point increase in ROE that is used only to determine the increase in return and income taxes associated with</t>
  </si>
  <si>
    <t>a 100 basis point increase in ROE.  Any actual ROE incentive must be approved by the Commission.</t>
  </si>
  <si>
    <t>For example, if the Commission were to grant a 137 basis point ROE incentive, the increase in return and taxes for a 100 basis point</t>
  </si>
  <si>
    <t>increase in ROE would be multiplied by 1.37 on Attachment 1 column 12.</t>
  </si>
  <si>
    <t>The Tax Effect of Permanent Differences captures the differences in the income taxes due under the Federal and State calculations and the income taxes calculated</t>
  </si>
  <si>
    <t xml:space="preserve"> in Attachment H that are not the result of a timing difference</t>
  </si>
  <si>
    <t>Attachment 3</t>
  </si>
  <si>
    <t>Project True-Up</t>
  </si>
  <si>
    <t>Revenue Requirement Projected</t>
  </si>
  <si>
    <t>Actual Revenue</t>
  </si>
  <si>
    <t>Rate Year being Trued-Up</t>
  </si>
  <si>
    <t>For Rate Year</t>
  </si>
  <si>
    <r>
      <t>Revenue Received</t>
    </r>
    <r>
      <rPr>
        <vertAlign val="superscript"/>
        <sz val="10"/>
        <color theme="1"/>
        <rFont val="Times New Roman"/>
        <family val="1"/>
      </rPr>
      <t>3</t>
    </r>
  </si>
  <si>
    <t>Requirement</t>
  </si>
  <si>
    <t>Annual True-Up Calculation</t>
  </si>
  <si>
    <t>% of</t>
  </si>
  <si>
    <t>Projected</t>
  </si>
  <si>
    <t xml:space="preserve">Revenue </t>
  </si>
  <si>
    <t>Actual</t>
  </si>
  <si>
    <t xml:space="preserve">Net </t>
  </si>
  <si>
    <t>Interest</t>
  </si>
  <si>
    <t xml:space="preserve"> Project #</t>
  </si>
  <si>
    <t>Net Revenue</t>
  </si>
  <si>
    <t>Revenue</t>
  </si>
  <si>
    <t>Received</t>
  </si>
  <si>
    <t>Under/(Over)</t>
  </si>
  <si>
    <t>Prior Period</t>
  </si>
  <si>
    <t>Income</t>
  </si>
  <si>
    <t>Total True-Up</t>
  </si>
  <si>
    <t>Or Other Identifier</t>
  </si>
  <si>
    <t>Project Name</t>
  </si>
  <si>
    <r>
      <t>Requirement</t>
    </r>
    <r>
      <rPr>
        <vertAlign val="superscript"/>
        <sz val="10"/>
        <color theme="1"/>
        <rFont val="Times New Roman"/>
        <family val="1"/>
      </rPr>
      <t>1</t>
    </r>
  </si>
  <si>
    <t>(E, Line 2 ) x (D)</t>
  </si>
  <si>
    <r>
      <t>Requirement</t>
    </r>
    <r>
      <rPr>
        <vertAlign val="superscript"/>
        <sz val="10"/>
        <color theme="1"/>
        <rFont val="Times New Roman"/>
        <family val="1"/>
      </rPr>
      <t>2</t>
    </r>
  </si>
  <si>
    <t>Collection  (F)-(E)</t>
  </si>
  <si>
    <r>
      <t xml:space="preserve">Adjustment </t>
    </r>
    <r>
      <rPr>
        <vertAlign val="superscript"/>
        <sz val="10"/>
        <rFont val="Times New Roman"/>
        <family val="1"/>
      </rPr>
      <t>5</t>
    </r>
  </si>
  <si>
    <r>
      <t>(Expense)</t>
    </r>
    <r>
      <rPr>
        <vertAlign val="superscript"/>
        <sz val="10"/>
        <color theme="1"/>
        <rFont val="Times New Roman"/>
        <family val="1"/>
      </rPr>
      <t>4</t>
    </r>
  </si>
  <si>
    <t>(G) + (H) + (I)</t>
  </si>
  <si>
    <t>3a</t>
  </si>
  <si>
    <t>3b</t>
  </si>
  <si>
    <t>3c</t>
  </si>
  <si>
    <t>Total Annual Revenue Requirements (Note A)</t>
  </si>
  <si>
    <t>Monthly Interest Rate</t>
  </si>
  <si>
    <t>Interest Income (Expense)</t>
  </si>
  <si>
    <t>Notes:</t>
  </si>
  <si>
    <t>1) From Attachment 1, line 15, col. 14 for the projection for the Rate Year.</t>
  </si>
  <si>
    <t>2) From Attachment 1, line 15, col. 14 for that project based on the actual costs for the Rate Year.</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</si>
  <si>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</si>
  <si>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</si>
  <si>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 xml:space="preserve">      Column D, lines 3 are sourced from the projected revenue requirement for the year at issue.</t>
  </si>
  <si>
    <t xml:space="preserve">4) Interest from Attachment 6. </t>
  </si>
  <si>
    <t>5)  Prior Period Adjustment from line 5 is pro rata  to each project, unless the error was project specific.</t>
  </si>
  <si>
    <t>Prior Period Adjustment</t>
  </si>
  <si>
    <t>(a)</t>
  </si>
  <si>
    <t>(b)</t>
  </si>
  <si>
    <t>(c)</t>
  </si>
  <si>
    <t>(d)</t>
  </si>
  <si>
    <t>(Note B)</t>
  </si>
  <si>
    <t>In Dollars</t>
  </si>
  <si>
    <t>Note B</t>
  </si>
  <si>
    <t>Col. (b) + Col. (c)</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</si>
  <si>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</si>
  <si>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Prior Period Adjustment is the amount of an adjustment to correct an error in a prior period.  The FERC Refund interest rate specified in CFR 35.19(a) for the period up to the date the projected rates that are subject to True Up here went into effect.</t>
  </si>
  <si>
    <t>Attachment 4</t>
  </si>
  <si>
    <t xml:space="preserve">Rate Base Worksheet </t>
  </si>
  <si>
    <t>Gross Plant In Service</t>
  </si>
  <si>
    <t>CWIP</t>
  </si>
  <si>
    <t>LHFFU</t>
  </si>
  <si>
    <t>Working Capital</t>
  </si>
  <si>
    <t>Accumulated Depreciation</t>
  </si>
  <si>
    <t>Line No</t>
  </si>
  <si>
    <t>Month</t>
  </si>
  <si>
    <t>General &amp; Intangible</t>
  </si>
  <si>
    <t xml:space="preserve">CWIP in Rate Base </t>
  </si>
  <si>
    <t>Held for Future Use</t>
  </si>
  <si>
    <t xml:space="preserve">  Prepayments</t>
  </si>
  <si>
    <t>(e)</t>
  </si>
  <si>
    <t>(f)</t>
  </si>
  <si>
    <t>(g)</t>
  </si>
  <si>
    <t>(h)</t>
  </si>
  <si>
    <t>(i)</t>
  </si>
  <si>
    <t>Attachment H, Page 2, Line No:</t>
  </si>
  <si>
    <t>207.58.g for end of year, records for other months</t>
  </si>
  <si>
    <t>205.5.g &amp; 207.99.g for end of year, records for other months</t>
  </si>
  <si>
    <t>214.x.d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</si>
  <si>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</si>
  <si>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</si>
  <si>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</si>
  <si>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</si>
  <si>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December Prior Year</t>
  </si>
  <si>
    <t>January</t>
  </si>
  <si>
    <t>February</t>
  </si>
  <si>
    <t xml:space="preserve">March </t>
  </si>
  <si>
    <t>April</t>
  </si>
  <si>
    <t>May</t>
  </si>
  <si>
    <t>June</t>
  </si>
  <si>
    <t>July</t>
  </si>
  <si>
    <t xml:space="preserve">August </t>
  </si>
  <si>
    <t>September</t>
  </si>
  <si>
    <t>October</t>
  </si>
  <si>
    <t>November</t>
  </si>
  <si>
    <t xml:space="preserve">December </t>
  </si>
  <si>
    <t xml:space="preserve">Average of the 13 Monthly Balances </t>
  </si>
  <si>
    <t>Adjustments to Rate Base</t>
  </si>
  <si>
    <t xml:space="preserve">Unamortized Regulatory Asset </t>
  </si>
  <si>
    <t xml:space="preserve">Unamortized Abandoned Plant  </t>
  </si>
  <si>
    <t>Account No. 281
Accumulated Deferred Income Taxes (Note D)</t>
  </si>
  <si>
    <t>Account No. 282
Accumulated Deferred Income Taxes (Note D)</t>
  </si>
  <si>
    <t>Account No. 283
Accumulated Deferred Income Taxes (Note D)</t>
  </si>
  <si>
    <t>Account No. 190
Accumulated Deferred Income Taxes (Note D)</t>
  </si>
  <si>
    <t>Account No. 255
Accumulated Deferred Investment Credit</t>
  </si>
  <si>
    <t>Notes A &amp; E</t>
  </si>
  <si>
    <t>Notes B &amp; F</t>
  </si>
  <si>
    <t>272.8.b &amp; 273.8.k</t>
  </si>
  <si>
    <t>274.2.b &amp; 275.2.k</t>
  </si>
  <si>
    <t>276.9.b &amp; 277.9.k</t>
  </si>
  <si>
    <t>234.8.b &amp; c</t>
  </si>
  <si>
    <t>Consistent with 266.8.b &amp; 267.8.h</t>
  </si>
  <si>
    <t>Average of the 13 Monthly Balances</t>
  </si>
  <si>
    <t>Unfunded Reserves    (Notes G &amp; H)</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</si>
  <si>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</si>
  <si>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</si>
  <si>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</si>
  <si>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Enter the percentage paid for by the transmission formula customers</t>
  </si>
  <si>
    <t xml:space="preserve">Allocation (Plant or Labor Allocator) </t>
  </si>
  <si>
    <t>Amount Allocated, col. c x col. d x col. e x col. f x col. g</t>
  </si>
  <si>
    <t>30a</t>
  </si>
  <si>
    <t>Reserve 1</t>
  </si>
  <si>
    <t>30b</t>
  </si>
  <si>
    <t>Reserve 2</t>
  </si>
  <si>
    <t>30c</t>
  </si>
  <si>
    <t>Reserve 3</t>
  </si>
  <si>
    <t>30d</t>
  </si>
  <si>
    <t>Reserve 4</t>
  </si>
  <si>
    <t>30e</t>
  </si>
  <si>
    <t>…</t>
  </si>
  <si>
    <t>30f</t>
  </si>
  <si>
    <t>Recovery of regulatory asset is limited to any regulatory assets authorized by FERC.</t>
  </si>
  <si>
    <t>Recovery of abandoned plant is limited to any abandoned plant recovery authorized by FERC.</t>
  </si>
  <si>
    <r>
      <t>Includes only CWIP authorized by the Commission for inclusion in rate base.  The annual report filed pursuant to Section 6</t>
    </r>
    <r>
      <rPr>
        <sz val="10"/>
        <rFont val="Times New Roman"/>
        <family val="1"/>
      </rPr>
      <t xml:space="preserve"> of the Protocols will include for each project under construction (i) the CWIP balance eligible for inclusion in rate base; (ii) the CWIP balance ineligible for inclusion in rate base; and</t>
    </r>
  </si>
  <si>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demonstartion in (iii) above</t>
  </si>
  <si>
    <t xml:space="preserve">  will show that monthly debts and credits do not contain entries for AFUDC for each CWIP project in ratebase. </t>
  </si>
  <si>
    <t>ADIT and Accumulated Deferred Income Tax Credits are computed using the average of the beginning of the year and the end of the year balances. The projection will use line 108 of Attachment 4a to populate the average ADIT balance on line 28 above.</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</si>
  <si>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</si>
  <si>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</si>
  <si>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</si>
  <si>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4a - Accumulated Deferred Income Taxes</t>
  </si>
  <si>
    <t>Year Ended December 31, 2020</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</si>
  <si>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</si>
  <si>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</si>
  <si>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</si>
  <si>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</si>
  <si>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</si>
  <si>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</si>
  <si>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</si>
  <si>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</si>
  <si>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</si>
  <si>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</si>
  <si>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</si>
  <si>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</si>
  <si>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March</t>
  </si>
  <si>
    <t>August</t>
  </si>
  <si>
    <t>December</t>
  </si>
  <si>
    <t>Beginning Balance</t>
  </si>
  <si>
    <t>234.8.b</t>
  </si>
  <si>
    <t>Less non Prorated Items</t>
  </si>
  <si>
    <t>Beginning Balance of Prorated items</t>
  </si>
  <si>
    <t>Ending Balance</t>
  </si>
  <si>
    <t>234.8.c</t>
  </si>
  <si>
    <t>Ending Balance of Prorated items</t>
  </si>
  <si>
    <t>Average Balance</t>
  </si>
  <si>
    <t>Less FASB 106 &amp; 109 Items</t>
  </si>
  <si>
    <t>Attachment H, Footnote B</t>
  </si>
  <si>
    <t>Amount for Attachment 4</t>
  </si>
  <si>
    <t>Account 281</t>
  </si>
  <si>
    <t>274.b</t>
  </si>
  <si>
    <t>275.k</t>
  </si>
  <si>
    <t>Account 282</t>
  </si>
  <si>
    <t xml:space="preserve">Less non Prorated Items </t>
  </si>
  <si>
    <t>Account 283</t>
  </si>
  <si>
    <t>276.b</t>
  </si>
  <si>
    <t>277.k</t>
  </si>
  <si>
    <t>Attachment 5</t>
  </si>
  <si>
    <t>Attachment H, Pages 3 and 4, Worksheet</t>
  </si>
  <si>
    <t>Transmission O&amp;M Expenses</t>
  </si>
  <si>
    <t>Account No. 566 (Misc. Trans. Expense)</t>
  </si>
  <si>
    <t>Account No. 565</t>
  </si>
  <si>
    <t>A&amp;G Expenses</t>
  </si>
  <si>
    <t>FERC Annual Fees</t>
  </si>
  <si>
    <t>EPRI &amp; Reg. Comm. Exp. &amp; Non-safety  Ad.</t>
  </si>
  <si>
    <t>Transmission Related Reg. Comm. Exp.</t>
  </si>
  <si>
    <t>Transmission Lease Payments</t>
  </si>
  <si>
    <t>Amortization of Regulatory Asset</t>
  </si>
  <si>
    <t>Depreciation Expense - Transmission</t>
  </si>
  <si>
    <t>(j)</t>
  </si>
  <si>
    <t>(k)</t>
  </si>
  <si>
    <t>Attachment H, Page 3, Line No.:</t>
  </si>
  <si>
    <t>Form No. 1</t>
  </si>
  <si>
    <t>321.112.b</t>
  </si>
  <si>
    <t>321.97.b</t>
  </si>
  <si>
    <t>321.96.b</t>
  </si>
  <si>
    <t>323.197.b</t>
  </si>
  <si>
    <t>(Note E)</t>
  </si>
  <si>
    <t>Portion of Transmission O&amp;M</t>
  </si>
  <si>
    <t>Portion of Account 566</t>
  </si>
  <si>
    <t>Balance of Account 566</t>
  </si>
  <si>
    <t>336.7.b, d &amp; e</t>
  </si>
  <si>
    <t>1</t>
  </si>
  <si>
    <t>2</t>
  </si>
  <si>
    <t>3</t>
  </si>
  <si>
    <t>4</t>
  </si>
  <si>
    <t>Depreciation Expense - General &amp; Intangible</t>
  </si>
  <si>
    <t>Amortization of Abandoned Plant</t>
  </si>
  <si>
    <t>Payroll Taxes</t>
  </si>
  <si>
    <t>Highway &amp; Vehicle Taxes</t>
  </si>
  <si>
    <t>Property Taxes</t>
  </si>
  <si>
    <t>Gross Receipts Taxes</t>
  </si>
  <si>
    <t>Other Taxes</t>
  </si>
  <si>
    <t>Payments in lieu of Taxes</t>
  </si>
  <si>
    <t>Amortized Investment Tax Credit (266.8f)</t>
  </si>
  <si>
    <t>Excess Deferred Income Taxes</t>
  </si>
  <si>
    <t>Attachment H, Page 3, Line Number</t>
  </si>
  <si>
    <t>336.10.b, d &amp; e, 336.1.b, d &amp; e</t>
  </si>
  <si>
    <t>(Note S)</t>
  </si>
  <si>
    <t>263.i</t>
  </si>
  <si>
    <t>266.8.f</t>
  </si>
  <si>
    <t>(Note W)</t>
  </si>
  <si>
    <t>17</t>
  </si>
  <si>
    <t>18</t>
  </si>
  <si>
    <t>19</t>
  </si>
  <si>
    <t>20</t>
  </si>
  <si>
    <t>21</t>
  </si>
  <si>
    <t>22</t>
  </si>
  <si>
    <t>23</t>
  </si>
  <si>
    <t>24</t>
  </si>
  <si>
    <t>25</t>
  </si>
  <si>
    <t>26</t>
  </si>
  <si>
    <t>Bundled Sales for Resale  included on page 4 of Attachment H</t>
  </si>
  <si>
    <t xml:space="preserve">Transmission charges for all transmission transactions </t>
  </si>
  <si>
    <t>Transmission charges associated with Project detailed on the Project Rev Req Schedule Col. 10.</t>
  </si>
  <si>
    <t>Attachment H, Page 4, Line No:</t>
  </si>
  <si>
    <t>29</t>
  </si>
  <si>
    <t>Attach H, p 1 line 4</t>
  </si>
  <si>
    <t>(Note L)</t>
  </si>
  <si>
    <t>(Note M)</t>
  </si>
  <si>
    <t>Portion of Account 456.1</t>
  </si>
  <si>
    <t>Notes K, Q &amp; R from Attachment H</t>
  </si>
  <si>
    <t>Long Term Interest (117, sum of 62.c through 67.c, Note A)</t>
  </si>
  <si>
    <t>Preferred Dividends (118.29c) (positive number)</t>
  </si>
  <si>
    <t>Proprietary Capital (112.16.c)</t>
  </si>
  <si>
    <t xml:space="preserve">Less Preferred Stock (line 49) </t>
  </si>
  <si>
    <t>Less Account 216.1 (112.12.c)  (enter negative)</t>
  </si>
  <si>
    <t>Common Stock</t>
  </si>
  <si>
    <t>(sum lines 41-43)</t>
  </si>
  <si>
    <t>Note A</t>
  </si>
  <si>
    <t xml:space="preserve">Note C  </t>
  </si>
  <si>
    <t>(Sum of Lines 48-50)</t>
  </si>
  <si>
    <t>Note:</t>
  </si>
  <si>
    <t>Long Term Debt balance will reflect the 13 month average of the balances, of which the 1st and 13th are found on page 112 lines 18.c &amp; d to 21.c &amp; d in the Form No. 1.  The cost is calculated by dividing line 42 by the Long Term Debt balance in line 48.</t>
  </si>
  <si>
    <t>In the event there is a construction loan, line 42 will also include the interest and line 48 will also include the outstanding amounts associated with any short term construction financing, prior to the issuance of long term debt.</t>
  </si>
  <si>
    <t>Preferred Stock balance will reflect the 13 month average of the balances, of which the 1st and 13th are found on page 112 line 3.c &amp; d in the Form No. 1</t>
  </si>
  <si>
    <t>Common Stock balance will reflect the 13 month average of the balances, of which the 1st and 13th are found on page 112 lines 3.c &amp; d,  12.c &amp; d, and 16.c &amp; d in the Form No. 1 as shown on lines 41-44 above</t>
  </si>
  <si>
    <t>Attachment 6</t>
  </si>
  <si>
    <t>True-Up Interest Rate</t>
  </si>
  <si>
    <t>[A]</t>
  </si>
  <si>
    <t>[B]</t>
  </si>
  <si>
    <t>[C]</t>
  </si>
  <si>
    <t>[D]</t>
  </si>
  <si>
    <t>Quarter (Note A)</t>
  </si>
  <si>
    <t>FERC Quarterly Interest Rate</t>
  </si>
  <si>
    <t>Short Term Debt Rate</t>
  </si>
  <si>
    <t>Rate for Surcharges (Note A (3))</t>
  </si>
  <si>
    <t>Rate for Refunds (column A)</t>
  </si>
  <si>
    <t>1st Qtr</t>
  </si>
  <si>
    <t xml:space="preserve">2nd Qtr </t>
  </si>
  <si>
    <t xml:space="preserve">3rd Qtr </t>
  </si>
  <si>
    <t>4th Qtr.</t>
  </si>
  <si>
    <t xml:space="preserve">1st Qtr </t>
  </si>
  <si>
    <t xml:space="preserve">Average of lines 1-7 above </t>
  </si>
  <si>
    <t>Note A:</t>
  </si>
  <si>
    <t>(1) The FERC Quarterly Interest Rate in column [A] is the interest applicable to the quarter indicated.</t>
  </si>
  <si>
    <t>(2) The Short Term Debt Rate in column [B] is the weighted average Short Term Debt cost applicable to the quarter indicated.</t>
  </si>
  <si>
    <t>(3) The Rate for Surcharges is the lesser of Column A or B if short term debt is issued in the quarter and Column A if there is no short term debt issued in a quarter</t>
  </si>
  <si>
    <t>Year</t>
  </si>
  <si>
    <t>L</t>
  </si>
  <si>
    <t>Date Payments Received</t>
  </si>
  <si>
    <t>Rate (line 8)</t>
  </si>
  <si>
    <t>11a</t>
  </si>
  <si>
    <t>11b</t>
  </si>
  <si>
    <t>11c</t>
  </si>
  <si>
    <t xml:space="preserve">Interest is calculated by taking the interest rate in line 8 and applying it monthly to the balances in Column C-N (i.e., for January 12/12* Column O, February 11/12* Column O, etc.) </t>
  </si>
  <si>
    <t xml:space="preserve">   plus the interest rate in line 8 times 1.5 times the sum of the balances for January through December.   </t>
  </si>
  <si>
    <t>Attachment 7</t>
  </si>
  <si>
    <t>PBOPs</t>
  </si>
  <si>
    <t>Calculation of PBOP Expenses</t>
  </si>
  <si>
    <t>NextEra</t>
  </si>
  <si>
    <t>Total PBOP expenses (Note A)</t>
  </si>
  <si>
    <t>Labor dollars (total labor under PBOP Plan, Note A)</t>
  </si>
  <si>
    <t>Cost per labor dollar (line2 / line3)</t>
  </si>
  <si>
    <t>labor expensed (labor not capitalized) in current year, 354.28.b.</t>
  </si>
  <si>
    <t>PBOP Expense for current year</t>
  </si>
  <si>
    <t>(line 4 * line 5)</t>
  </si>
  <si>
    <t xml:space="preserve">Lines 2-3 cannot change absent approval or acceptance by FERC in a separate proceeding. </t>
  </si>
  <si>
    <t>PBOP amount included in Company's O&amp;M and A&amp;G expenses included in FERC Account Nos. 500-935</t>
  </si>
  <si>
    <t>The source of the amounts from the Actuary Study supporting the numbers in Line 2 and 3 is -</t>
  </si>
  <si>
    <t>Attachment 8</t>
  </si>
  <si>
    <t>Depreciation Rates</t>
  </si>
  <si>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</si>
  <si>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</si>
  <si>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</si>
  <si>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</si>
  <si>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</si>
  <si>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</si>
  <si>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</si>
  <si>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</si>
  <si>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</si>
  <si>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</si>
  <si>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</si>
  <si>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</si>
  <si>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</si>
  <si>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</si>
  <si>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</si>
  <si>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</si>
  <si>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</si>
  <si>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</si>
  <si>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</si>
  <si>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</si>
  <si>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</si>
  <si>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</si>
  <si>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</si>
  <si>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</si>
  <si>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</si>
  <si>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</si>
  <si>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</si>
  <si>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</si>
  <si>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</si>
  <si>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</si>
  <si>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</si>
  <si>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</si>
  <si>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</si>
  <si>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</si>
  <si>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</si>
  <si>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</si>
  <si>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</si>
  <si>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</si>
  <si>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</si>
  <si>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</si>
  <si>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</si>
  <si>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</si>
  <si>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</si>
  <si>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</si>
  <si>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</si>
  <si>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</si>
  <si>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</si>
  <si>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</si>
  <si>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</si>
  <si>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</si>
  <si>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</si>
  <si>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r>
      <t xml:space="preserve"> </t>
    </r>
    <r>
      <rPr>
        <sz val="14"/>
        <color indexed="8"/>
        <rFont val="Arial Narrow"/>
        <family val="2"/>
      </rPr>
      <t xml:space="preserve">Note 1: In the event a Contribution in Aid of Construction (CIAC) is made for a transmission facility, the transmission </t>
    </r>
    <r>
      <rPr>
        <sz val="14"/>
        <rFont val="Arial Narrow"/>
        <family val="2"/>
      </rPr>
      <t xml:space="preserve"> </t>
    </r>
  </si>
  <si>
    <r>
      <t xml:space="preserve"> </t>
    </r>
    <r>
      <rPr>
        <sz val="14"/>
        <color indexed="8"/>
        <rFont val="Arial Narrow"/>
        <family val="2"/>
      </rPr>
      <t>depreciation rates above will be weighted based on the relative amount of underlying transmission plant booked to the accounts</t>
    </r>
    <r>
      <rPr>
        <sz val="14"/>
        <rFont val="Arial Narrow"/>
        <family val="2"/>
      </rPr>
      <t xml:space="preserve"> </t>
    </r>
  </si>
  <si>
    <r>
      <t xml:space="preserve"> </t>
    </r>
    <r>
      <rPr>
        <sz val="14"/>
        <color indexed="8"/>
        <rFont val="Arial Narrow"/>
        <family val="2"/>
      </rPr>
      <t>shown in lines 1-9 above and the weighted average depreciation rate will be used to amortize the CIAC.</t>
    </r>
    <r>
      <rPr>
        <sz val="14"/>
        <rFont val="Arial Narrow"/>
        <family val="2"/>
      </rPr>
      <t xml:space="preserve">  The life of a</t>
    </r>
  </si>
  <si>
    <t xml:space="preserve"> facility subject to a CIAC will be equivalent to the depreciation rate calculated above, i.e., 100% ÷ deprecation rate = life</t>
  </si>
  <si>
    <t xml:space="preserve"> in years. The estimated life of the facility or rights associated with the facility will not change  over the life of a CIAC</t>
  </si>
  <si>
    <t xml:space="preserve"> without prior FERC approval.</t>
  </si>
  <si>
    <r>
      <t xml:space="preserve"> </t>
    </r>
    <r>
      <rPr>
        <sz val="14"/>
        <color indexed="8"/>
        <rFont val="Arial Narrow"/>
        <family val="2"/>
      </rPr>
      <t>These depreciation rates will not change absent the appropriate filing at FERC.</t>
    </r>
    <r>
      <rPr>
        <sz val="14"/>
        <rFont val="Arial Narrow"/>
        <family val="2"/>
      </rPr>
      <t xml:space="preserve"> </t>
    </r>
  </si>
  <si>
    <t>For  the 12 months ended 12/31/2021</t>
  </si>
  <si>
    <t>Projected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</si>
</sst>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0000"/>
    <numFmt numFmtId="167" formatCode="&quot;$&quot;#,##0"/>
    <numFmt numFmtId="168" formatCode="#,##0.000"/>
    <numFmt numFmtId="169" formatCode="&quot;$&quot;#,##0.000"/>
    <numFmt numFmtId="170" formatCode="0.0000"/>
    <numFmt numFmtId="171" formatCode="#,##0.00000"/>
    <numFmt numFmtId="172" formatCode="0.000%"/>
    <numFmt numFmtId="173" formatCode="_(* #,##0.00000_);_(* \(#,##0.00000\);_(* &quot;-&quot;??_);_(@_)"/>
    <numFmt numFmtId="174" formatCode="#,##0.0"/>
    <numFmt numFmtId="175" formatCode="_(* #,##0.0000_);_(* \(#,##0.0000\);_(* &quot;-&quot;??_);_(@_)"/>
    <numFmt numFmtId="176" formatCode="#,##0.0000"/>
    <numFmt numFmtId="177" formatCode="_(* #,##0.0_);_(* \(#,##0.0\);_(* &quot;-&quot;??_);_(@_)"/>
    <numFmt numFmtId="178" formatCode="_(* #,##0.0000000_);_(* \(#,##0.0000000\);_(* &quot;-&quot;??_);_(@_)"/>
    <numFmt numFmtId="179" formatCode="_(* #,##0.000000_);_(* \(#,##0.000000\);_(* &quot;-&quot;??_);_(@_)"/>
    <numFmt numFmtId="180" formatCode="0_);\(0\)"/>
    <numFmt numFmtId="181" formatCode="_(&quot;$&quot;* #,##0_);_(&quot;$&quot;* \(#,##0\);_(&quot;$&quot;* &quot;-&quot;??_);_(@_)"/>
    <numFmt numFmtId="182" formatCode="_(* #,##0.000_);_(* \(#,##0.000\);_(* &quot;-&quot;??_);_(@_)"/>
    <numFmt numFmtId="183" formatCode="0.0000%"/>
    <numFmt numFmtId="184" formatCode="_(* #,##0.00000_);_(* \(#,##0.00000\);_(* &quot;-&quot;?????_);_(@_)"/>
  </numFmts>
  <fonts count="48">
    <font>
      <sz val="12"/>
      <name val="Arial MT"/>
    </font>
    <font>
      <sz val="11"/>
      <color theme="1"/>
      <name val="Calibri"/>
      <family val="2"/>
      <scheme val="minor"/>
    </font>
    <font>
      <sz val="10"/>
      <name val="Arial"/>
      <family val="2"/>
    </font>
    <font>
      <sz val="10"/>
      <name val="Times New Roman"/>
      <family val="1"/>
    </font>
    <font>
      <sz val="12"/>
      <name val="Arial MT"/>
    </font>
    <font>
      <sz val="10"/>
      <color rgb="FFFF0000"/>
      <name val="Times New Roman"/>
      <family val="1"/>
    </font>
    <font>
      <b/>
      <i/>
      <strike/>
      <sz val="10"/>
      <name val="Times New Roman"/>
      <family val="1"/>
    </font>
    <font>
      <b/>
      <sz val="12"/>
      <name val="Times New Roman"/>
      <family val="1"/>
    </font>
    <font>
      <sz val="10"/>
      <color indexed="10"/>
      <name val="Times New Roman"/>
      <family val="1"/>
    </font>
    <font>
      <strike/>
      <sz val="10"/>
      <name val="Times New Roman"/>
      <family val="1"/>
    </font>
    <font>
      <b/>
      <sz val="10"/>
      <name val="Times New Roman"/>
      <family val="1"/>
    </font>
    <font>
      <sz val="10"/>
      <color indexed="40"/>
      <name val="Times New Roman"/>
      <family val="1"/>
    </font>
    <font>
      <strike/>
      <sz val="10"/>
      <color indexed="10"/>
      <name val="Times New Roman"/>
      <family val="1"/>
    </font>
    <font>
      <sz val="11"/>
      <name val="Calibri"/>
      <family val="2"/>
    </font>
    <font>
      <sz val="10"/>
      <color indexed="17"/>
      <name val="Times New Roman"/>
      <family val="1"/>
    </font>
    <font>
      <b/>
      <u/>
      <sz val="10"/>
      <name val="Times New Roman"/>
      <family val="1"/>
    </font>
    <font>
      <sz val="10"/>
      <color indexed="8"/>
      <name val="Times New Roman"/>
      <family val="1"/>
    </font>
    <font>
      <sz val="12"/>
      <name val="Times New Roman"/>
      <family val="1"/>
    </font>
    <font>
      <sz val="12"/>
      <name val="Arial"/>
      <family val="2"/>
    </font>
    <font>
      <sz val="10"/>
      <name val="Arial Narrow"/>
      <family val="2"/>
    </font>
    <font>
      <vertAlign val="superscript"/>
      <sz val="10"/>
      <color theme="1"/>
      <name val="Times New Roman"/>
      <family val="1"/>
    </font>
    <font>
      <vertAlign val="superscript"/>
      <sz val="10"/>
      <name val="Times New Roman"/>
      <family val="1"/>
    </font>
    <font>
      <sz val="12"/>
      <color theme="1"/>
      <name val="Times New Roman"/>
      <family val="1"/>
    </font>
    <font>
      <i/>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sz val="11"/>
      <color indexed="8"/>
      <name val="Calibri"/>
      <family val="2"/>
    </font>
    <font>
      <b/>
      <sz val="12"/>
      <color rgb="FFFF0000"/>
      <name val="Times New Roman"/>
      <family val="1"/>
    </font>
    <font>
      <strike/>
      <sz val="10"/>
      <color indexed="12"/>
      <name val="Times New Roman"/>
      <family val="1"/>
    </font>
    <font>
      <sz val="11"/>
      <color indexed="8"/>
      <name val="Arial Narrow"/>
      <family val="2"/>
    </font>
    <font>
      <u/>
      <sz val="12"/>
      <name val="Arial"/>
      <family val="2"/>
    </font>
    <font>
      <b/>
      <sz val="12"/>
      <name val="Arial"/>
      <family val="2"/>
    </font>
    <font>
      <sz val="10"/>
      <color indexed="8"/>
      <name val="Arial"/>
      <family val="2"/>
    </font>
    <font>
      <sz val="10"/>
      <color rgb="FF0000FF"/>
      <name val="Arial"/>
      <family val="2"/>
    </font>
    <font>
      <sz val="11"/>
      <color indexed="8"/>
      <name val="Arial"/>
      <family val="2"/>
    </font>
    <font>
      <sz val="12"/>
      <color indexed="10"/>
      <name val="Arial MT"/>
    </font>
    <font>
      <b/>
      <u/>
      <sz val="10"/>
      <name val="Arial"/>
      <family val="2"/>
    </font>
    <font>
      <sz val="11"/>
      <name val="Times New Roman"/>
      <family val="1"/>
    </font>
    <font>
      <b/>
      <sz val="10"/>
      <name val="Arial"/>
      <family val="2"/>
    </font>
    <font>
      <sz val="12"/>
      <name val="Arial Narrow"/>
      <family val="2"/>
    </font>
    <font>
      <sz val="12"/>
      <color indexed="8"/>
      <name val="Arial Narrow"/>
      <family val="2"/>
    </font>
    <font>
      <b/>
      <sz val="12"/>
      <name val="Arial Narrow"/>
      <family val="2"/>
    </font>
    <font>
      <b/>
      <sz val="12"/>
      <color indexed="8"/>
      <name val="Arial Narrow"/>
      <family val="2"/>
    </font>
    <font>
      <sz val="14"/>
      <name val="Arial Narrow"/>
      <family val="2"/>
    </font>
    <font>
      <sz val="14"/>
      <color indexed="8"/>
      <name val="Arial Narrow"/>
      <family val="2"/>
    </font>
    <font>
      <sz val="14"/>
      <name val="Arial"/>
      <family val="2"/>
    </font>
    <font>
      <sz val="14"/>
      <name val="Times New Roman"/>
      <family val="1"/>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00FF"/>
        <bgColor indexed="64"/>
      </patternFill>
    </fill>
    <fill>
      <patternFill patternType="solid">
        <fgColor theme="1"/>
        <bgColor indexed="64"/>
      </patternFill>
    </fill>
  </fills>
  <borders count="20">
    <border>
      <left/>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diagonal/>
    </border>
  </borders>
  <cellStyleXfs count="23">
    <xf numFmtId="164" fontId="0" fillId="0" borderId="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164" fontId="4" fillId="0" borderId="0" applyProtection="0"/>
    <xf numFmtId="164" fontId="4" fillId="0" borderId="0" applyProtection="0"/>
    <xf numFmtId="0" fontId="4" fillId="0" borderId="0" applyProtection="0"/>
    <xf numFmtId="0" fontId="1" fillId="0" borderId="0"/>
    <xf numFmtId="164" fontId="4" fillId="0" borderId="0" applyProtection="0"/>
    <xf numFmtId="164" fontId="4" fillId="0" borderId="0" applyProtection="0"/>
    <xf numFmtId="0" fontId="2" fillId="0" borderId="0"/>
    <xf numFmtId="0" fontId="2" fillId="0" borderId="0"/>
    <xf numFmtId="0" fontId="2" fillId="0" borderId="0"/>
    <xf numFmtId="164" fontId="4" fillId="0" borderId="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0" fontId="30" fillId="0" borderId="0"/>
    <xf numFmtId="0" fontId="38" fillId="0" borderId="0"/>
    <xf numFmtId="0" fontId="1" fillId="0" borderId="0"/>
  </cellStyleXfs>
  <cellXfs count="573">
    <xf numFmtId="164" fontId="0" fillId="0" borderId="0" xfId="0"/>
    <xf numFmtId="0" fontId="3" fillId="0" borderId="0" xfId="4" applyFont="1"/>
    <xf numFmtId="0" fontId="3" fillId="0" borderId="0" xfId="4" applyFont="1" applyAlignment="1">
      <alignment horizontal="right"/>
    </xf>
    <xf numFmtId="164" fontId="3" fillId="0" borderId="0" xfId="0" applyFont="1"/>
    <xf numFmtId="164" fontId="3" fillId="0" borderId="0" xfId="5" applyFont="1"/>
    <xf numFmtId="0" fontId="3" fillId="0" borderId="0" xfId="5" applyNumberFormat="1" applyFont="1" applyProtection="1">
      <protection locked="0"/>
    </xf>
    <xf numFmtId="164" fontId="3" fillId="0" borderId="0" xfId="0" applyFont="1" applyAlignment="1">
      <alignment horizontal="left" vertical="center"/>
    </xf>
    <xf numFmtId="0" fontId="3" fillId="0" borderId="0" xfId="5" applyNumberFormat="1" applyFont="1" applyAlignment="1" applyProtection="1">
      <alignment horizontal="center"/>
      <protection locked="0"/>
    </xf>
    <xf numFmtId="0" fontId="3" fillId="2" borderId="0" xfId="4" applyFont="1" applyFill="1"/>
    <xf numFmtId="0" fontId="3" fillId="2" borderId="0" xfId="5" applyNumberFormat="1" applyFont="1" applyFill="1"/>
    <xf numFmtId="0" fontId="3" fillId="2" borderId="0" xfId="6" applyNumberFormat="1" applyFont="1" applyFill="1" applyAlignment="1">
      <alignment horizontal="right"/>
    </xf>
    <xf numFmtId="3" fontId="3" fillId="0" borderId="0" xfId="5" applyNumberFormat="1" applyFont="1"/>
    <xf numFmtId="3" fontId="3" fillId="0" borderId="0" xfId="5" applyNumberFormat="1" applyFont="1" applyAlignment="1">
      <alignment horizontal="center"/>
    </xf>
    <xf numFmtId="0" fontId="3" fillId="0" borderId="0" xfId="5" applyNumberFormat="1" applyFont="1"/>
    <xf numFmtId="0" fontId="6" fillId="0" borderId="0" xfId="5" applyNumberFormat="1" applyFont="1"/>
    <xf numFmtId="164" fontId="7" fillId="0" borderId="0" xfId="0" applyFont="1" applyAlignment="1">
      <alignment horizontal="center" vertical="center"/>
    </xf>
    <xf numFmtId="49" fontId="3" fillId="0" borderId="0" xfId="5" applyNumberFormat="1" applyFont="1"/>
    <xf numFmtId="49" fontId="3" fillId="0" borderId="0" xfId="5" applyNumberFormat="1" applyFont="1" applyAlignment="1">
      <alignment horizontal="center"/>
    </xf>
    <xf numFmtId="0" fontId="3" fillId="0" borderId="0" xfId="5" applyNumberFormat="1" applyFont="1" applyAlignment="1">
      <alignment horizontal="center"/>
    </xf>
    <xf numFmtId="0" fontId="3" fillId="0" borderId="1" xfId="5" applyNumberFormat="1" applyFont="1" applyBorder="1" applyAlignment="1" applyProtection="1">
      <alignment horizontal="center"/>
      <protection locked="0"/>
    </xf>
    <xf numFmtId="42" fontId="3" fillId="0" borderId="0" xfId="4" applyNumberFormat="1" applyFont="1"/>
    <xf numFmtId="0" fontId="3" fillId="0" borderId="1" xfId="5" applyNumberFormat="1" applyFont="1" applyBorder="1" applyAlignment="1" applyProtection="1">
      <alignment horizontal="centerContinuous"/>
      <protection locked="0"/>
    </xf>
    <xf numFmtId="43" fontId="3" fillId="0" borderId="0" xfId="1" applyFont="1"/>
    <xf numFmtId="3" fontId="3" fillId="0" borderId="0" xfId="4" applyNumberFormat="1" applyFont="1"/>
    <xf numFmtId="3" fontId="3" fillId="0" borderId="0" xfId="5" applyNumberFormat="1" applyFont="1" applyAlignment="1">
      <alignment horizontal="left"/>
    </xf>
    <xf numFmtId="165" fontId="3" fillId="0" borderId="0" xfId="1" applyNumberFormat="1" applyFont="1"/>
    <xf numFmtId="43" fontId="3" fillId="0" borderId="1" xfId="1" applyFont="1" applyBorder="1"/>
    <xf numFmtId="43" fontId="3" fillId="0" borderId="0" xfId="1" applyFont="1" applyAlignment="1">
      <alignment horizontal="fill"/>
    </xf>
    <xf numFmtId="166" fontId="3" fillId="0" borderId="0" xfId="4" applyNumberFormat="1" applyFont="1"/>
    <xf numFmtId="166" fontId="3" fillId="0" borderId="0" xfId="5" applyNumberFormat="1" applyFont="1"/>
    <xf numFmtId="3" fontId="3" fillId="0" borderId="0" xfId="5" applyNumberFormat="1" applyFont="1" applyAlignment="1">
      <alignment horizontal="fill"/>
    </xf>
    <xf numFmtId="42" fontId="3" fillId="0" borderId="2" xfId="5" applyNumberFormat="1" applyFont="1" applyBorder="1" applyAlignment="1" applyProtection="1">
      <alignment horizontal="right"/>
      <protection locked="0"/>
    </xf>
    <xf numFmtId="167" fontId="8" fillId="0" borderId="0" xfId="0" applyNumberFormat="1" applyFont="1"/>
    <xf numFmtId="164" fontId="8" fillId="0" borderId="0" xfId="0" applyFont="1"/>
    <xf numFmtId="0" fontId="3" fillId="0" borderId="0" xfId="7" applyFont="1" applyAlignment="1" applyProtection="1">
      <alignment horizontal="center"/>
      <protection locked="0"/>
    </xf>
    <xf numFmtId="0" fontId="3" fillId="0" borderId="0" xfId="7" applyFont="1"/>
    <xf numFmtId="0" fontId="3" fillId="0" borderId="0" xfId="7" applyFont="1" applyAlignment="1">
      <alignment horizontal="left"/>
    </xf>
    <xf numFmtId="166" fontId="3" fillId="0" borderId="0" xfId="7" applyNumberFormat="1" applyFont="1"/>
    <xf numFmtId="3" fontId="3" fillId="0" borderId="0" xfId="7" applyNumberFormat="1" applyFont="1"/>
    <xf numFmtId="42" fontId="3" fillId="0" borderId="2" xfId="7" applyNumberFormat="1" applyFont="1" applyBorder="1" applyAlignment="1" applyProtection="1">
      <alignment horizontal="right"/>
      <protection locked="0"/>
    </xf>
    <xf numFmtId="168" fontId="3" fillId="0" borderId="0" xfId="4" applyNumberFormat="1" applyFont="1"/>
    <xf numFmtId="168" fontId="3" fillId="0" borderId="0" xfId="5" applyNumberFormat="1" applyFont="1"/>
    <xf numFmtId="168" fontId="3" fillId="0" borderId="0" xfId="5" applyNumberFormat="1" applyFont="1" applyAlignment="1">
      <alignment horizontal="center"/>
    </xf>
    <xf numFmtId="164" fontId="3" fillId="0" borderId="0" xfId="5" applyFont="1" applyAlignment="1">
      <alignment horizontal="center"/>
    </xf>
    <xf numFmtId="0" fontId="3" fillId="0" borderId="0" xfId="5" applyNumberFormat="1" applyFont="1" applyAlignment="1">
      <alignment horizontal="left"/>
    </xf>
    <xf numFmtId="169" fontId="3" fillId="0" borderId="0" xfId="4" applyNumberFormat="1" applyFont="1"/>
    <xf numFmtId="169" fontId="3" fillId="0" borderId="0" xfId="5" applyNumberFormat="1" applyFont="1" applyProtection="1">
      <protection locked="0"/>
    </xf>
    <xf numFmtId="170" fontId="3" fillId="0" borderId="0" xfId="5" applyNumberFormat="1" applyFont="1"/>
    <xf numFmtId="0" fontId="3" fillId="0" borderId="0" xfId="5" applyNumberFormat="1" applyFont="1" applyAlignment="1">
      <alignment horizontal="right"/>
    </xf>
    <xf numFmtId="0" fontId="9" fillId="0" borderId="0" xfId="5" applyNumberFormat="1" applyFont="1"/>
    <xf numFmtId="164" fontId="3" fillId="0" borderId="0" xfId="0" applyFont="1" applyAlignment="1">
      <alignment horizontal="center" vertical="center"/>
    </xf>
    <xf numFmtId="3" fontId="10" fillId="0" borderId="0" xfId="5" applyNumberFormat="1" applyFont="1" applyAlignment="1">
      <alignment horizontal="center"/>
    </xf>
    <xf numFmtId="0" fontId="10" fillId="0" borderId="0" xfId="5" applyNumberFormat="1" applyFont="1" applyAlignment="1" applyProtection="1">
      <alignment horizontal="center"/>
      <protection locked="0"/>
    </xf>
    <xf numFmtId="164" fontId="10" fillId="0" borderId="0" xfId="5" applyFont="1" applyAlignment="1">
      <alignment horizontal="center"/>
    </xf>
    <xf numFmtId="3" fontId="10" fillId="0" borderId="0" xfId="5" applyNumberFormat="1" applyFont="1"/>
    <xf numFmtId="0" fontId="10" fillId="0" borderId="0" xfId="5" applyNumberFormat="1" applyFont="1"/>
    <xf numFmtId="165" fontId="3" fillId="2" borderId="0" xfId="1" applyNumberFormat="1" applyFont="1" applyFill="1"/>
    <xf numFmtId="171" fontId="3" fillId="0" borderId="0" xfId="5" applyNumberFormat="1" applyFont="1"/>
    <xf numFmtId="165" fontId="3" fillId="2" borderId="1" xfId="1" applyNumberFormat="1" applyFont="1" applyFill="1" applyBorder="1"/>
    <xf numFmtId="165" fontId="3" fillId="0" borderId="1" xfId="1" applyNumberFormat="1" applyFont="1" applyBorder="1"/>
    <xf numFmtId="43" fontId="3" fillId="0" borderId="0" xfId="1" applyFont="1" applyAlignment="1">
      <alignment horizontal="center"/>
    </xf>
    <xf numFmtId="172" fontId="3" fillId="0" borderId="0" xfId="5" applyNumberFormat="1" applyFont="1" applyAlignment="1">
      <alignment horizontal="center"/>
    </xf>
    <xf numFmtId="171" fontId="3" fillId="0" borderId="0" xfId="4" applyNumberFormat="1" applyFont="1" applyAlignment="1">
      <alignment horizontal="right"/>
    </xf>
    <xf numFmtId="173" fontId="3" fillId="0" borderId="0" xfId="1" applyNumberFormat="1" applyFont="1"/>
    <xf numFmtId="3" fontId="3" fillId="0" borderId="0" xfId="5" quotePrefix="1" applyNumberFormat="1" applyFont="1" applyAlignment="1">
      <alignment horizontal="left"/>
    </xf>
    <xf numFmtId="165" fontId="3" fillId="0" borderId="2" xfId="1" applyNumberFormat="1" applyFont="1" applyBorder="1"/>
    <xf numFmtId="172" fontId="3" fillId="0" borderId="0" xfId="4" applyNumberFormat="1" applyFont="1" applyAlignment="1">
      <alignment horizontal="center"/>
    </xf>
    <xf numFmtId="3" fontId="3" fillId="0" borderId="0" xfId="5" applyNumberFormat="1" applyFont="1" applyAlignment="1">
      <alignment horizontal="right"/>
    </xf>
    <xf numFmtId="165" fontId="3" fillId="0" borderId="0" xfId="1" applyNumberFormat="1" applyFont="1" applyAlignment="1">
      <alignment horizontal="right"/>
    </xf>
    <xf numFmtId="3" fontId="11" fillId="0" borderId="0" xfId="5" applyNumberFormat="1" applyFont="1"/>
    <xf numFmtId="164" fontId="11" fillId="0" borderId="0" xfId="0" applyFont="1"/>
    <xf numFmtId="174" fontId="3" fillId="0" borderId="0" xfId="5" applyNumberFormat="1" applyFont="1" applyAlignment="1">
      <alignment horizontal="left"/>
    </xf>
    <xf numFmtId="165" fontId="3" fillId="3" borderId="0" xfId="1" applyNumberFormat="1" applyFont="1" applyFill="1"/>
    <xf numFmtId="175" fontId="3" fillId="0" borderId="0" xfId="1" applyNumberFormat="1" applyFont="1"/>
    <xf numFmtId="0" fontId="3" fillId="0" borderId="0" xfId="5" applyNumberFormat="1" applyFont="1" applyAlignment="1">
      <alignment wrapText="1"/>
    </xf>
    <xf numFmtId="3" fontId="3" fillId="0" borderId="0" xfId="5" applyNumberFormat="1" applyFont="1" applyAlignment="1">
      <alignment wrapText="1"/>
    </xf>
    <xf numFmtId="0" fontId="3" fillId="0" borderId="0" xfId="5" quotePrefix="1" applyNumberFormat="1" applyFont="1" applyAlignment="1">
      <alignment horizontal="left"/>
    </xf>
    <xf numFmtId="166" fontId="3" fillId="0" borderId="0" xfId="5" applyNumberFormat="1" applyFont="1" applyAlignment="1">
      <alignment horizontal="center"/>
    </xf>
    <xf numFmtId="172" fontId="3" fillId="0" borderId="0" xfId="5" applyNumberFormat="1" applyFont="1" applyAlignment="1">
      <alignment horizontal="left"/>
    </xf>
    <xf numFmtId="43" fontId="3" fillId="0" borderId="0" xfId="1" applyFont="1" applyAlignment="1">
      <alignment horizontal="right"/>
    </xf>
    <xf numFmtId="10" fontId="3" fillId="0" borderId="0" xfId="5" applyNumberFormat="1" applyFont="1" applyAlignment="1">
      <alignment horizontal="left"/>
    </xf>
    <xf numFmtId="165" fontId="3" fillId="0" borderId="1" xfId="1" applyNumberFormat="1" applyFont="1" applyBorder="1" applyAlignment="1">
      <alignment horizontal="right"/>
    </xf>
    <xf numFmtId="172" fontId="3" fillId="0" borderId="0" xfId="5" applyNumberFormat="1" applyFont="1" applyAlignment="1" applyProtection="1">
      <alignment horizontal="left"/>
      <protection locked="0"/>
    </xf>
    <xf numFmtId="176" fontId="3" fillId="0" borderId="0" xfId="5" applyNumberFormat="1" applyFont="1"/>
    <xf numFmtId="166" fontId="3" fillId="0" borderId="0" xfId="4" applyNumberFormat="1" applyFont="1" applyAlignment="1">
      <alignment horizontal="center"/>
    </xf>
    <xf numFmtId="165" fontId="3" fillId="0" borderId="3" xfId="1" applyNumberFormat="1" applyFont="1" applyBorder="1"/>
    <xf numFmtId="164" fontId="3" fillId="0" borderId="0" xfId="5" applyFont="1" applyAlignment="1">
      <alignment horizontal="right"/>
    </xf>
    <xf numFmtId="0" fontId="11" fillId="0" borderId="0" xfId="5" applyNumberFormat="1" applyFont="1" applyAlignment="1" applyProtection="1">
      <alignment horizontal="center"/>
      <protection locked="0"/>
    </xf>
    <xf numFmtId="0" fontId="3" fillId="0" borderId="1" xfId="5" applyNumberFormat="1" applyFont="1" applyBorder="1" applyProtection="1">
      <protection locked="0"/>
    </xf>
    <xf numFmtId="0" fontId="3" fillId="0" borderId="1" xfId="5" applyNumberFormat="1" applyFont="1" applyBorder="1"/>
    <xf numFmtId="175" fontId="3" fillId="0" borderId="0" xfId="1" applyNumberFormat="1" applyFont="1" applyAlignment="1">
      <alignment horizontal="right"/>
    </xf>
    <xf numFmtId="3" fontId="3" fillId="0" borderId="1" xfId="5" applyNumberFormat="1" applyFont="1" applyBorder="1"/>
    <xf numFmtId="3" fontId="3" fillId="0" borderId="1" xfId="5" applyNumberFormat="1" applyFont="1" applyBorder="1" applyAlignment="1">
      <alignment horizontal="center"/>
    </xf>
    <xf numFmtId="4" fontId="3" fillId="0" borderId="0" xfId="5" applyNumberFormat="1" applyFont="1"/>
    <xf numFmtId="3" fontId="3" fillId="0" borderId="0" xfId="4" applyNumberFormat="1" applyFont="1" applyAlignment="1">
      <alignment horizontal="center"/>
    </xf>
    <xf numFmtId="0" fontId="3" fillId="0" borderId="1" xfId="4" applyFont="1" applyBorder="1" applyAlignment="1">
      <alignment horizontal="center"/>
    </xf>
    <xf numFmtId="0" fontId="3" fillId="0" borderId="0" xfId="4" applyFont="1" applyAlignment="1">
      <alignment horizontal="center"/>
    </xf>
    <xf numFmtId="166" fontId="3" fillId="0" borderId="0" xfId="5" applyNumberFormat="1" applyFont="1" applyAlignment="1" applyProtection="1">
      <alignment horizontal="center"/>
      <protection locked="0"/>
    </xf>
    <xf numFmtId="173" fontId="3" fillId="0" borderId="0" xfId="1" applyNumberFormat="1" applyFont="1" applyAlignment="1">
      <alignment horizontal="center"/>
    </xf>
    <xf numFmtId="165" fontId="3" fillId="0" borderId="0" xfId="1" applyNumberFormat="1" applyFont="1" applyAlignment="1">
      <alignment horizontal="center"/>
    </xf>
    <xf numFmtId="10" fontId="3" fillId="0" borderId="0" xfId="3" applyNumberFormat="1" applyFont="1"/>
    <xf numFmtId="3" fontId="3" fillId="0" borderId="0" xfId="5" quotePrefix="1" applyNumberFormat="1" applyFont="1"/>
    <xf numFmtId="165" fontId="3" fillId="0" borderId="1" xfId="1" applyNumberFormat="1" applyFont="1" applyBorder="1" applyAlignment="1">
      <alignment horizontal="center"/>
    </xf>
    <xf numFmtId="43" fontId="3" fillId="0" borderId="1" xfId="1" applyFont="1" applyBorder="1" applyAlignment="1">
      <alignment horizontal="center"/>
    </xf>
    <xf numFmtId="10" fontId="3" fillId="0" borderId="0" xfId="3" applyNumberFormat="1" applyFont="1" applyAlignment="1">
      <alignment horizontal="right"/>
    </xf>
    <xf numFmtId="0" fontId="8" fillId="0" borderId="0" xfId="5" applyNumberFormat="1" applyFont="1" applyProtection="1">
      <protection locked="0"/>
    </xf>
    <xf numFmtId="164" fontId="8" fillId="0" borderId="0" xfId="5" applyFont="1"/>
    <xf numFmtId="177" fontId="3" fillId="2" borderId="0" xfId="1" applyNumberFormat="1" applyFont="1" applyFill="1" applyProtection="1">
      <protection locked="0"/>
    </xf>
    <xf numFmtId="38" fontId="3" fillId="0" borderId="0" xfId="5" applyNumberFormat="1" applyFont="1"/>
    <xf numFmtId="164" fontId="3" fillId="0" borderId="1" xfId="5" applyFont="1" applyBorder="1"/>
    <xf numFmtId="177" fontId="3" fillId="0" borderId="1" xfId="1" applyNumberFormat="1" applyFont="1" applyBorder="1" applyProtection="1">
      <protection locked="0"/>
    </xf>
    <xf numFmtId="177" fontId="3" fillId="0" borderId="0" xfId="1" applyNumberFormat="1" applyFont="1"/>
    <xf numFmtId="167" fontId="3" fillId="0" borderId="0" xfId="5" applyNumberFormat="1" applyFont="1"/>
    <xf numFmtId="168" fontId="3" fillId="0" borderId="0" xfId="5" applyNumberFormat="1" applyFont="1" applyProtection="1">
      <protection locked="0"/>
    </xf>
    <xf numFmtId="1" fontId="3" fillId="0" borderId="0" xfId="5" applyNumberFormat="1" applyFont="1"/>
    <xf numFmtId="0" fontId="3" fillId="0" borderId="0" xfId="5" applyNumberFormat="1" applyFont="1" applyAlignment="1" applyProtection="1">
      <alignment horizontal="left"/>
      <protection locked="0"/>
    </xf>
    <xf numFmtId="165" fontId="3" fillId="2" borderId="0" xfId="1" applyNumberFormat="1" applyFont="1" applyFill="1" applyProtection="1">
      <protection locked="0"/>
    </xf>
    <xf numFmtId="0" fontId="3" fillId="0" borderId="1" xfId="4" applyFont="1" applyBorder="1" applyAlignment="1">
      <alignment horizontal="left" vertical="center" wrapText="1"/>
    </xf>
    <xf numFmtId="165" fontId="3" fillId="0" borderId="1" xfId="1" applyNumberFormat="1" applyFont="1" applyBorder="1" applyProtection="1">
      <protection locked="0"/>
    </xf>
    <xf numFmtId="3" fontId="3" fillId="0" borderId="0" xfId="5" applyNumberFormat="1" applyFont="1" applyAlignment="1" applyProtection="1">
      <alignment horizontal="right"/>
      <protection locked="0"/>
    </xf>
    <xf numFmtId="164" fontId="3" fillId="0" borderId="0" xfId="5" applyFont="1" applyProtection="1">
      <protection locked="0"/>
    </xf>
    <xf numFmtId="167" fontId="3" fillId="0" borderId="0" xfId="5" applyNumberFormat="1" applyFont="1" applyAlignment="1" applyProtection="1">
      <alignment horizontal="right"/>
      <protection locked="0"/>
    </xf>
    <xf numFmtId="167" fontId="3" fillId="0" borderId="0" xfId="5" applyNumberFormat="1" applyFont="1" applyProtection="1">
      <protection locked="0"/>
    </xf>
    <xf numFmtId="0" fontId="3" fillId="0" borderId="0" xfId="5" applyNumberFormat="1" applyFont="1" applyAlignment="1" applyProtection="1">
      <alignment horizontal="left" indent="8"/>
      <protection locked="0"/>
    </xf>
    <xf numFmtId="3" fontId="3" fillId="0" borderId="0" xfId="5" applyNumberFormat="1" applyFont="1" applyAlignment="1">
      <alignment vertical="top" wrapText="1"/>
    </xf>
    <xf numFmtId="0" fontId="3" fillId="0" borderId="0" xfId="5" applyNumberFormat="1" applyFont="1" applyAlignment="1" applyProtection="1">
      <alignment vertical="top" wrapText="1"/>
      <protection locked="0"/>
    </xf>
    <xf numFmtId="0" fontId="3" fillId="0" borderId="0" xfId="5" applyNumberFormat="1" applyFont="1" applyAlignment="1" applyProtection="1">
      <alignment vertical="top"/>
      <protection locked="0"/>
    </xf>
    <xf numFmtId="9" fontId="3" fillId="2" borderId="0" xfId="1" applyNumberFormat="1" applyFont="1" applyFill="1" applyAlignment="1">
      <alignment horizontal="right"/>
    </xf>
    <xf numFmtId="172" fontId="3" fillId="2" borderId="0" xfId="1" applyNumberFormat="1" applyFont="1" applyFill="1" applyAlignment="1" applyProtection="1">
      <alignment vertical="top"/>
      <protection locked="0"/>
    </xf>
    <xf numFmtId="9" fontId="3" fillId="2" borderId="0" xfId="1" applyNumberFormat="1" applyFont="1" applyFill="1" applyAlignment="1" applyProtection="1">
      <alignment vertical="top"/>
      <protection locked="0"/>
    </xf>
    <xf numFmtId="43" fontId="3" fillId="0" borderId="0" xfId="1" applyFont="1" applyAlignment="1" applyProtection="1">
      <alignment vertical="top"/>
      <protection locked="0"/>
    </xf>
    <xf numFmtId="164" fontId="3" fillId="0" borderId="0" xfId="5" applyFont="1" applyAlignment="1">
      <alignment vertical="top" wrapText="1"/>
    </xf>
    <xf numFmtId="0" fontId="3" fillId="0" borderId="0" xfId="4" applyFont="1" applyAlignment="1">
      <alignment vertical="top" wrapText="1"/>
    </xf>
    <xf numFmtId="0" fontId="3" fillId="0" borderId="0" xfId="4" applyFont="1" applyAlignment="1">
      <alignment vertical="top"/>
    </xf>
    <xf numFmtId="167" fontId="3" fillId="0" borderId="0" xfId="5" applyNumberFormat="1" applyFont="1" applyAlignment="1">
      <alignment vertical="top"/>
    </xf>
    <xf numFmtId="3" fontId="3" fillId="0" borderId="0" xfId="5" applyNumberFormat="1" applyFont="1" applyAlignment="1">
      <alignment vertical="top"/>
    </xf>
    <xf numFmtId="164" fontId="3" fillId="0" borderId="0" xfId="0" applyFont="1" applyAlignment="1">
      <alignment vertical="top"/>
    </xf>
    <xf numFmtId="164" fontId="13" fillId="0" borderId="0" xfId="0" applyFont="1"/>
    <xf numFmtId="0" fontId="3" fillId="0" borderId="0" xfId="8" applyFont="1" applyAlignment="1">
      <alignment vertical="center"/>
    </xf>
    <xf numFmtId="164" fontId="3" fillId="0" borderId="0" xfId="6" applyFont="1"/>
    <xf numFmtId="164" fontId="3" fillId="0" borderId="0" xfId="6" applyFont="1" applyAlignment="1">
      <alignment horizontal="right"/>
    </xf>
    <xf numFmtId="0" fontId="3" fillId="0" borderId="0" xfId="6" applyNumberFormat="1" applyFont="1" applyProtection="1">
      <protection locked="0"/>
    </xf>
    <xf numFmtId="0" fontId="3" fillId="0" borderId="0" xfId="6" applyNumberFormat="1" applyFont="1" applyAlignment="1" applyProtection="1">
      <alignment horizontal="center"/>
      <protection locked="0"/>
    </xf>
    <xf numFmtId="0" fontId="3" fillId="0" borderId="0" xfId="6" applyNumberFormat="1" applyFont="1" applyAlignment="1">
      <alignment horizontal="right"/>
    </xf>
    <xf numFmtId="0" fontId="3" fillId="0" borderId="0" xfId="6" applyNumberFormat="1" applyFont="1"/>
    <xf numFmtId="165" fontId="14" fillId="0" borderId="0" xfId="1" applyNumberFormat="1" applyFont="1"/>
    <xf numFmtId="3" fontId="3" fillId="0" borderId="0" xfId="6" applyNumberFormat="1" applyFont="1"/>
    <xf numFmtId="0" fontId="14" fillId="0" borderId="0" xfId="6" applyNumberFormat="1" applyFont="1" applyAlignment="1">
      <alignment horizontal="center"/>
    </xf>
    <xf numFmtId="0" fontId="14" fillId="0" borderId="0" xfId="6" applyNumberFormat="1" applyFont="1"/>
    <xf numFmtId="49" fontId="3" fillId="0" borderId="0" xfId="6" applyNumberFormat="1" applyFont="1"/>
    <xf numFmtId="0" fontId="3" fillId="0" borderId="0" xfId="6" applyNumberFormat="1" applyFont="1" applyAlignment="1">
      <alignment horizontal="center"/>
    </xf>
    <xf numFmtId="49" fontId="3" fillId="0" borderId="0" xfId="6" applyNumberFormat="1" applyFont="1" applyAlignment="1">
      <alignment horizontal="center"/>
    </xf>
    <xf numFmtId="3" fontId="10" fillId="0" borderId="0" xfId="6" applyNumberFormat="1" applyFont="1" applyAlignment="1">
      <alignment horizontal="center"/>
    </xf>
    <xf numFmtId="164" fontId="10" fillId="0" borderId="0" xfId="6" applyFont="1" applyAlignment="1">
      <alignment horizontal="center"/>
    </xf>
    <xf numFmtId="0" fontId="10" fillId="0" borderId="0" xfId="6" applyNumberFormat="1" applyFont="1" applyAlignment="1" applyProtection="1">
      <alignment horizontal="center"/>
      <protection locked="0"/>
    </xf>
    <xf numFmtId="0" fontId="10" fillId="0" borderId="0" xfId="6" applyNumberFormat="1" applyFont="1" applyAlignment="1">
      <alignment horizontal="center"/>
    </xf>
    <xf numFmtId="0" fontId="10" fillId="0" borderId="0" xfId="6" applyNumberFormat="1" applyFont="1"/>
    <xf numFmtId="0" fontId="15" fillId="0" borderId="0" xfId="6" applyNumberFormat="1" applyFont="1" applyAlignment="1" applyProtection="1">
      <alignment horizontal="center"/>
      <protection locked="0"/>
    </xf>
    <xf numFmtId="3" fontId="3" fillId="0" borderId="0" xfId="6" applyNumberFormat="1" applyFont="1" applyAlignment="1">
      <alignment horizontal="center"/>
    </xf>
    <xf numFmtId="3" fontId="3" fillId="0" borderId="0" xfId="6" applyNumberFormat="1" applyFont="1" applyAlignment="1">
      <alignment horizontal="left"/>
    </xf>
    <xf numFmtId="178" fontId="16" fillId="0" borderId="0" xfId="1" applyNumberFormat="1" applyFont="1"/>
    <xf numFmtId="10" fontId="16" fillId="0" borderId="0" xfId="3" applyNumberFormat="1" applyFont="1"/>
    <xf numFmtId="10" fontId="10" fillId="0" borderId="0" xfId="6" applyNumberFormat="1" applyFont="1"/>
    <xf numFmtId="3" fontId="10" fillId="0" borderId="0" xfId="6" applyNumberFormat="1" applyFont="1"/>
    <xf numFmtId="171" fontId="10" fillId="0" borderId="0" xfId="6" applyNumberFormat="1" applyFont="1"/>
    <xf numFmtId="10" fontId="3" fillId="0" borderId="0" xfId="6" applyNumberFormat="1" applyFont="1"/>
    <xf numFmtId="164" fontId="3" fillId="0" borderId="0" xfId="6" applyFont="1" applyAlignment="1">
      <alignment horizontal="left"/>
    </xf>
    <xf numFmtId="164" fontId="3" fillId="0" borderId="0" xfId="6" applyFont="1" applyAlignment="1">
      <alignment horizontal="center"/>
    </xf>
    <xf numFmtId="43" fontId="16" fillId="0" borderId="0" xfId="1" applyFont="1"/>
    <xf numFmtId="49" fontId="10" fillId="0" borderId="0" xfId="6" applyNumberFormat="1" applyFont="1" applyAlignment="1">
      <alignment horizontal="center"/>
    </xf>
    <xf numFmtId="164" fontId="10" fillId="0" borderId="0" xfId="6" applyFont="1"/>
    <xf numFmtId="3" fontId="10" fillId="0" borderId="0" xfId="6" applyNumberFormat="1" applyFont="1" applyAlignment="1">
      <alignment horizontal="left"/>
    </xf>
    <xf numFmtId="179" fontId="10" fillId="0" borderId="0" xfId="1" applyNumberFormat="1" applyFont="1"/>
    <xf numFmtId="10" fontId="10" fillId="0" borderId="0" xfId="3" applyNumberFormat="1" applyFont="1"/>
    <xf numFmtId="0" fontId="3" fillId="0" borderId="0" xfId="6" applyNumberFormat="1" applyFont="1" applyAlignment="1">
      <alignment horizontal="fill"/>
    </xf>
    <xf numFmtId="164" fontId="8" fillId="0" borderId="0" xfId="6" applyFont="1"/>
    <xf numFmtId="3" fontId="8" fillId="0" borderId="0" xfId="6" applyNumberFormat="1" applyFont="1"/>
    <xf numFmtId="172" fontId="3" fillId="0" borderId="0" xfId="6" applyNumberFormat="1" applyFont="1" applyAlignment="1">
      <alignment horizontal="left"/>
    </xf>
    <xf numFmtId="172" fontId="3" fillId="0" borderId="0" xfId="6" applyNumberFormat="1" applyFont="1" applyAlignment="1">
      <alignment horizontal="center"/>
    </xf>
    <xf numFmtId="167" fontId="3" fillId="0" borderId="0" xfId="6" applyNumberFormat="1" applyFont="1"/>
    <xf numFmtId="43" fontId="10" fillId="0" borderId="0" xfId="1" applyFont="1"/>
    <xf numFmtId="0" fontId="8" fillId="0" borderId="0" xfId="6" applyNumberFormat="1" applyFont="1"/>
    <xf numFmtId="49" fontId="3" fillId="0" borderId="0" xfId="6" applyNumberFormat="1" applyFont="1" applyAlignment="1">
      <alignment horizontal="left"/>
    </xf>
    <xf numFmtId="180" fontId="10" fillId="0" borderId="0" xfId="6" applyNumberFormat="1" applyFont="1" applyAlignment="1">
      <alignment horizontal="center"/>
    </xf>
    <xf numFmtId="180" fontId="10" fillId="0" borderId="0" xfId="6" quotePrefix="1" applyNumberFormat="1" applyFont="1" applyAlignment="1">
      <alignment horizontal="center"/>
    </xf>
    <xf numFmtId="164" fontId="10" fillId="0" borderId="4" xfId="6" applyFont="1" applyBorder="1" applyAlignment="1">
      <alignment horizontal="center" wrapText="1"/>
    </xf>
    <xf numFmtId="164" fontId="10" fillId="0" borderId="5" xfId="6" applyFont="1" applyBorder="1"/>
    <xf numFmtId="164" fontId="10" fillId="0" borderId="6" xfId="6" applyFont="1" applyBorder="1"/>
    <xf numFmtId="164" fontId="10" fillId="0" borderId="5" xfId="6" applyFont="1" applyBorder="1" applyAlignment="1">
      <alignment horizontal="center" wrapText="1"/>
    </xf>
    <xf numFmtId="0" fontId="10" fillId="0" borderId="5" xfId="6" applyNumberFormat="1" applyFont="1" applyBorder="1" applyAlignment="1">
      <alignment horizontal="center" wrapText="1"/>
    </xf>
    <xf numFmtId="164" fontId="10" fillId="0" borderId="7" xfId="6" applyFont="1" applyBorder="1" applyAlignment="1">
      <alignment horizontal="center" wrapText="1"/>
    </xf>
    <xf numFmtId="3" fontId="10" fillId="0" borderId="7" xfId="6" applyNumberFormat="1" applyFont="1" applyBorder="1" applyAlignment="1">
      <alignment horizontal="center" wrapText="1"/>
    </xf>
    <xf numFmtId="0" fontId="3" fillId="0" borderId="4" xfId="6" applyNumberFormat="1" applyFont="1" applyBorder="1"/>
    <xf numFmtId="0" fontId="3" fillId="0" borderId="5" xfId="6" applyNumberFormat="1" applyFont="1" applyBorder="1"/>
    <xf numFmtId="0" fontId="3" fillId="0" borderId="5" xfId="6" applyNumberFormat="1" applyFont="1" applyBorder="1" applyAlignment="1">
      <alignment horizontal="center"/>
    </xf>
    <xf numFmtId="0" fontId="3" fillId="0" borderId="7" xfId="6" applyNumberFormat="1" applyFont="1" applyBorder="1" applyAlignment="1">
      <alignment horizontal="center"/>
    </xf>
    <xf numFmtId="0" fontId="3" fillId="0" borderId="7" xfId="6" applyNumberFormat="1" applyFont="1" applyBorder="1" applyAlignment="1">
      <alignment horizontal="center" wrapText="1"/>
    </xf>
    <xf numFmtId="3" fontId="3" fillId="0" borderId="7" xfId="6" applyNumberFormat="1" applyFont="1" applyBorder="1" applyAlignment="1">
      <alignment horizontal="center" wrapText="1"/>
    </xf>
    <xf numFmtId="0" fontId="3" fillId="0" borderId="5" xfId="6" applyNumberFormat="1" applyFont="1" applyBorder="1" applyAlignment="1">
      <alignment horizontal="center" wrapText="1"/>
    </xf>
    <xf numFmtId="3" fontId="3" fillId="0" borderId="5" xfId="6" applyNumberFormat="1" applyFont="1" applyBorder="1" applyAlignment="1">
      <alignment horizontal="center"/>
    </xf>
    <xf numFmtId="0" fontId="3" fillId="0" borderId="8" xfId="6" applyNumberFormat="1" applyFont="1" applyBorder="1"/>
    <xf numFmtId="0" fontId="3" fillId="0" borderId="9" xfId="6" applyNumberFormat="1" applyFont="1" applyBorder="1"/>
    <xf numFmtId="0" fontId="3" fillId="0" borderId="10" xfId="6" applyNumberFormat="1" applyFont="1" applyBorder="1"/>
    <xf numFmtId="0" fontId="3" fillId="0" borderId="11" xfId="6" applyNumberFormat="1" applyFont="1" applyBorder="1"/>
    <xf numFmtId="3" fontId="3" fillId="0" borderId="9" xfId="6" applyNumberFormat="1" applyFont="1" applyBorder="1"/>
    <xf numFmtId="164" fontId="3" fillId="0" borderId="8" xfId="9" applyFont="1" applyBorder="1"/>
    <xf numFmtId="164" fontId="3" fillId="0" borderId="0" xfId="9" applyFont="1"/>
    <xf numFmtId="164" fontId="3" fillId="2" borderId="0" xfId="9" applyFont="1" applyFill="1"/>
    <xf numFmtId="0" fontId="3" fillId="2" borderId="0" xfId="1" applyNumberFormat="1" applyFont="1" applyFill="1"/>
    <xf numFmtId="181" fontId="3" fillId="2" borderId="0" xfId="2" applyNumberFormat="1" applyFont="1" applyFill="1"/>
    <xf numFmtId="43" fontId="3" fillId="0" borderId="9" xfId="1" applyFont="1" applyBorder="1"/>
    <xf numFmtId="165" fontId="3" fillId="0" borderId="9" xfId="1" applyNumberFormat="1" applyFont="1" applyBorder="1"/>
    <xf numFmtId="165" fontId="3" fillId="2" borderId="8" xfId="1" applyNumberFormat="1" applyFont="1" applyFill="1" applyBorder="1"/>
    <xf numFmtId="0" fontId="3" fillId="2" borderId="0" xfId="1" applyNumberFormat="1" applyFont="1" applyFill="1" applyAlignment="1">
      <alignment horizontal="right"/>
    </xf>
    <xf numFmtId="164" fontId="3" fillId="0" borderId="8" xfId="6" applyFont="1" applyBorder="1"/>
    <xf numFmtId="164" fontId="3" fillId="2" borderId="0" xfId="6" applyFont="1" applyFill="1"/>
    <xf numFmtId="164" fontId="3" fillId="0" borderId="12" xfId="6" applyFont="1" applyBorder="1"/>
    <xf numFmtId="164" fontId="3" fillId="0" borderId="13" xfId="6" applyFont="1" applyBorder="1"/>
    <xf numFmtId="164" fontId="3" fillId="0" borderId="14" xfId="6" applyFont="1" applyBorder="1"/>
    <xf numFmtId="165" fontId="3" fillId="0" borderId="14" xfId="1" applyNumberFormat="1" applyFont="1" applyBorder="1"/>
    <xf numFmtId="165" fontId="3" fillId="0" borderId="13" xfId="1" applyNumberFormat="1" applyFont="1" applyBorder="1"/>
    <xf numFmtId="165" fontId="9" fillId="0" borderId="12" xfId="1" applyNumberFormat="1" applyFont="1" applyBorder="1"/>
    <xf numFmtId="165" fontId="9" fillId="0" borderId="14" xfId="1" applyNumberFormat="1" applyFont="1" applyBorder="1"/>
    <xf numFmtId="165" fontId="9" fillId="0" borderId="13" xfId="1" applyNumberFormat="1" applyFont="1" applyBorder="1"/>
    <xf numFmtId="1" fontId="3" fillId="0" borderId="0" xfId="1" applyNumberFormat="1" applyFont="1" applyAlignment="1">
      <alignment horizontal="center"/>
    </xf>
    <xf numFmtId="165" fontId="3" fillId="5" borderId="0" xfId="1" applyNumberFormat="1" applyFont="1" applyFill="1"/>
    <xf numFmtId="164" fontId="3" fillId="0" borderId="1" xfId="6" applyFont="1" applyBorder="1"/>
    <xf numFmtId="164" fontId="3" fillId="0" borderId="0" xfId="6" applyFont="1" applyAlignment="1">
      <alignment horizontal="center" vertical="top"/>
    </xf>
    <xf numFmtId="164" fontId="3" fillId="0" borderId="0" xfId="9" applyFont="1" applyAlignment="1">
      <alignment vertical="top"/>
    </xf>
    <xf numFmtId="165" fontId="0" fillId="0" borderId="0" xfId="1" applyNumberFormat="1" applyFont="1"/>
    <xf numFmtId="164" fontId="17" fillId="0" borderId="0" xfId="0" applyFont="1"/>
    <xf numFmtId="0" fontId="18" fillId="0" borderId="0" xfId="6" applyNumberFormat="1" applyFont="1" applyProtection="1">
      <protection locked="0"/>
    </xf>
    <xf numFmtId="0" fontId="18" fillId="0" borderId="0" xfId="6" applyNumberFormat="1" applyFont="1" applyAlignment="1" applyProtection="1">
      <alignment horizontal="center"/>
      <protection locked="0"/>
    </xf>
    <xf numFmtId="0" fontId="17" fillId="0" borderId="0" xfId="6" applyNumberFormat="1" applyFont="1" applyAlignment="1">
      <alignment horizontal="right"/>
    </xf>
    <xf numFmtId="3" fontId="18" fillId="0" borderId="0" xfId="6" applyNumberFormat="1" applyFont="1"/>
    <xf numFmtId="164" fontId="0" fillId="0" borderId="0" xfId="6" applyFont="1"/>
    <xf numFmtId="0" fontId="18" fillId="0" borderId="0" xfId="6" applyNumberFormat="1" applyFont="1"/>
    <xf numFmtId="0" fontId="18" fillId="0" borderId="0" xfId="6" applyNumberFormat="1" applyFont="1" applyAlignment="1">
      <alignment horizontal="center"/>
    </xf>
    <xf numFmtId="164" fontId="4" fillId="0" borderId="0" xfId="6"/>
    <xf numFmtId="164" fontId="18" fillId="0" borderId="0" xfId="0" applyFont="1" applyAlignment="1">
      <alignment horizontal="center" vertical="center"/>
    </xf>
    <xf numFmtId="165" fontId="17" fillId="0" borderId="0" xfId="1" applyNumberFormat="1" applyFont="1"/>
    <xf numFmtId="167" fontId="17" fillId="0" borderId="0" xfId="0" applyNumberFormat="1" applyFont="1"/>
    <xf numFmtId="165" fontId="17" fillId="0" borderId="0" xfId="1" applyNumberFormat="1" applyFont="1" applyAlignment="1" applyProtection="1">
      <alignment horizontal="center"/>
      <protection locked="0"/>
    </xf>
    <xf numFmtId="0" fontId="17" fillId="0" borderId="0" xfId="5" applyNumberFormat="1" applyFont="1" applyProtection="1">
      <protection locked="0"/>
    </xf>
    <xf numFmtId="3" fontId="17" fillId="0" borderId="0" xfId="5" applyNumberFormat="1" applyFont="1"/>
    <xf numFmtId="3" fontId="17" fillId="0" borderId="1" xfId="5" applyNumberFormat="1" applyFont="1" applyBorder="1" applyAlignment="1">
      <alignment horizontal="center"/>
    </xf>
    <xf numFmtId="0" fontId="17" fillId="0" borderId="0" xfId="5" applyNumberFormat="1" applyFont="1"/>
    <xf numFmtId="3" fontId="17" fillId="0" borderId="0" xfId="5" applyNumberFormat="1" applyFont="1" applyAlignment="1">
      <alignment horizontal="center"/>
    </xf>
    <xf numFmtId="0" fontId="17" fillId="0" borderId="1" xfId="5" applyNumberFormat="1" applyFont="1" applyBorder="1" applyAlignment="1" applyProtection="1">
      <alignment horizontal="center"/>
      <protection locked="0"/>
    </xf>
    <xf numFmtId="164" fontId="17" fillId="0" borderId="0" xfId="5" applyFont="1"/>
    <xf numFmtId="43" fontId="17" fillId="2" borderId="0" xfId="1" applyFont="1" applyFill="1" applyAlignment="1">
      <alignment horizontal="center"/>
    </xf>
    <xf numFmtId="43" fontId="17" fillId="2" borderId="0" xfId="1" applyFont="1" applyFill="1"/>
    <xf numFmtId="43" fontId="17" fillId="0" borderId="0" xfId="1" applyFont="1"/>
    <xf numFmtId="164" fontId="17" fillId="0" borderId="0" xfId="5" applyFont="1" applyAlignment="1">
      <alignment wrapText="1"/>
    </xf>
    <xf numFmtId="43" fontId="17" fillId="0" borderId="1" xfId="1" applyFont="1" applyBorder="1" applyAlignment="1">
      <alignment horizontal="center"/>
    </xf>
    <xf numFmtId="170" fontId="17" fillId="4" borderId="0" xfId="1" applyNumberFormat="1" applyFont="1" applyFill="1"/>
    <xf numFmtId="43" fontId="17" fillId="0" borderId="1" xfId="1" applyFont="1" applyBorder="1"/>
    <xf numFmtId="43" fontId="17" fillId="0" borderId="0" xfId="1" applyFont="1" applyAlignment="1">
      <alignment horizontal="center"/>
    </xf>
    <xf numFmtId="166" fontId="17" fillId="0" borderId="0" xfId="5" applyNumberFormat="1" applyFont="1" applyAlignment="1">
      <alignment horizontal="center"/>
    </xf>
    <xf numFmtId="172" fontId="17" fillId="0" borderId="0" xfId="5" applyNumberFormat="1" applyFont="1" applyAlignment="1">
      <alignment horizontal="left"/>
    </xf>
    <xf numFmtId="175" fontId="18" fillId="0" borderId="0" xfId="1" applyNumberFormat="1" applyFont="1" applyAlignment="1">
      <alignment horizontal="right"/>
    </xf>
    <xf numFmtId="43" fontId="17" fillId="0" borderId="0" xfId="1" applyFont="1" applyAlignment="1">
      <alignment horizontal="right"/>
    </xf>
    <xf numFmtId="10" fontId="17" fillId="0" borderId="0" xfId="5" applyNumberFormat="1" applyFont="1" applyAlignment="1">
      <alignment horizontal="left"/>
    </xf>
    <xf numFmtId="3" fontId="17" fillId="0" borderId="0" xfId="4" applyNumberFormat="1" applyFont="1"/>
    <xf numFmtId="166" fontId="17" fillId="0" borderId="0" xfId="4" applyNumberFormat="1" applyFont="1"/>
    <xf numFmtId="0" fontId="17" fillId="0" borderId="0" xfId="4" applyFont="1"/>
    <xf numFmtId="43" fontId="17" fillId="0" borderId="13" xfId="1" applyFont="1" applyBorder="1" applyAlignment="1">
      <alignment horizontal="right"/>
    </xf>
    <xf numFmtId="172" fontId="17" fillId="0" borderId="0" xfId="5" applyNumberFormat="1" applyFont="1" applyAlignment="1" applyProtection="1">
      <alignment horizontal="left"/>
      <protection locked="0"/>
    </xf>
    <xf numFmtId="43" fontId="17" fillId="0" borderId="13" xfId="1" applyFont="1" applyBorder="1"/>
    <xf numFmtId="165" fontId="17" fillId="0" borderId="0" xfId="1" applyNumberFormat="1" applyFont="1" applyAlignment="1">
      <alignment horizontal="left" indent="2"/>
    </xf>
    <xf numFmtId="175" fontId="17" fillId="0" borderId="0" xfId="1" applyNumberFormat="1" applyFont="1"/>
    <xf numFmtId="165" fontId="0" fillId="0" borderId="0" xfId="1" applyNumberFormat="1" applyFont="1" applyAlignment="1">
      <alignment horizontal="center"/>
    </xf>
    <xf numFmtId="0" fontId="3" fillId="0" borderId="0" xfId="1" applyNumberFormat="1" applyFont="1" applyAlignment="1">
      <alignment horizontal="center"/>
    </xf>
    <xf numFmtId="0" fontId="3" fillId="0" borderId="0" xfId="10" applyNumberFormat="1" applyFont="1" applyAlignment="1" applyProtection="1">
      <alignment horizontal="center"/>
      <protection locked="0"/>
    </xf>
    <xf numFmtId="0" fontId="3" fillId="0" borderId="0" xfId="1" applyNumberFormat="1" applyFont="1" applyAlignment="1" applyProtection="1">
      <alignment horizontal="center"/>
      <protection locked="0"/>
    </xf>
    <xf numFmtId="164" fontId="19" fillId="0" borderId="0" xfId="6" applyFont="1"/>
    <xf numFmtId="164" fontId="3" fillId="0" borderId="0" xfId="0" applyFont="1" applyAlignment="1">
      <alignment horizontal="center"/>
    </xf>
    <xf numFmtId="164" fontId="3" fillId="0" borderId="10" xfId="0" applyFont="1" applyBorder="1"/>
    <xf numFmtId="164" fontId="3" fillId="0" borderId="11" xfId="0" applyFont="1" applyBorder="1" applyAlignment="1">
      <alignment horizontal="center"/>
    </xf>
    <xf numFmtId="164" fontId="3" fillId="0" borderId="6" xfId="0" applyFont="1" applyBorder="1"/>
    <xf numFmtId="164" fontId="3" fillId="0" borderId="15" xfId="0" applyFont="1" applyBorder="1"/>
    <xf numFmtId="164" fontId="3" fillId="0" borderId="12" xfId="0" applyFont="1" applyBorder="1"/>
    <xf numFmtId="164" fontId="3" fillId="0" borderId="14" xfId="0" applyFont="1" applyBorder="1" applyAlignment="1">
      <alignment horizontal="center"/>
    </xf>
    <xf numFmtId="164" fontId="3" fillId="0" borderId="13" xfId="0" applyFont="1" applyBorder="1"/>
    <xf numFmtId="164" fontId="3" fillId="0" borderId="16" xfId="0" applyFont="1" applyBorder="1"/>
    <xf numFmtId="0" fontId="3" fillId="3" borderId="0" xfId="1" applyNumberFormat="1" applyFont="1" applyFill="1"/>
    <xf numFmtId="164" fontId="3" fillId="0" borderId="11" xfId="0" applyFont="1" applyBorder="1"/>
    <xf numFmtId="181" fontId="3" fillId="3" borderId="8" xfId="2" applyNumberFormat="1" applyFont="1" applyFill="1" applyBorder="1"/>
    <xf numFmtId="164" fontId="3" fillId="0" borderId="9" xfId="0" applyFont="1" applyBorder="1"/>
    <xf numFmtId="164" fontId="3" fillId="0" borderId="7" xfId="0" applyFont="1" applyBorder="1" applyAlignment="1">
      <alignment horizontal="center"/>
    </xf>
    <xf numFmtId="164" fontId="3" fillId="0" borderId="9" xfId="0" applyFont="1" applyBorder="1" applyAlignment="1">
      <alignment horizontal="center"/>
    </xf>
    <xf numFmtId="164" fontId="3" fillId="0" borderId="8" xfId="0" applyFont="1" applyBorder="1" applyAlignment="1">
      <alignment horizontal="center"/>
    </xf>
    <xf numFmtId="164" fontId="3" fillId="0" borderId="10" xfId="0" applyFont="1" applyBorder="1" applyAlignment="1">
      <alignment horizontal="center"/>
    </xf>
    <xf numFmtId="164" fontId="19" fillId="0" borderId="14" xfId="6" applyFont="1" applyBorder="1" applyAlignment="1">
      <alignment horizontal="center"/>
    </xf>
    <xf numFmtId="43" fontId="3" fillId="3" borderId="10" xfId="1" applyFont="1" applyFill="1" applyBorder="1"/>
    <xf numFmtId="43" fontId="3" fillId="0" borderId="11" xfId="1" applyFont="1" applyBorder="1"/>
    <xf numFmtId="43" fontId="3" fillId="0" borderId="17" xfId="1" applyFont="1" applyBorder="1"/>
    <xf numFmtId="43" fontId="3" fillId="3" borderId="15" xfId="1" applyFont="1" applyFill="1" applyBorder="1"/>
    <xf numFmtId="43" fontId="3" fillId="0" borderId="9" xfId="1" applyFont="1" applyBorder="1" applyAlignment="1">
      <alignment horizontal="center"/>
    </xf>
    <xf numFmtId="43" fontId="3" fillId="3" borderId="11" xfId="1" applyFont="1" applyFill="1" applyBorder="1" applyAlignment="1">
      <alignment horizontal="center"/>
    </xf>
    <xf numFmtId="164" fontId="3" fillId="3" borderId="9" xfId="0" applyFont="1" applyFill="1" applyBorder="1"/>
    <xf numFmtId="43" fontId="3" fillId="3" borderId="8" xfId="1" applyFont="1" applyFill="1" applyBorder="1"/>
    <xf numFmtId="43" fontId="3" fillId="3" borderId="17" xfId="1" applyFont="1" applyFill="1" applyBorder="1"/>
    <xf numFmtId="43" fontId="3" fillId="3" borderId="9" xfId="1" applyFont="1" applyFill="1" applyBorder="1"/>
    <xf numFmtId="164" fontId="3" fillId="0" borderId="14" xfId="0" applyFont="1" applyBorder="1"/>
    <xf numFmtId="181" fontId="3" fillId="0" borderId="12" xfId="2" applyNumberFormat="1" applyFont="1" applyBorder="1"/>
    <xf numFmtId="10" fontId="3" fillId="0" borderId="14" xfId="3" applyNumberFormat="1" applyFont="1" applyBorder="1"/>
    <xf numFmtId="181" fontId="3" fillId="0" borderId="16" xfId="2" applyNumberFormat="1" applyFont="1" applyBorder="1"/>
    <xf numFmtId="10" fontId="3" fillId="3" borderId="0" xfId="3" applyNumberFormat="1" applyFont="1" applyFill="1"/>
    <xf numFmtId="0" fontId="10" fillId="0" borderId="0" xfId="1" applyNumberFormat="1" applyFont="1" applyAlignment="1">
      <alignment horizontal="left"/>
    </xf>
    <xf numFmtId="164" fontId="3" fillId="0" borderId="13" xfId="6" applyFont="1" applyBorder="1" applyAlignment="1">
      <alignment horizontal="center"/>
    </xf>
    <xf numFmtId="164" fontId="3" fillId="0" borderId="10" xfId="6" applyFont="1" applyBorder="1" applyAlignment="1">
      <alignment horizontal="center"/>
    </xf>
    <xf numFmtId="164" fontId="3" fillId="0" borderId="11" xfId="6" applyFont="1" applyBorder="1" applyAlignment="1">
      <alignment horizontal="center"/>
    </xf>
    <xf numFmtId="164" fontId="3" fillId="0" borderId="8" xfId="6" applyFont="1" applyBorder="1" applyAlignment="1">
      <alignment horizontal="center"/>
    </xf>
    <xf numFmtId="164" fontId="3" fillId="0" borderId="9" xfId="6" applyFont="1" applyBorder="1" applyAlignment="1">
      <alignment horizontal="center"/>
    </xf>
    <xf numFmtId="43" fontId="3" fillId="3" borderId="8" xfId="1" applyFont="1" applyFill="1" applyBorder="1" applyAlignment="1">
      <alignment horizontal="center"/>
    </xf>
    <xf numFmtId="164" fontId="3" fillId="0" borderId="12" xfId="6" applyFont="1" applyBorder="1" applyAlignment="1">
      <alignment horizontal="center"/>
    </xf>
    <xf numFmtId="0" fontId="3" fillId="0" borderId="0" xfId="11" applyFont="1"/>
    <xf numFmtId="0" fontId="3" fillId="0" borderId="0" xfId="1" applyNumberFormat="1" applyFont="1" applyAlignment="1">
      <alignment horizontal="center" vertical="top"/>
    </xf>
    <xf numFmtId="0" fontId="3" fillId="0" borderId="0" xfId="0" applyNumberFormat="1" applyFont="1" applyAlignment="1">
      <alignment horizontal="center" vertical="top"/>
    </xf>
    <xf numFmtId="0" fontId="11" fillId="0" borderId="0" xfId="0" applyNumberFormat="1" applyFont="1" applyAlignment="1">
      <alignment horizontal="center"/>
    </xf>
    <xf numFmtId="0" fontId="3" fillId="0" borderId="0" xfId="12" applyFont="1"/>
    <xf numFmtId="0" fontId="3" fillId="0" borderId="0" xfId="12" applyFont="1" applyAlignment="1">
      <alignment horizontal="right"/>
    </xf>
    <xf numFmtId="0" fontId="3" fillId="0" borderId="0" xfId="0" applyNumberFormat="1" applyFont="1" applyAlignment="1">
      <alignment horizontal="center"/>
    </xf>
    <xf numFmtId="0" fontId="3" fillId="0" borderId="0" xfId="12" applyFont="1" applyAlignment="1">
      <alignment horizontal="center"/>
    </xf>
    <xf numFmtId="164" fontId="3" fillId="0" borderId="0" xfId="0" applyFont="1" applyAlignment="1">
      <alignment horizontal="right"/>
    </xf>
    <xf numFmtId="0" fontId="10" fillId="0" borderId="0" xfId="12" applyFont="1" applyAlignment="1">
      <alignment horizontal="centerContinuous"/>
    </xf>
    <xf numFmtId="0" fontId="10" fillId="0" borderId="0" xfId="12" applyFont="1" applyAlignment="1">
      <alignment horizontal="center"/>
    </xf>
    <xf numFmtId="0" fontId="3" fillId="0" borderId="0" xfId="0" applyNumberFormat="1" applyFont="1" applyAlignment="1">
      <alignment horizontal="center" wrapText="1"/>
    </xf>
    <xf numFmtId="0" fontId="10" fillId="0" borderId="0" xfId="12" applyFont="1" applyAlignment="1">
      <alignment horizontal="center" wrapText="1"/>
    </xf>
    <xf numFmtId="164" fontId="3" fillId="0" borderId="0" xfId="0" applyFont="1" applyAlignment="1">
      <alignment wrapText="1"/>
    </xf>
    <xf numFmtId="0" fontId="10" fillId="0" borderId="0" xfId="7" applyFont="1" applyAlignment="1">
      <alignment horizontal="center" wrapText="1"/>
    </xf>
    <xf numFmtId="0" fontId="3" fillId="0" borderId="0" xfId="13" applyFont="1" applyAlignment="1">
      <alignment horizontal="left" wrapText="1"/>
    </xf>
    <xf numFmtId="0" fontId="3" fillId="0" borderId="0" xfId="12" applyFont="1" applyAlignment="1">
      <alignment horizontal="center" wrapText="1"/>
    </xf>
    <xf numFmtId="0" fontId="3" fillId="0" borderId="0" xfId="7" applyFont="1" applyAlignment="1">
      <alignment horizontal="center" wrapText="1"/>
    </xf>
    <xf numFmtId="3" fontId="3" fillId="0" borderId="0" xfId="4" applyNumberFormat="1" applyFont="1" applyAlignment="1">
      <alignment wrapText="1"/>
    </xf>
    <xf numFmtId="3" fontId="3" fillId="0" borderId="0" xfId="4" applyNumberFormat="1" applyFont="1" applyAlignment="1">
      <alignment horizontal="center" wrapText="1"/>
    </xf>
    <xf numFmtId="0" fontId="3" fillId="0" borderId="0" xfId="12" quotePrefix="1" applyFont="1" applyAlignment="1">
      <alignment horizontal="left"/>
    </xf>
    <xf numFmtId="41" fontId="3" fillId="2" borderId="0" xfId="12" applyNumberFormat="1" applyFont="1" applyFill="1"/>
    <xf numFmtId="37" fontId="3" fillId="0" borderId="0" xfId="12" applyNumberFormat="1" applyFont="1"/>
    <xf numFmtId="164" fontId="3" fillId="0" borderId="0" xfId="14" applyFont="1"/>
    <xf numFmtId="0" fontId="10" fillId="0" borderId="0" xfId="12" applyFont="1" applyAlignment="1">
      <alignment horizontal="centerContinuous" wrapText="1"/>
    </xf>
    <xf numFmtId="41" fontId="3" fillId="6" borderId="0" xfId="12" applyNumberFormat="1" applyFont="1" applyFill="1"/>
    <xf numFmtId="43" fontId="3" fillId="0" borderId="3" xfId="1" applyFont="1" applyBorder="1"/>
    <xf numFmtId="44" fontId="3" fillId="0" borderId="0" xfId="0" applyNumberFormat="1" applyFont="1"/>
    <xf numFmtId="0" fontId="3" fillId="0" borderId="0" xfId="15" applyFont="1"/>
    <xf numFmtId="0" fontId="3" fillId="0" borderId="0" xfId="15" applyFont="1" applyAlignment="1">
      <alignment horizontal="center"/>
    </xf>
    <xf numFmtId="3" fontId="3" fillId="0" borderId="0" xfId="15" applyNumberFormat="1" applyFont="1" applyAlignment="1">
      <alignment horizontal="center" wrapText="1"/>
    </xf>
    <xf numFmtId="0" fontId="3" fillId="0" borderId="0" xfId="15" applyFont="1" applyAlignment="1">
      <alignment horizontal="center" wrapText="1"/>
    </xf>
    <xf numFmtId="0" fontId="3" fillId="3" borderId="0" xfId="15" applyFont="1" applyFill="1"/>
    <xf numFmtId="165" fontId="3" fillId="3" borderId="0" xfId="1" applyNumberFormat="1" applyFont="1" applyFill="1" applyAlignment="1">
      <alignment horizontal="center"/>
    </xf>
    <xf numFmtId="164" fontId="11" fillId="3" borderId="0" xfId="0" applyFont="1" applyFill="1"/>
    <xf numFmtId="165" fontId="3" fillId="0" borderId="0" xfId="1" applyNumberFormat="1" applyFont="1" applyAlignment="1">
      <alignment horizontal="center" wrapText="1"/>
    </xf>
    <xf numFmtId="0" fontId="3" fillId="3" borderId="13" xfId="15" applyFont="1" applyFill="1" applyBorder="1"/>
    <xf numFmtId="165" fontId="3" fillId="3" borderId="13" xfId="1" applyNumberFormat="1" applyFont="1" applyFill="1" applyBorder="1"/>
    <xf numFmtId="165" fontId="3" fillId="3" borderId="13" xfId="1" applyNumberFormat="1" applyFont="1" applyFill="1" applyBorder="1" applyAlignment="1">
      <alignment horizontal="center"/>
    </xf>
    <xf numFmtId="164" fontId="11" fillId="3" borderId="13" xfId="0" applyFont="1" applyFill="1" applyBorder="1"/>
    <xf numFmtId="165" fontId="3" fillId="0" borderId="13" xfId="1" applyNumberFormat="1" applyFont="1" applyBorder="1" applyAlignment="1">
      <alignment horizontal="center" wrapText="1"/>
    </xf>
    <xf numFmtId="0" fontId="9" fillId="0" borderId="0" xfId="0" applyNumberFormat="1" applyFont="1" applyAlignment="1">
      <alignment horizontal="center"/>
    </xf>
    <xf numFmtId="164" fontId="9" fillId="0" borderId="0" xfId="0" applyFont="1" applyAlignment="1">
      <alignment horizontal="center"/>
    </xf>
    <xf numFmtId="44" fontId="9" fillId="0" borderId="0" xfId="0" applyNumberFormat="1" applyFont="1"/>
    <xf numFmtId="0" fontId="3" fillId="0" borderId="0" xfId="0" applyNumberFormat="1" applyFont="1"/>
    <xf numFmtId="164" fontId="3" fillId="0" borderId="0" xfId="0" applyFont="1" applyAlignment="1">
      <alignment vertical="center" wrapText="1"/>
    </xf>
    <xf numFmtId="164" fontId="3" fillId="0" borderId="0" xfId="0" applyFont="1" applyAlignment="1">
      <alignment horizontal="left" vertical="center" wrapText="1"/>
    </xf>
    <xf numFmtId="0" fontId="3" fillId="0" borderId="0" xfId="0" applyNumberFormat="1" applyFont="1" applyAlignment="1">
      <alignment vertical="top"/>
    </xf>
    <xf numFmtId="0" fontId="3" fillId="0" borderId="0" xfId="5" quotePrefix="1" applyNumberFormat="1" applyFont="1" applyProtection="1">
      <protection locked="0"/>
    </xf>
    <xf numFmtId="0" fontId="7" fillId="0" borderId="0" xfId="16" applyFont="1"/>
    <xf numFmtId="0" fontId="22" fillId="0" borderId="0" xfId="16" applyFont="1"/>
    <xf numFmtId="0" fontId="22" fillId="0" borderId="0" xfId="16" applyFont="1" applyAlignment="1">
      <alignment horizontal="right"/>
    </xf>
    <xf numFmtId="0" fontId="23" fillId="3" borderId="0" xfId="16" applyFont="1" applyFill="1"/>
    <xf numFmtId="0" fontId="24" fillId="0" borderId="0" xfId="16" applyFont="1"/>
    <xf numFmtId="0" fontId="24" fillId="0" borderId="0" xfId="16" applyFont="1" applyAlignment="1">
      <alignment vertical="center"/>
    </xf>
    <xf numFmtId="0" fontId="24" fillId="0" borderId="0" xfId="16" applyFont="1" applyAlignment="1">
      <alignment horizontal="center" vertical="center" wrapText="1"/>
    </xf>
    <xf numFmtId="0" fontId="24" fillId="0" borderId="11" xfId="16" applyFont="1" applyBorder="1" applyAlignment="1">
      <alignment horizontal="center" vertical="center"/>
    </xf>
    <xf numFmtId="0" fontId="24" fillId="0" borderId="0" xfId="16" applyFont="1" applyAlignment="1">
      <alignment horizontal="center" vertical="center"/>
    </xf>
    <xf numFmtId="0" fontId="22" fillId="0" borderId="14" xfId="16" applyFont="1" applyBorder="1" applyAlignment="1">
      <alignment horizontal="center" vertical="center" wrapText="1"/>
    </xf>
    <xf numFmtId="0" fontId="22" fillId="0" borderId="0" xfId="16" applyFont="1" applyAlignment="1">
      <alignment horizontal="center" vertical="center" wrapText="1"/>
    </xf>
    <xf numFmtId="0" fontId="22" fillId="0" borderId="0" xfId="16" applyFont="1" applyAlignment="1">
      <alignment horizontal="left" vertical="center"/>
    </xf>
    <xf numFmtId="15" fontId="22" fillId="0" borderId="0" xfId="16" applyNumberFormat="1" applyFont="1" applyAlignment="1">
      <alignment vertical="center" wrapText="1"/>
    </xf>
    <xf numFmtId="165" fontId="22" fillId="0" borderId="0" xfId="17" applyNumberFormat="1" applyFont="1" applyAlignment="1">
      <alignment horizontal="right" vertical="center" wrapText="1"/>
    </xf>
    <xf numFmtId="165" fontId="22" fillId="0" borderId="0" xfId="17" applyNumberFormat="1" applyFont="1" applyAlignment="1">
      <alignment vertical="center" wrapText="1"/>
    </xf>
    <xf numFmtId="165" fontId="22" fillId="3" borderId="0" xfId="17" applyNumberFormat="1" applyFont="1" applyFill="1" applyAlignment="1">
      <alignment vertical="center" wrapText="1"/>
    </xf>
    <xf numFmtId="165" fontId="22" fillId="3" borderId="0" xfId="17" applyNumberFormat="1" applyFont="1" applyFill="1" applyAlignment="1">
      <alignment horizontal="right" vertical="center" wrapText="1"/>
    </xf>
    <xf numFmtId="165" fontId="22" fillId="0" borderId="0" xfId="18" applyNumberFormat="1" applyFont="1"/>
    <xf numFmtId="43" fontId="22" fillId="0" borderId="0" xfId="1" applyFont="1"/>
    <xf numFmtId="0" fontId="22" fillId="0" borderId="6" xfId="16" applyFont="1" applyBorder="1" applyAlignment="1">
      <alignment vertical="center" wrapText="1"/>
    </xf>
    <xf numFmtId="165" fontId="22" fillId="0" borderId="6" xfId="16" applyNumberFormat="1" applyFont="1" applyBorder="1" applyAlignment="1">
      <alignment vertical="center" wrapText="1"/>
    </xf>
    <xf numFmtId="0" fontId="22" fillId="0" borderId="6" xfId="16" applyFont="1" applyBorder="1" applyAlignment="1">
      <alignment horizontal="right" vertical="center" wrapText="1"/>
    </xf>
    <xf numFmtId="165" fontId="22" fillId="0" borderId="6" xfId="17" applyNumberFormat="1" applyFont="1" applyBorder="1" applyAlignment="1">
      <alignment vertical="center" wrapText="1"/>
    </xf>
    <xf numFmtId="0" fontId="22" fillId="0" borderId="0" xfId="16" applyFont="1" applyAlignment="1">
      <alignment horizontal="right" vertical="center" wrapText="1"/>
    </xf>
    <xf numFmtId="0" fontId="22" fillId="0" borderId="0" xfId="16" applyFont="1" applyAlignment="1">
      <alignment vertical="center" wrapText="1"/>
    </xf>
    <xf numFmtId="0" fontId="22" fillId="0" borderId="0" xfId="16" applyFont="1" applyAlignment="1">
      <alignment horizontal="justify" vertical="center" wrapText="1"/>
    </xf>
    <xf numFmtId="165" fontId="24" fillId="0" borderId="0" xfId="16" applyNumberFormat="1" applyFont="1"/>
    <xf numFmtId="165" fontId="24" fillId="0" borderId="0" xfId="17" applyNumberFormat="1" applyFont="1" applyAlignment="1">
      <alignment vertical="center" wrapText="1"/>
    </xf>
    <xf numFmtId="165" fontId="22" fillId="0" borderId="0" xfId="1" applyNumberFormat="1" applyFont="1"/>
    <xf numFmtId="165" fontId="17" fillId="0" borderId="0" xfId="1" applyNumberFormat="1" applyFont="1" applyAlignment="1">
      <alignment horizontal="center"/>
    </xf>
    <xf numFmtId="182" fontId="22" fillId="0" borderId="0" xfId="1" applyNumberFormat="1" applyFont="1" applyAlignment="1">
      <alignment horizontal="right" vertical="center" wrapText="1"/>
    </xf>
    <xf numFmtId="165" fontId="22" fillId="0" borderId="0" xfId="16" applyNumberFormat="1" applyFont="1"/>
    <xf numFmtId="0" fontId="25" fillId="0" borderId="0" xfId="16" applyFont="1"/>
    <xf numFmtId="43" fontId="22" fillId="0" borderId="0" xfId="16" applyNumberFormat="1" applyFont="1"/>
    <xf numFmtId="0" fontId="26" fillId="0" borderId="0" xfId="15" applyFont="1" applyAlignment="1">
      <alignment horizontal="left" indent="1"/>
    </xf>
    <xf numFmtId="165" fontId="22" fillId="0" borderId="6" xfId="19" applyNumberFormat="1" applyFont="1" applyBorder="1" applyAlignment="1">
      <alignment vertical="center" wrapText="1"/>
    </xf>
    <xf numFmtId="0" fontId="28" fillId="0" borderId="0" xfId="16" applyFont="1"/>
    <xf numFmtId="49" fontId="11" fillId="0" borderId="0" xfId="0" applyNumberFormat="1" applyFont="1" applyAlignment="1">
      <alignment horizontal="center"/>
    </xf>
    <xf numFmtId="49" fontId="3" fillId="0" borderId="0" xfId="0" applyNumberFormat="1" applyFont="1" applyAlignment="1">
      <alignment horizontal="center" vertical="center" wrapText="1"/>
    </xf>
    <xf numFmtId="0" fontId="3" fillId="0" borderId="0" xfId="13" applyFont="1" applyAlignment="1">
      <alignment horizontal="center" vertical="center" wrapText="1"/>
    </xf>
    <xf numFmtId="164" fontId="3" fillId="0" borderId="0" xfId="0" applyFont="1" applyAlignment="1">
      <alignment horizontal="center" vertical="center" wrapText="1"/>
    </xf>
    <xf numFmtId="0" fontId="9" fillId="0" borderId="0" xfId="13" applyFont="1" applyAlignment="1">
      <alignment horizontal="center" vertical="center" wrapText="1"/>
    </xf>
    <xf numFmtId="0" fontId="3" fillId="0" borderId="0" xfId="13" applyFont="1" applyAlignment="1">
      <alignment horizontal="center"/>
    </xf>
    <xf numFmtId="49" fontId="3" fillId="0" borderId="0" xfId="0" applyNumberFormat="1" applyFont="1" applyAlignment="1">
      <alignment horizontal="center"/>
    </xf>
    <xf numFmtId="0" fontId="9" fillId="0" borderId="0" xfId="13" applyFont="1" applyAlignment="1">
      <alignment horizontal="center"/>
    </xf>
    <xf numFmtId="0" fontId="3" fillId="0" borderId="0" xfId="13" applyFont="1" applyAlignment="1">
      <alignment horizontal="center" wrapText="1"/>
    </xf>
    <xf numFmtId="164" fontId="3" fillId="0" borderId="0" xfId="0" applyFont="1" applyAlignment="1">
      <alignment horizontal="center" wrapText="1"/>
    </xf>
    <xf numFmtId="164" fontId="11" fillId="0" borderId="0" xfId="0" applyFont="1" applyAlignment="1">
      <alignment horizontal="center"/>
    </xf>
    <xf numFmtId="0" fontId="3" fillId="0" borderId="0" xfId="13" applyFont="1" applyAlignment="1">
      <alignment wrapText="1"/>
    </xf>
    <xf numFmtId="0" fontId="3" fillId="0" borderId="0" xfId="13" applyFont="1"/>
    <xf numFmtId="165" fontId="3" fillId="2" borderId="0" xfId="1" applyNumberFormat="1" applyFont="1" applyFill="1" applyAlignment="1">
      <alignment horizontal="right"/>
    </xf>
    <xf numFmtId="43" fontId="29" fillId="0" borderId="0" xfId="1" applyFont="1"/>
    <xf numFmtId="0" fontId="3" fillId="0" borderId="6" xfId="13" applyFont="1" applyBorder="1"/>
    <xf numFmtId="181" fontId="3" fillId="0" borderId="6" xfId="2" applyNumberFormat="1" applyFont="1" applyBorder="1"/>
    <xf numFmtId="181" fontId="9" fillId="0" borderId="0" xfId="2" applyNumberFormat="1" applyFont="1"/>
    <xf numFmtId="165" fontId="3" fillId="0" borderId="0" xfId="13" applyNumberFormat="1" applyFont="1"/>
    <xf numFmtId="0" fontId="9" fillId="0" borderId="0" xfId="13" applyFont="1"/>
    <xf numFmtId="43" fontId="3" fillId="2" borderId="0" xfId="1" applyFont="1" applyFill="1"/>
    <xf numFmtId="164" fontId="10" fillId="0" borderId="0" xfId="0" applyFont="1"/>
    <xf numFmtId="164" fontId="10" fillId="0" borderId="0" xfId="5" applyFont="1" applyAlignment="1">
      <alignment horizontal="center" wrapText="1"/>
    </xf>
    <xf numFmtId="0" fontId="10" fillId="0" borderId="0" xfId="5" applyNumberFormat="1" applyFont="1" applyAlignment="1" applyProtection="1">
      <alignment horizontal="center" wrapText="1"/>
      <protection locked="0"/>
    </xf>
    <xf numFmtId="0" fontId="10" fillId="0" borderId="0" xfId="4" applyFont="1" applyAlignment="1">
      <alignment horizontal="center" vertical="center" wrapText="1"/>
    </xf>
    <xf numFmtId="0" fontId="10" fillId="0" borderId="0" xfId="5" applyNumberFormat="1" applyFont="1" applyAlignment="1">
      <alignment horizontal="center" wrapText="1"/>
    </xf>
    <xf numFmtId="1" fontId="3" fillId="0" borderId="0" xfId="0" applyNumberFormat="1" applyFont="1" applyAlignment="1">
      <alignment horizontal="center"/>
    </xf>
    <xf numFmtId="3" fontId="17" fillId="0" borderId="0" xfId="0" applyNumberFormat="1" applyFont="1"/>
    <xf numFmtId="3" fontId="17" fillId="0" borderId="1" xfId="0" applyNumberFormat="1" applyFont="1" applyBorder="1" applyAlignment="1">
      <alignment horizontal="center"/>
    </xf>
    <xf numFmtId="43" fontId="3" fillId="0" borderId="0" xfId="13" applyNumberFormat="1" applyFont="1"/>
    <xf numFmtId="165" fontId="17" fillId="2" borderId="0" xfId="1" applyNumberFormat="1" applyFont="1" applyFill="1"/>
    <xf numFmtId="0" fontId="17" fillId="0" borderId="0" xfId="0" applyNumberFormat="1" applyFont="1" applyProtection="1">
      <protection locked="0"/>
    </xf>
    <xf numFmtId="165" fontId="17" fillId="0" borderId="0" xfId="1" applyNumberFormat="1" applyFont="1" applyProtection="1">
      <protection locked="0"/>
    </xf>
    <xf numFmtId="165" fontId="17" fillId="2" borderId="1" xfId="1" applyNumberFormat="1" applyFont="1" applyFill="1" applyBorder="1"/>
    <xf numFmtId="3" fontId="17" fillId="0" borderId="0" xfId="0" applyNumberFormat="1" applyFont="1" applyAlignment="1">
      <alignment horizontal="center"/>
    </xf>
    <xf numFmtId="10" fontId="3" fillId="3" borderId="0" xfId="1" applyNumberFormat="1" applyFont="1" applyFill="1"/>
    <xf numFmtId="165" fontId="3" fillId="3" borderId="1" xfId="1" applyNumberFormat="1" applyFont="1" applyFill="1" applyBorder="1" applyAlignment="1">
      <alignment horizontal="center"/>
    </xf>
    <xf numFmtId="164" fontId="3" fillId="4" borderId="0" xfId="0" applyFont="1" applyFill="1"/>
    <xf numFmtId="0" fontId="18" fillId="0" borderId="0" xfId="20" applyFont="1" applyAlignment="1">
      <alignment horizontal="center"/>
    </xf>
    <xf numFmtId="183" fontId="18" fillId="0" borderId="0" xfId="3" applyNumberFormat="1" applyFont="1" applyAlignment="1">
      <alignment horizontal="center"/>
    </xf>
    <xf numFmtId="1" fontId="18" fillId="0" borderId="0" xfId="6" applyNumberFormat="1" applyFont="1" applyAlignment="1">
      <alignment horizontal="left"/>
    </xf>
    <xf numFmtId="164" fontId="31" fillId="0" borderId="0" xfId="6" quotePrefix="1" applyFont="1" applyAlignment="1">
      <alignment horizontal="left"/>
    </xf>
    <xf numFmtId="164" fontId="32" fillId="0" borderId="0" xfId="6" applyFont="1"/>
    <xf numFmtId="0" fontId="33" fillId="0" borderId="0" xfId="20" applyFont="1" applyAlignment="1">
      <alignment horizontal="center" wrapText="1"/>
    </xf>
    <xf numFmtId="164" fontId="18" fillId="0" borderId="0" xfId="6" applyFont="1"/>
    <xf numFmtId="164" fontId="18" fillId="0" borderId="0" xfId="6" quotePrefix="1" applyFont="1" applyAlignment="1">
      <alignment horizontal="left"/>
    </xf>
    <xf numFmtId="43" fontId="18" fillId="0" borderId="0" xfId="1" applyFont="1"/>
    <xf numFmtId="10" fontId="34" fillId="2" borderId="0" xfId="20" applyNumberFormat="1" applyFont="1" applyFill="1"/>
    <xf numFmtId="10" fontId="33" fillId="0" borderId="0" xfId="3" applyNumberFormat="1" applyFont="1"/>
    <xf numFmtId="0" fontId="33" fillId="0" borderId="0" xfId="20" applyFont="1" applyAlignment="1">
      <alignment horizontal="center"/>
    </xf>
    <xf numFmtId="0" fontId="33" fillId="0" borderId="0" xfId="20" applyFont="1"/>
    <xf numFmtId="10" fontId="34" fillId="0" borderId="0" xfId="20" applyNumberFormat="1" applyFont="1"/>
    <xf numFmtId="10" fontId="33" fillId="0" borderId="0" xfId="20" applyNumberFormat="1" applyFont="1"/>
    <xf numFmtId="10" fontId="33" fillId="0" borderId="13" xfId="3" applyNumberFormat="1" applyFont="1" applyBorder="1"/>
    <xf numFmtId="10" fontId="18" fillId="0" borderId="0" xfId="3" applyNumberFormat="1" applyFont="1"/>
    <xf numFmtId="0" fontId="35" fillId="0" borderId="0" xfId="20" applyFont="1"/>
    <xf numFmtId="164" fontId="18" fillId="0" borderId="0" xfId="6" applyFont="1" applyAlignment="1">
      <alignment horizontal="left"/>
    </xf>
    <xf numFmtId="10" fontId="18" fillId="0" borderId="13" xfId="3" applyNumberFormat="1" applyFont="1" applyBorder="1"/>
    <xf numFmtId="1" fontId="3" fillId="3" borderId="0" xfId="1" applyNumberFormat="1" applyFont="1" applyFill="1"/>
    <xf numFmtId="181" fontId="3" fillId="0" borderId="0" xfId="2" applyNumberFormat="1" applyFont="1"/>
    <xf numFmtId="164" fontId="3" fillId="0" borderId="4" xfId="0" applyFont="1" applyBorder="1" applyAlignment="1">
      <alignment horizontal="center"/>
    </xf>
    <xf numFmtId="164" fontId="3" fillId="0" borderId="5" xfId="0" applyFont="1" applyBorder="1" applyAlignment="1">
      <alignment horizontal="center"/>
    </xf>
    <xf numFmtId="164" fontId="3" fillId="0" borderId="18" xfId="0" applyFont="1" applyBorder="1" applyAlignment="1">
      <alignment horizontal="center"/>
    </xf>
    <xf numFmtId="164" fontId="3" fillId="0" borderId="15" xfId="0" applyFont="1" applyBorder="1" applyAlignment="1">
      <alignment horizontal="center"/>
    </xf>
    <xf numFmtId="164" fontId="3" fillId="0" borderId="17" xfId="0" applyFont="1" applyBorder="1"/>
    <xf numFmtId="164" fontId="3" fillId="0" borderId="17" xfId="0" applyFont="1" applyBorder="1" applyAlignment="1">
      <alignment horizontal="center"/>
    </xf>
    <xf numFmtId="164" fontId="3" fillId="0" borderId="12" xfId="0" applyFont="1" applyBorder="1" applyAlignment="1">
      <alignment horizontal="center"/>
    </xf>
    <xf numFmtId="164" fontId="3" fillId="0" borderId="13" xfId="0" applyFont="1" applyBorder="1" applyAlignment="1">
      <alignment horizontal="center"/>
    </xf>
    <xf numFmtId="164" fontId="19" fillId="0" borderId="13" xfId="6" applyFont="1" applyBorder="1" applyAlignment="1">
      <alignment horizontal="center"/>
    </xf>
    <xf numFmtId="164" fontId="3" fillId="0" borderId="16" xfId="0" applyFont="1" applyBorder="1" applyAlignment="1">
      <alignment horizontal="center"/>
    </xf>
    <xf numFmtId="43" fontId="3" fillId="3" borderId="0" xfId="1" applyFont="1" applyFill="1"/>
    <xf numFmtId="43" fontId="3" fillId="3" borderId="0" xfId="1" applyFont="1" applyFill="1" applyAlignment="1">
      <alignment horizontal="center"/>
    </xf>
    <xf numFmtId="164" fontId="3" fillId="3" borderId="0" xfId="0" applyFont="1" applyFill="1"/>
    <xf numFmtId="164" fontId="3" fillId="3" borderId="17" xfId="0" applyFont="1" applyFill="1" applyBorder="1"/>
    <xf numFmtId="164" fontId="3" fillId="0" borderId="8" xfId="0" applyFont="1" applyBorder="1"/>
    <xf numFmtId="43" fontId="3" fillId="0" borderId="8" xfId="1" applyFont="1" applyBorder="1"/>
    <xf numFmtId="184" fontId="3" fillId="0" borderId="9" xfId="1" applyNumberFormat="1" applyFont="1" applyBorder="1"/>
    <xf numFmtId="10" fontId="3" fillId="0" borderId="13" xfId="3" applyNumberFormat="1" applyFont="1" applyBorder="1"/>
    <xf numFmtId="181" fontId="3" fillId="0" borderId="13" xfId="2" applyNumberFormat="1" applyFont="1" applyBorder="1"/>
    <xf numFmtId="43" fontId="3" fillId="0" borderId="12" xfId="1" applyFont="1" applyBorder="1"/>
    <xf numFmtId="164" fontId="0" fillId="0" borderId="0" xfId="0" applyAlignment="1">
      <alignment horizontal="center"/>
    </xf>
    <xf numFmtId="164" fontId="0" fillId="0" borderId="0" xfId="0" applyAlignment="1">
      <alignment horizontal="right"/>
    </xf>
    <xf numFmtId="164" fontId="18" fillId="0" borderId="0" xfId="6" applyFont="1" applyAlignment="1">
      <alignment horizontal="center"/>
    </xf>
    <xf numFmtId="164" fontId="36" fillId="0" borderId="0" xfId="0" applyFont="1"/>
    <xf numFmtId="0" fontId="2" fillId="0" borderId="19" xfId="15" applyBorder="1" applyAlignment="1">
      <alignment horizontal="center"/>
    </xf>
    <xf numFmtId="0" fontId="37" fillId="0" borderId="0" xfId="15" applyFont="1" applyAlignment="1">
      <alignment horizontal="left"/>
    </xf>
    <xf numFmtId="0" fontId="2" fillId="0" borderId="0" xfId="15"/>
    <xf numFmtId="0" fontId="2" fillId="0" borderId="0" xfId="15" applyAlignment="1">
      <alignment horizontal="center"/>
    </xf>
    <xf numFmtId="49" fontId="2" fillId="0" borderId="0" xfId="15" applyNumberFormat="1" applyAlignment="1">
      <alignment horizontal="center"/>
    </xf>
    <xf numFmtId="0" fontId="39" fillId="0" borderId="0" xfId="21" applyFont="1" applyAlignment="1">
      <alignment horizontal="center"/>
    </xf>
    <xf numFmtId="3" fontId="3" fillId="0" borderId="0" xfId="15" applyNumberFormat="1" applyFont="1"/>
    <xf numFmtId="164" fontId="10" fillId="0" borderId="13" xfId="6" applyFont="1" applyBorder="1" applyAlignment="1">
      <alignment horizontal="center" wrapText="1"/>
    </xf>
    <xf numFmtId="164" fontId="10" fillId="0" borderId="0" xfId="6" applyFont="1" applyAlignment="1">
      <alignment horizontal="center" wrapText="1"/>
    </xf>
    <xf numFmtId="0" fontId="3" fillId="0" borderId="0" xfId="22" applyFont="1"/>
    <xf numFmtId="164" fontId="3" fillId="0" borderId="0" xfId="1" applyNumberFormat="1" applyFont="1"/>
    <xf numFmtId="43" fontId="3" fillId="2" borderId="0" xfId="1" applyFont="1" applyFill="1" applyAlignment="1">
      <alignment horizontal="right"/>
    </xf>
    <xf numFmtId="0" fontId="3" fillId="0" borderId="0" xfId="22" applyFont="1" applyAlignment="1">
      <alignment wrapText="1"/>
    </xf>
    <xf numFmtId="164" fontId="3" fillId="2" borderId="0" xfId="0" applyFont="1" applyFill="1"/>
    <xf numFmtId="164" fontId="2" fillId="0" borderId="0" xfId="6" applyFont="1"/>
    <xf numFmtId="164" fontId="2" fillId="0" borderId="1" xfId="6" applyFont="1" applyBorder="1"/>
    <xf numFmtId="164" fontId="2" fillId="0" borderId="0" xfId="6" applyFont="1" applyAlignment="1">
      <alignment horizontal="center" vertical="top"/>
    </xf>
    <xf numFmtId="164" fontId="2" fillId="0" borderId="0" xfId="6" applyFont="1" applyAlignment="1">
      <alignment horizontal="left"/>
    </xf>
    <xf numFmtId="164" fontId="2" fillId="0" borderId="0" xfId="6" applyFont="1" applyAlignment="1">
      <alignment vertical="top"/>
    </xf>
    <xf numFmtId="164" fontId="3" fillId="0" borderId="0" xfId="6" applyFont="1" applyAlignment="1">
      <alignment vertical="top"/>
    </xf>
    <xf numFmtId="0" fontId="2" fillId="0" borderId="0" xfId="0" applyNumberFormat="1" applyFont="1" applyAlignment="1">
      <alignment horizontal="center" vertical="center"/>
    </xf>
    <xf numFmtId="164" fontId="2" fillId="0" borderId="0" xfId="0" applyFont="1"/>
    <xf numFmtId="0" fontId="3" fillId="0" borderId="0" xfId="6" applyNumberFormat="1" applyFont="1" applyAlignment="1" applyProtection="1">
      <alignment horizontal="right"/>
      <protection locked="0"/>
    </xf>
    <xf numFmtId="165" fontId="40" fillId="0" borderId="0" xfId="1" applyNumberFormat="1" applyFont="1" applyAlignment="1">
      <alignment horizontal="center"/>
    </xf>
    <xf numFmtId="164" fontId="40" fillId="0" borderId="0" xfId="0" applyFont="1"/>
    <xf numFmtId="43" fontId="42" fillId="0" borderId="0" xfId="1" applyFont="1"/>
    <xf numFmtId="0" fontId="40" fillId="0" borderId="0" xfId="1" applyNumberFormat="1" applyFont="1" applyAlignment="1">
      <alignment horizontal="center"/>
    </xf>
    <xf numFmtId="49" fontId="40" fillId="0" borderId="0" xfId="1" applyNumberFormat="1" applyFont="1"/>
    <xf numFmtId="39" fontId="40" fillId="0" borderId="0" xfId="1" applyNumberFormat="1" applyFont="1" applyAlignment="1">
      <alignment horizontal="right"/>
    </xf>
    <xf numFmtId="49" fontId="40" fillId="0" borderId="0" xfId="0" applyNumberFormat="1" applyFont="1"/>
    <xf numFmtId="43" fontId="40" fillId="0" borderId="0" xfId="1" applyFont="1"/>
    <xf numFmtId="2" fontId="40" fillId="0" borderId="0" xfId="0" applyNumberFormat="1" applyFont="1"/>
    <xf numFmtId="164" fontId="40" fillId="0" borderId="0" xfId="0" applyFont="1" applyAlignment="1">
      <alignment vertical="center" wrapText="1"/>
    </xf>
    <xf numFmtId="164" fontId="44" fillId="4" borderId="0" xfId="0" applyFont="1" applyFill="1"/>
    <xf numFmtId="164" fontId="46" fillId="4" borderId="0" xfId="0" applyFont="1" applyFill="1"/>
    <xf numFmtId="164" fontId="2" fillId="4" borderId="0" xfId="0" applyFont="1" applyFill="1"/>
    <xf numFmtId="2" fontId="44" fillId="0" borderId="0" xfId="0" applyNumberFormat="1" applyFont="1" applyAlignment="1">
      <alignment horizontal="center"/>
    </xf>
    <xf numFmtId="10" fontId="44" fillId="0" borderId="0" xfId="3" applyNumberFormat="1" applyFont="1" applyAlignment="1">
      <alignment horizontal="center"/>
    </xf>
    <xf numFmtId="164" fontId="47" fillId="0" borderId="0" xfId="0" applyFont="1"/>
    <xf numFmtId="164" fontId="44" fillId="0" borderId="0" xfId="0" applyFont="1"/>
    <xf numFmtId="10" fontId="40" fillId="0" borderId="0" xfId="3" applyNumberFormat="1" applyFont="1" applyAlignment="1">
      <alignment horizontal="center"/>
    </xf>
    <xf numFmtId="2" fontId="3" fillId="0" borderId="0" xfId="0" applyNumberFormat="1" applyFont="1" applyAlignment="1">
      <alignment horizontal="center"/>
    </xf>
    <xf numFmtId="164" fontId="40" fillId="0" borderId="0" xfId="0" applyFont="1" applyAlignment="1">
      <alignment horizontal="left"/>
    </xf>
    <xf numFmtId="164" fontId="3" fillId="0" borderId="0" xfId="0" applyFont="1" applyAlignment="1">
      <alignment horizontal="left"/>
    </xf>
    <xf numFmtId="10" fontId="3" fillId="0" borderId="0" xfId="3" applyNumberFormat="1" applyFont="1" applyAlignment="1">
      <alignment horizontal="center"/>
    </xf>
    <xf numFmtId="2" fontId="3" fillId="0" borderId="0" xfId="0" applyNumberFormat="1" applyFont="1"/>
    <xf numFmtId="164" fontId="3" fillId="0" borderId="0" xfId="0" applyFont="1" applyAlignment="1">
      <alignment horizontal="left" wrapText="1"/>
    </xf>
    <xf numFmtId="0" fontId="3" fillId="0" borderId="0" xfId="5" applyNumberFormat="1" applyFont="1" applyAlignment="1" applyProtection="1">
      <alignment vertical="top" wrapText="1"/>
      <protection locked="0"/>
    </xf>
    <xf numFmtId="0" fontId="3" fillId="0" borderId="0" xfId="5" quotePrefix="1" applyNumberFormat="1" applyFont="1" applyAlignment="1">
      <alignment vertical="top" wrapText="1"/>
    </xf>
    <xf numFmtId="0" fontId="3" fillId="0" borderId="0" xfId="5" applyNumberFormat="1" applyFont="1" applyAlignment="1">
      <alignment vertical="top" wrapText="1"/>
    </xf>
    <xf numFmtId="0" fontId="3" fillId="0" borderId="0" xfId="4" quotePrefix="1" applyFont="1" applyAlignment="1">
      <alignment vertical="top" wrapText="1"/>
    </xf>
    <xf numFmtId="0" fontId="3" fillId="0" borderId="0" xfId="4" applyFont="1" applyAlignment="1">
      <alignment vertical="top" wrapText="1"/>
    </xf>
    <xf numFmtId="0" fontId="3" fillId="4" borderId="0" xfId="0" applyNumberFormat="1" applyFont="1" applyFill="1" applyAlignment="1">
      <alignment vertical="top" wrapText="1"/>
    </xf>
    <xf numFmtId="0" fontId="3" fillId="0" borderId="0" xfId="0" applyNumberFormat="1" applyFont="1" applyAlignment="1">
      <alignment horizontal="left" vertical="top" wrapText="1"/>
    </xf>
    <xf numFmtId="0" fontId="3" fillId="0" borderId="0" xfId="7" applyFont="1" applyAlignment="1">
      <alignment vertical="top" wrapText="1"/>
    </xf>
    <xf numFmtId="164" fontId="3" fillId="0" borderId="0" xfId="5" applyFont="1" applyAlignment="1">
      <alignment horizontal="center"/>
    </xf>
    <xf numFmtId="49" fontId="3" fillId="0" borderId="0" xfId="5" applyNumberFormat="1" applyFont="1" applyAlignment="1" applyProtection="1">
      <alignment horizontal="center"/>
      <protection locked="0"/>
    </xf>
    <xf numFmtId="0" fontId="12" fillId="0" borderId="0" xfId="5" applyNumberFormat="1" applyFont="1" applyAlignment="1" applyProtection="1">
      <alignment vertical="top" wrapText="1"/>
      <protection locked="0"/>
    </xf>
    <xf numFmtId="164" fontId="3" fillId="0" borderId="0" xfId="6" applyFont="1" applyAlignment="1">
      <alignment horizontal="left"/>
    </xf>
    <xf numFmtId="164" fontId="17" fillId="0" borderId="0" xfId="0" applyFont="1" applyAlignment="1">
      <alignment horizontal="left" vertical="center" wrapText="1"/>
    </xf>
    <xf numFmtId="164" fontId="3" fillId="0" borderId="0" xfId="6" applyFont="1" applyAlignment="1">
      <alignment horizontal="left" vertical="top" wrapText="1"/>
    </xf>
    <xf numFmtId="164" fontId="3" fillId="0" borderId="0" xfId="6" applyFont="1" applyAlignment="1">
      <alignment horizontal="left" wrapText="1"/>
    </xf>
    <xf numFmtId="164" fontId="3" fillId="0" borderId="10" xfId="0" applyFont="1" applyBorder="1" applyAlignment="1">
      <alignment horizontal="center"/>
    </xf>
    <xf numFmtId="164" fontId="3" fillId="0" borderId="15" xfId="0" applyFont="1" applyBorder="1" applyAlignment="1">
      <alignment horizontal="center"/>
    </xf>
    <xf numFmtId="164" fontId="3" fillId="0" borderId="12" xfId="0" applyFont="1" applyBorder="1" applyAlignment="1">
      <alignment horizontal="center"/>
    </xf>
    <xf numFmtId="164" fontId="3" fillId="0" borderId="16" xfId="0" applyFont="1" applyBorder="1" applyAlignment="1">
      <alignment horizontal="center"/>
    </xf>
    <xf numFmtId="164" fontId="3" fillId="0" borderId="0" xfId="0" applyFont="1" applyAlignment="1">
      <alignment horizontal="left" vertical="top" wrapText="1"/>
    </xf>
    <xf numFmtId="0" fontId="3" fillId="0" borderId="0" xfId="4" applyFont="1" applyAlignment="1">
      <alignment horizontal="left" vertical="top" wrapText="1"/>
    </xf>
    <xf numFmtId="0" fontId="9" fillId="0" borderId="0" xfId="4" applyFont="1" applyAlignment="1">
      <alignment horizontal="left" vertical="top" wrapText="1"/>
    </xf>
    <xf numFmtId="0" fontId="10" fillId="0" borderId="0" xfId="12" applyFont="1" applyAlignment="1">
      <alignment horizontal="center"/>
    </xf>
    <xf numFmtId="164" fontId="10" fillId="0" borderId="0" xfId="0" applyFont="1" applyAlignment="1">
      <alignment horizontal="center"/>
    </xf>
    <xf numFmtId="164" fontId="3" fillId="0" borderId="0" xfId="0" applyFont="1" applyAlignment="1">
      <alignment horizontal="left" vertical="center" wrapText="1"/>
    </xf>
    <xf numFmtId="0" fontId="24" fillId="0" borderId="10" xfId="16" applyFont="1" applyBorder="1" applyAlignment="1">
      <alignment horizontal="center" vertical="center"/>
    </xf>
    <xf numFmtId="0" fontId="24" fillId="0" borderId="6" xfId="16" applyFont="1" applyBorder="1" applyAlignment="1">
      <alignment horizontal="center" vertical="center"/>
    </xf>
    <xf numFmtId="0" fontId="24" fillId="0" borderId="15" xfId="16" applyFont="1" applyBorder="1" applyAlignment="1">
      <alignment horizontal="center" vertical="center"/>
    </xf>
    <xf numFmtId="0" fontId="24" fillId="0" borderId="4" xfId="16" applyFont="1" applyBorder="1" applyAlignment="1">
      <alignment horizontal="center" vertical="center"/>
    </xf>
    <xf numFmtId="0" fontId="24" fillId="0" borderId="5" xfId="16" applyFont="1" applyBorder="1" applyAlignment="1">
      <alignment horizontal="center" vertical="center"/>
    </xf>
    <xf numFmtId="0" fontId="24" fillId="0" borderId="18" xfId="16" applyFont="1" applyBorder="1" applyAlignment="1">
      <alignment horizontal="center" vertical="center"/>
    </xf>
    <xf numFmtId="0" fontId="7" fillId="0" borderId="0" xfId="16" applyFont="1" applyAlignment="1">
      <alignment horizontal="center"/>
    </xf>
    <xf numFmtId="0" fontId="7" fillId="3" borderId="0" xfId="16" applyFont="1" applyFill="1" applyAlignment="1">
      <alignment horizontal="center"/>
    </xf>
    <xf numFmtId="164" fontId="3" fillId="0" borderId="0" xfId="0" applyFont="1" applyAlignment="1">
      <alignment horizontal="center"/>
    </xf>
    <xf numFmtId="164" fontId="3" fillId="0" borderId="8" xfId="0" applyFont="1" applyBorder="1" applyAlignment="1">
      <alignment horizontal="center"/>
    </xf>
    <xf numFmtId="164" fontId="3" fillId="0" borderId="17" xfId="0" applyFont="1" applyBorder="1" applyAlignment="1">
      <alignment horizontal="center"/>
    </xf>
    <xf numFmtId="0" fontId="3" fillId="0" borderId="0" xfId="6" applyNumberFormat="1" applyFont="1" applyAlignment="1" applyProtection="1">
      <alignment horizontal="center"/>
      <protection locked="0"/>
    </xf>
    <xf numFmtId="0" fontId="3" fillId="0" borderId="0" xfId="0" applyNumberFormat="1" applyFont="1" applyAlignment="1">
      <alignment horizontal="center"/>
    </xf>
    <xf numFmtId="10" fontId="3" fillId="0" borderId="0" xfId="3" applyNumberFormat="1" applyFont="1" applyAlignment="1">
      <alignment horizontal="center"/>
    </xf>
  </cellXfs>
  <cellStyles count="23">
    <cellStyle name="Comma" xfId="1" builtinId="3"/>
    <cellStyle name="Comma 12" xfId="17" xr:uid="{24F22EBA-916F-43C2-A7F3-BEF43A77E451}"/>
    <cellStyle name="Comma 5 2" xfId="18" xr:uid="{047D3816-1CC3-41AA-966B-85867E1B6A2E}"/>
    <cellStyle name="Comma 8" xfId="19" xr:uid="{F20112DF-C65C-48EA-8638-0C9140547249}"/>
    <cellStyle name="Currency" xfId="2" builtinId="4"/>
    <cellStyle name="Normal" xfId="0" builtinId="0"/>
    <cellStyle name="Normal 12" xfId="16" xr:uid="{CD5C3B73-FAE6-489F-87FE-0DC05527AF0E}"/>
    <cellStyle name="Normal 13" xfId="8" xr:uid="{3ACAF9C3-7DB9-4902-8E51-6780005DCD2A}"/>
    <cellStyle name="Normal 2 2" xfId="21" xr:uid="{2C390809-3BB5-4E8F-95A5-4AF0B1CC7822}"/>
    <cellStyle name="Normal 3 2" xfId="15" xr:uid="{DB14758B-A895-4F52-9528-14830481DA6C}"/>
    <cellStyle name="Normal 3_Attach O, GG, Support -New Method 2-14-11" xfId="4" xr:uid="{74FD1083-E09D-4C8E-B2FD-F5C6DB57677F}"/>
    <cellStyle name="Normal 5" xfId="13" xr:uid="{0F43ADCB-A38A-4C53-A165-C898E704AF27}"/>
    <cellStyle name="Normal 7" xfId="6" xr:uid="{32A8CB26-05F3-4650-9736-2E742352436F}"/>
    <cellStyle name="Normal 9" xfId="22" xr:uid="{A6112B26-DB8C-41C1-84B3-3494B91C0282}"/>
    <cellStyle name="Normal_21 Exh B" xfId="7" xr:uid="{7B784327-6919-4F9A-A0F7-D9435AD0AF6C}"/>
    <cellStyle name="Normal_ATC Projected 2008 Monthly Plant Balances for Attachment O 2 (2)" xfId="14" xr:uid="{51406D3B-E6EA-4992-B27A-5FABB0032112}"/>
    <cellStyle name="Normal_Attachment GG Example 8 26 09" xfId="10" xr:uid="{5DA36FA6-A753-4182-B73A-B422BDBEC448}"/>
    <cellStyle name="Normal_Attachment GG Template ER11-28 11-18-10" xfId="9" xr:uid="{8058AFE9-9BBC-4FC4-A758-8EF975709F1D}"/>
    <cellStyle name="Normal_Attachment O Support - 2004 True-up" xfId="11" xr:uid="{ECC2877E-07CC-4A75-A339-8B231B750D1F}"/>
    <cellStyle name="Normal_Attachment Os for 2002 True-up" xfId="5" xr:uid="{FD4754EB-87C8-4F32-8DBA-CF8B0D03D83A}"/>
    <cellStyle name="Normal_interest calc Book1" xfId="20" xr:uid="{400F185D-F298-41E5-8C4F-4E373B41CF35}"/>
    <cellStyle name="Normal_Schedule O Info for Mike" xfId="12" xr:uid="{5ED4CFDA-29B0-4DAB-A23D-84416A9F3A0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isf05\vol7\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misf05\vol7\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 val="AC 182.34"/>
      <sheetName val="AC 190"/>
      <sheetName val="AC 410xx-411xx"/>
      <sheetName val="AC 254"/>
      <sheetName val="AC 255"/>
      <sheetName val="Payroll Alloc."/>
      <sheetName val="AC 165, 236"/>
      <sheetName val="236a"/>
      <sheetName val="AC 236 F.Note"/>
      <sheetName val="AC 281"/>
      <sheetName val="AC 282"/>
      <sheetName val="AC 283"/>
      <sheetName val="AC 283.xx"/>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OTRA Discounts"/>
      <sheetName val="PG"/>
      <sheetName val="MC"/>
      <sheetName val="DC"/>
      <sheetName val="ALL"/>
      <sheetName val="Percent Read YTD "/>
      <sheetName val="Performance"/>
      <sheetName val="YTD ALL"/>
      <sheetName val="PR G"/>
      <sheetName val="MT C"/>
      <sheetName val="D.C."/>
      <sheetName val="MRD"/>
      <sheetName val="July-Aug"/>
      <sheetName val="YTD Totals"/>
      <sheetName val="Cover"/>
      <sheetName val="CorpTax"/>
      <sheetName val="Index"/>
      <sheetName val="MTHLY BAL."/>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 val="JFJ-1 Deferral Recovery Rate"/>
      <sheetName val="JFJ-3 MTC Rate"/>
      <sheetName val="JFJ-2 NNC Rates"/>
      <sheetName val="JFJ-4 CEP Rate"/>
      <sheetName val="JFJ-5 USF Rate"/>
      <sheetName val="JFJ-6 CRA Rate"/>
      <sheetName val="JFJ-7 2003 Rate Impact Summary"/>
      <sheetName val="Deferral Forecast"/>
      <sheetName val="DSM August 1999 - July 2003"/>
      <sheetName val="Deferral Balances"/>
      <sheetName val="Interest Calc"/>
      <sheetName val="Income Statement"/>
      <sheetName val="NNC Rates 2002-2003"/>
      <sheetName val="2002 Reg Asset Rate"/>
      <sheetName val="2002 - 2007 BGS FP Costs"/>
      <sheetName val="Keystone Swap Amort Sched"/>
      <sheetName val="PJM Capacity Obligation"/>
      <sheetName val="ACE Unit 11-09-01 Update"/>
      <sheetName val="5 YearUpdated4-24-02"/>
      <sheetName val="2002 Budget Revenues"/>
      <sheetName val="October Tariff kwh"/>
      <sheetName val="OctoberTariff(Old)"/>
      <sheetName val="#REF"/>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CUT-INS"/>
      <sheetName val="AFUDC_CCRF"/>
      <sheetName val="CUT-IN INT."/>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trial balance (2)"/>
      <sheetName val="Summary Balance"/>
      <sheetName val="OPEB"/>
      <sheetName val="Tax Basis BS"/>
      <sheetName val="Removal Cost pre 92"/>
      <sheetName val="2006 Depreciation"/>
      <sheetName val="Temporary Differences"/>
      <sheetName val="Deloitte Bal Sheet - Temp M-1s "/>
      <sheetName val="AFUDC"/>
      <sheetName val="criteria"/>
      <sheetName val="QTRLY MEAS."/>
      <sheetName val="QTRLY INT. COMP"/>
      <sheetName val="MTHLY MEAS."/>
      <sheetName val="MTHLY INT. COMP"/>
      <sheetName val="IR COMP"/>
      <sheetName val="Sheet2"/>
      <sheetName val="Sheet3"/>
      <sheetName val="CIV (cc 9999) Current"/>
      <sheetName val="CIV Subs Current"/>
      <sheetName val="CE Current-Continued Ops"/>
      <sheetName val="CIV (cc 9999)Def Contd Ops"/>
      <sheetName val="CIV Subs Def "/>
      <sheetName val="CE Def Contd Ops"/>
      <sheetName val="Trans Prop taxes to function"/>
      <sheetName val="Trans Assessable plant"/>
      <sheetName val="Labor ratio"/>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 val="Upload"/>
      <sheetName val="State List"/>
      <sheetName val="Addt'l 1040 Exclusion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Gen WOs"/>
      <sheetName val="2001 T&amp;D WOs"/>
      <sheetName val="WOs to Investigate"/>
      <sheetName val="WO Totals-Pivot"/>
      <sheetName val="FERC Reconciliation"/>
      <sheetName val="MP Adds 2001"/>
      <sheetName val="WO Info"/>
      <sheetName val="OTTAX"/>
      <sheetName val="PROPTAX"/>
      <sheetName val="SECTION 1"/>
      <sheetName val="SECTION 2"/>
      <sheetName val="WKSTD"/>
      <sheetName val="FITADJ"/>
      <sheetName val="TRANSFERRAL"/>
      <sheetName val="ROUNDING"/>
      <sheetName val="MACRO"/>
    </sheetNames>
    <sheetDataSet>
      <sheetData sheetId="0" refreshError="1"/>
      <sheetData sheetId="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 sheetId="2"/>
      <sheetData sheetId="3"/>
      <sheetData sheetId="4"/>
      <sheetData sheetId="5"/>
      <sheetData sheetId="6">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7"/>
      <sheetData sheetId="8"/>
      <sheetData sheetId="9"/>
      <sheetData sheetId="10"/>
      <sheetData sheetId="11"/>
      <sheetData sheetId="12"/>
      <sheetData sheetId="13"/>
      <sheetData sheetId="14"/>
      <sheetData sheetId="15">
        <row r="14">
          <cell r="H14">
            <v>6.2848648648648656E-2</v>
          </cell>
        </row>
      </sheetData>
      <sheetData sheetId="16"/>
      <sheetData sheetId="17" refreshError="1"/>
      <sheetData sheetId="18"/>
      <sheetData sheetId="19" refreshError="1">
        <row r="14">
          <cell r="H14">
            <v>6.2848648648648656E-2</v>
          </cell>
        </row>
        <row r="15">
          <cell r="H15">
            <v>0</v>
          </cell>
        </row>
        <row r="21">
          <cell r="E21">
            <v>37438</v>
          </cell>
        </row>
        <row r="22">
          <cell r="E22">
            <v>37681</v>
          </cell>
        </row>
        <row r="28">
          <cell r="E28">
            <v>38718</v>
          </cell>
        </row>
        <row r="29">
          <cell r="E29">
            <v>38718</v>
          </cell>
        </row>
        <row r="33">
          <cell r="E33" t="str">
            <v>Broker</v>
          </cell>
        </row>
        <row r="36">
          <cell r="E36">
            <v>1</v>
          </cell>
        </row>
        <row r="38">
          <cell r="E38">
            <v>0</v>
          </cell>
        </row>
        <row r="52">
          <cell r="E52">
            <v>1.6906170752324599</v>
          </cell>
        </row>
        <row r="58">
          <cell r="E58" t="str">
            <v>Yes</v>
          </cell>
        </row>
        <row r="59">
          <cell r="E59">
            <v>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row r="18">
          <cell r="F18">
            <v>3.2199999999999999E-2</v>
          </cell>
        </row>
      </sheetData>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refreshError="1">
        <row r="25">
          <cell r="B25">
            <v>787229</v>
          </cell>
          <cell r="C25">
            <v>712747</v>
          </cell>
          <cell r="D25">
            <v>43772</v>
          </cell>
          <cell r="E25">
            <v>30710</v>
          </cell>
        </row>
      </sheetData>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113" refreshError="1"/>
      <sheetData sheetId="114" refreshError="1"/>
      <sheetData sheetId="115"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116"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117">
        <row r="28">
          <cell r="B28" t="str">
            <v>STARTING</v>
          </cell>
        </row>
      </sheetData>
      <sheetData sheetId="118"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119">
        <row r="18">
          <cell r="F18">
            <v>3.2199999999999999E-2</v>
          </cell>
        </row>
      </sheetData>
      <sheetData sheetId="120"/>
      <sheetData sheetId="121"/>
      <sheetData sheetId="122"/>
      <sheetData sheetId="123"/>
      <sheetData sheetId="124"/>
      <sheetData sheetId="125"/>
      <sheetData sheetId="126"/>
      <sheetData sheetId="127"/>
      <sheetData sheetId="128"/>
      <sheetData sheetId="129"/>
      <sheetData sheetId="130"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131"/>
      <sheetData sheetId="132"/>
      <sheetData sheetId="133"/>
      <sheetData sheetId="134"/>
      <sheetData sheetId="135"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36" refreshError="1"/>
      <sheetData sheetId="137" refreshError="1"/>
      <sheetData sheetId="138">
        <row r="1">
          <cell r="B1">
            <v>39083</v>
          </cell>
        </row>
        <row r="3">
          <cell r="B3">
            <v>8.2500000000000004E-2</v>
          </cell>
        </row>
        <row r="4">
          <cell r="B4">
            <v>4.4999999999999998E-2</v>
          </cell>
        </row>
        <row r="17">
          <cell r="C17">
            <v>2002</v>
          </cell>
        </row>
      </sheetData>
      <sheetData sheetId="139"/>
      <sheetData sheetId="140"/>
      <sheetData sheetId="141"/>
      <sheetData sheetId="142"/>
      <sheetData sheetId="143"/>
      <sheetData sheetId="144"/>
      <sheetData sheetId="145"/>
      <sheetData sheetId="146"/>
      <sheetData sheetId="147"/>
      <sheetData sheetId="148"/>
      <sheetData sheetId="149"/>
      <sheetData sheetId="150" refreshError="1">
        <row r="23">
          <cell r="M23">
            <v>0</v>
          </cell>
        </row>
        <row r="24">
          <cell r="M24">
            <v>0.3</v>
          </cell>
        </row>
        <row r="25">
          <cell r="M25">
            <v>0.4</v>
          </cell>
        </row>
        <row r="26">
          <cell r="M26">
            <v>0.2</v>
          </cell>
        </row>
      </sheetData>
      <sheetData sheetId="151"/>
      <sheetData sheetId="152" refreshError="1"/>
      <sheetData sheetId="153" refreshError="1"/>
      <sheetData sheetId="154"/>
      <sheetData sheetId="155" refreshError="1"/>
      <sheetData sheetId="156"/>
      <sheetData sheetId="157" refreshError="1"/>
      <sheetData sheetId="158" refreshError="1"/>
      <sheetData sheetId="159" refreshError="1"/>
      <sheetData sheetId="160" refreshError="1"/>
      <sheetData sheetId="161"/>
      <sheetData sheetId="162">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refreshError="1"/>
      <sheetData sheetId="188"/>
      <sheetData sheetId="189" refreshError="1"/>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ow r="31">
          <cell r="E31">
            <v>21827621.52</v>
          </cell>
        </row>
      </sheetData>
      <sheetData sheetId="199" refreshError="1"/>
      <sheetData sheetId="200"/>
      <sheetData sheetId="201" refreshError="1"/>
      <sheetData sheetId="202"/>
      <sheetData sheetId="203" refreshError="1"/>
      <sheetData sheetId="204" refreshError="1"/>
      <sheetData sheetId="205" refreshError="1"/>
      <sheetData sheetId="206" refreshError="1"/>
      <sheetData sheetId="207" refreshError="1">
        <row r="2">
          <cell r="A2">
            <v>190</v>
          </cell>
        </row>
        <row r="3">
          <cell r="A3">
            <v>282</v>
          </cell>
        </row>
        <row r="4">
          <cell r="A4">
            <v>283</v>
          </cell>
        </row>
      </sheetData>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5">
          <cell r="A5" t="str">
            <v>ACCT</v>
          </cell>
        </row>
      </sheetData>
      <sheetData sheetId="271">
        <row r="5">
          <cell r="A5" t="str">
            <v>ACCT</v>
          </cell>
          <cell r="B5" t="str">
            <v>AREA_NO</v>
          </cell>
        </row>
        <row r="6">
          <cell r="A6" t="str">
            <v>?303*</v>
          </cell>
          <cell r="B6">
            <v>910</v>
          </cell>
        </row>
      </sheetData>
      <sheetData sheetId="272"/>
      <sheetData sheetId="273"/>
      <sheetData sheetId="274"/>
      <sheetData sheetId="275"/>
      <sheetData sheetId="276">
        <row r="39">
          <cell r="B39">
            <v>8.1723282774619987E-2</v>
          </cell>
          <cell r="C39">
            <v>8.1640793532299583E-2</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288"/>
      <sheetData sheetId="289"/>
      <sheetData sheetId="290"/>
      <sheetData sheetId="291"/>
      <sheetData sheetId="292"/>
      <sheetData sheetId="293"/>
      <sheetData sheetId="294">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refreshError="1"/>
      <sheetData sheetId="371"/>
      <sheetData sheetId="372"/>
      <sheetData sheetId="373"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refreshError="1"/>
      <sheetData sheetId="391" refreshError="1"/>
      <sheetData sheetId="392" refreshError="1"/>
      <sheetData sheetId="393" refreshError="1"/>
      <sheetData sheetId="394">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 sheetId="405"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sheetData sheetId="449"/>
      <sheetData sheetId="450"/>
      <sheetData sheetId="451"/>
      <sheetData sheetId="452"/>
      <sheetData sheetId="453"/>
      <sheetData sheetId="454"/>
      <sheetData sheetId="455"/>
      <sheetData sheetId="4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E146-DA7B-4C3F-BB03-9CDB98F7A83F}">
  <sheetPr>
    <pageSetUpPr fitToPage="1"/>
  </sheetPr>
  <dimension ref="A1:M274"/>
  <sheetViews>
    <sheetView tabSelected="1" zoomScale="85" zoomScaleNormal="85" zoomScaleSheetLayoutView="70" workbookViewId="0">
      <selection activeCell="K4" sqref="K4"/>
    </sheetView>
  </sheetViews>
  <sheetFormatPr defaultColWidth="8.77734375" defaultRowHeight="12.75"/>
  <cols>
    <col min="1" max="1" width="5.77734375" style="3" customWidth="1"/>
    <col min="2" max="2" width="56" style="3" customWidth="1"/>
    <col min="3" max="3" width="47.44140625" style="3" bestFit="1" customWidth="1"/>
    <col min="4" max="4" width="16.21875" style="3" customWidth="1"/>
    <col min="5" max="5" width="5.77734375" style="3" customWidth="1"/>
    <col min="6" max="6" width="7.21875" style="3" customWidth="1"/>
    <col min="7" max="7" width="16.77734375" style="3" customWidth="1"/>
    <col min="8" max="8" width="4.77734375" style="3" customWidth="1"/>
    <col min="9" max="9" width="16.21875" style="3" customWidth="1"/>
    <col min="10" max="10" width="2.77734375" style="3" customWidth="1"/>
    <col min="11" max="11" width="11.44140625" style="3" customWidth="1"/>
    <col min="12" max="12" width="14.44140625" style="3" bestFit="1" customWidth="1"/>
    <col min="13" max="13" width="14.77734375" style="3" bestFit="1" customWidth="1"/>
    <col min="14" max="16384" width="8.77734375" style="3"/>
  </cols>
  <sheetData>
    <row r="1" spans="1:11">
      <c r="A1" s="1"/>
      <c r="B1" s="1"/>
      <c r="C1" s="1"/>
      <c r="D1" s="1"/>
      <c r="E1" s="1"/>
      <c r="F1" s="1"/>
      <c r="G1" s="1"/>
      <c r="H1" s="1"/>
      <c r="I1" s="1"/>
      <c r="J1" s="1"/>
      <c r="K1" s="2" t="s">
        <v>0</v>
      </c>
    </row>
    <row r="2" spans="1:11">
      <c r="A2" s="1"/>
      <c r="B2" s="1" t="s">
        <v>1</v>
      </c>
      <c r="C2" s="1"/>
      <c r="D2" s="1"/>
      <c r="E2" s="1"/>
      <c r="F2" s="1"/>
      <c r="G2" s="1"/>
      <c r="H2" s="1"/>
      <c r="I2" s="1"/>
      <c r="J2" s="1"/>
      <c r="K2" s="1"/>
    </row>
    <row r="3" spans="1:11">
      <c r="A3" s="4"/>
      <c r="B3" s="5" t="s">
        <v>2</v>
      </c>
      <c r="C3" s="6" t="s">
        <v>3</v>
      </c>
      <c r="D3" s="7" t="s">
        <v>4</v>
      </c>
      <c r="E3" s="5"/>
      <c r="F3" s="5"/>
      <c r="G3" s="5"/>
      <c r="H3" s="5"/>
      <c r="I3" s="8"/>
      <c r="J3" s="9"/>
      <c r="K3" s="10" t="s">
        <v>847</v>
      </c>
    </row>
    <row r="4" spans="1:11">
      <c r="A4" s="4"/>
      <c r="C4" s="11"/>
      <c r="D4" s="12" t="s">
        <v>5</v>
      </c>
      <c r="E4" s="11"/>
      <c r="F4" s="11"/>
      <c r="G4" s="11"/>
      <c r="H4" s="5"/>
      <c r="I4" s="5"/>
      <c r="J4" s="13"/>
      <c r="K4" s="13"/>
    </row>
    <row r="5" spans="1:11" ht="15.75">
      <c r="A5" s="4"/>
      <c r="B5" s="14"/>
      <c r="C5" s="13"/>
      <c r="D5" s="15" t="s">
        <v>6</v>
      </c>
      <c r="E5" s="13"/>
      <c r="F5" s="13"/>
      <c r="G5" s="13"/>
      <c r="H5" s="13"/>
      <c r="I5" s="13"/>
      <c r="J5" s="13"/>
      <c r="K5" s="13"/>
    </row>
    <row r="6" spans="1:11" ht="13.5">
      <c r="B6" s="14"/>
      <c r="J6" s="16"/>
      <c r="K6" s="16"/>
    </row>
    <row r="7" spans="1:11">
      <c r="A7" s="7"/>
      <c r="C7" s="13"/>
      <c r="D7" s="17"/>
      <c r="E7" s="13"/>
      <c r="F7" s="13"/>
      <c r="G7" s="13"/>
      <c r="H7" s="13"/>
      <c r="I7" s="13"/>
      <c r="J7" s="13"/>
      <c r="K7" s="13"/>
    </row>
    <row r="8" spans="1:11">
      <c r="A8" s="7"/>
      <c r="B8" s="18" t="s">
        <v>7</v>
      </c>
      <c r="C8" s="18" t="s">
        <v>8</v>
      </c>
      <c r="D8" s="18" t="s">
        <v>9</v>
      </c>
      <c r="E8" s="11" t="s">
        <v>10</v>
      </c>
      <c r="F8" s="11"/>
      <c r="G8" s="17" t="s">
        <v>11</v>
      </c>
      <c r="H8" s="11"/>
      <c r="I8" s="17" t="s">
        <v>12</v>
      </c>
      <c r="J8" s="13"/>
      <c r="K8" s="13"/>
    </row>
    <row r="9" spans="1:11">
      <c r="A9" s="7" t="s">
        <v>13</v>
      </c>
      <c r="B9" s="13"/>
      <c r="C9" s="13"/>
      <c r="D9" s="16"/>
      <c r="E9" s="13"/>
      <c r="F9" s="13"/>
      <c r="G9" s="13"/>
      <c r="H9" s="13"/>
      <c r="I9" s="7" t="s">
        <v>14</v>
      </c>
      <c r="J9" s="13"/>
      <c r="K9" s="13"/>
    </row>
    <row r="10" spans="1:11" ht="13.5" thickBot="1">
      <c r="A10" s="19" t="s">
        <v>15</v>
      </c>
      <c r="B10" s="13"/>
      <c r="C10" s="13"/>
      <c r="D10" s="13"/>
      <c r="E10" s="13"/>
      <c r="F10" s="13"/>
      <c r="G10" s="13"/>
      <c r="H10" s="13"/>
      <c r="I10" s="19" t="s">
        <v>16</v>
      </c>
      <c r="J10" s="13"/>
      <c r="K10" s="13"/>
    </row>
    <row r="11" spans="1:11">
      <c r="A11" s="7">
        <v>1</v>
      </c>
      <c r="B11" s="13" t="s">
        <v>17</v>
      </c>
      <c r="C11" s="13" t="s">
        <v>18</v>
      </c>
      <c r="D11" s="11"/>
      <c r="E11" s="13"/>
      <c r="F11" s="13"/>
      <c r="G11" s="13"/>
      <c r="H11" s="13"/>
      <c r="I11" s="20">
        <f>+I172</f>
        <v>583990.69180553209</v>
      </c>
      <c r="J11" s="13"/>
      <c r="K11" s="13"/>
    </row>
    <row r="12" spans="1:11">
      <c r="A12" s="7"/>
      <c r="B12" s="13"/>
      <c r="C12" s="13"/>
      <c r="D12" s="13"/>
      <c r="E12" s="13"/>
      <c r="F12" s="13"/>
      <c r="G12" s="13"/>
      <c r="H12" s="13"/>
      <c r="I12" s="11"/>
      <c r="J12" s="13"/>
      <c r="K12" s="13"/>
    </row>
    <row r="13" spans="1:11" ht="13.5" thickBot="1">
      <c r="A13" s="7" t="s">
        <v>10</v>
      </c>
      <c r="B13" s="13" t="s">
        <v>19</v>
      </c>
      <c r="C13" s="11" t="s">
        <v>20</v>
      </c>
      <c r="D13" s="19" t="s">
        <v>21</v>
      </c>
      <c r="E13" s="11"/>
      <c r="F13" s="21" t="s">
        <v>22</v>
      </c>
      <c r="G13" s="21"/>
      <c r="H13" s="13"/>
      <c r="I13" s="11"/>
      <c r="J13" s="13"/>
      <c r="K13" s="13"/>
    </row>
    <row r="14" spans="1:11">
      <c r="A14" s="7">
        <f>+A11+1</f>
        <v>2</v>
      </c>
      <c r="B14" s="13" t="s">
        <v>23</v>
      </c>
      <c r="C14" s="11" t="str">
        <f>"(page 4, line "&amp;A222&amp;")"</f>
        <v>(page 4, line 29)</v>
      </c>
      <c r="D14" s="22">
        <f>I222</f>
        <v>0</v>
      </c>
      <c r="E14" s="11"/>
      <c r="F14" s="11" t="s">
        <v>24</v>
      </c>
      <c r="G14" s="22">
        <f>I191</f>
        <v>1</v>
      </c>
      <c r="H14" s="23"/>
      <c r="I14" s="22">
        <f>+G14*D14</f>
        <v>0</v>
      </c>
      <c r="J14" s="13"/>
      <c r="K14" s="13"/>
    </row>
    <row r="15" spans="1:11">
      <c r="A15" s="7">
        <f>+A14+1</f>
        <v>3</v>
      </c>
      <c r="B15" s="13" t="s">
        <v>25</v>
      </c>
      <c r="C15" s="11" t="str">
        <f>"(page 4, line "&amp;A227&amp;")"</f>
        <v>(page 4, line 33)</v>
      </c>
      <c r="D15" s="22">
        <f>I227</f>
        <v>0</v>
      </c>
      <c r="E15" s="11"/>
      <c r="F15" s="11" t="s">
        <v>24</v>
      </c>
      <c r="G15" s="22">
        <f>+G14</f>
        <v>1</v>
      </c>
      <c r="H15" s="23"/>
      <c r="I15" s="22">
        <f>+G15*D15</f>
        <v>0</v>
      </c>
      <c r="J15" s="13"/>
      <c r="K15" s="13"/>
    </row>
    <row r="16" spans="1:11">
      <c r="A16" s="7">
        <f>+A15+1</f>
        <v>4</v>
      </c>
      <c r="B16" s="13" t="s">
        <v>26</v>
      </c>
      <c r="C16" s="11" t="s">
        <v>27</v>
      </c>
      <c r="D16" s="22">
        <f>+'5-P3 Support'!G67</f>
        <v>0</v>
      </c>
      <c r="E16" s="11"/>
      <c r="F16" s="11" t="s">
        <v>24</v>
      </c>
      <c r="G16" s="22">
        <f>+G15</f>
        <v>1</v>
      </c>
      <c r="H16" s="23"/>
      <c r="I16" s="22">
        <f>+D16*G16</f>
        <v>0</v>
      </c>
      <c r="J16" s="13"/>
      <c r="K16" s="13"/>
    </row>
    <row r="17" spans="1:13">
      <c r="A17" s="7">
        <f>+A16+1</f>
        <v>5</v>
      </c>
      <c r="B17" s="11" t="s">
        <v>28</v>
      </c>
      <c r="C17" s="24" t="s">
        <v>29</v>
      </c>
      <c r="D17" s="25">
        <v>0</v>
      </c>
      <c r="E17" s="11"/>
      <c r="F17" s="11" t="s">
        <v>24</v>
      </c>
      <c r="G17" s="22">
        <f>+G15</f>
        <v>1</v>
      </c>
      <c r="H17" s="23"/>
      <c r="I17" s="22">
        <f>+G17*D17</f>
        <v>0</v>
      </c>
      <c r="J17" s="13"/>
      <c r="K17" s="13"/>
    </row>
    <row r="18" spans="1:13" ht="13.5" thickBot="1">
      <c r="A18" s="7">
        <f>+A17+1</f>
        <v>6</v>
      </c>
      <c r="B18" s="11" t="s">
        <v>30</v>
      </c>
      <c r="C18" s="24"/>
      <c r="D18" s="25">
        <v>0</v>
      </c>
      <c r="E18" s="11"/>
      <c r="F18" s="11" t="s">
        <v>24</v>
      </c>
      <c r="G18" s="22">
        <f>+G17</f>
        <v>1</v>
      </c>
      <c r="H18" s="23"/>
      <c r="I18" s="26">
        <f>+G18*D18</f>
        <v>0</v>
      </c>
      <c r="J18" s="13"/>
      <c r="K18" s="13"/>
    </row>
    <row r="19" spans="1:13">
      <c r="A19" s="7">
        <f>+A18+1</f>
        <v>7</v>
      </c>
      <c r="B19" s="13" t="s">
        <v>31</v>
      </c>
      <c r="C19" s="13" t="s">
        <v>32</v>
      </c>
      <c r="D19" s="27">
        <f>SUM(D14:D18)</f>
        <v>0</v>
      </c>
      <c r="E19" s="11"/>
      <c r="F19" s="11"/>
      <c r="G19" s="28"/>
      <c r="H19" s="23"/>
      <c r="I19" s="22">
        <f>SUM(I14:I18)</f>
        <v>0</v>
      </c>
      <c r="J19" s="13"/>
      <c r="K19" s="13"/>
    </row>
    <row r="20" spans="1:13">
      <c r="A20" s="7"/>
      <c r="B20" s="4"/>
      <c r="C20" s="13"/>
      <c r="D20" s="11" t="s">
        <v>10</v>
      </c>
      <c r="E20" s="13"/>
      <c r="F20" s="13"/>
      <c r="G20" s="29"/>
      <c r="H20" s="13"/>
      <c r="I20" s="4"/>
      <c r="J20" s="13"/>
      <c r="K20" s="13"/>
    </row>
    <row r="21" spans="1:13" ht="13.5" thickBot="1">
      <c r="A21" s="7">
        <f>+A19+1</f>
        <v>8</v>
      </c>
      <c r="B21" s="13" t="s">
        <v>33</v>
      </c>
      <c r="C21" s="13" t="s">
        <v>34</v>
      </c>
      <c r="D21" s="30" t="s">
        <v>10</v>
      </c>
      <c r="E21" s="11"/>
      <c r="F21" s="11"/>
      <c r="G21" s="11"/>
      <c r="H21" s="11"/>
      <c r="I21" s="31">
        <f>I11-I19</f>
        <v>583990.69180553209</v>
      </c>
      <c r="J21" s="13"/>
      <c r="K21" s="13"/>
      <c r="M21" s="32"/>
    </row>
    <row r="22" spans="1:13" ht="13.5" thickTop="1">
      <c r="A22" s="7"/>
      <c r="B22" s="4"/>
      <c r="C22" s="13"/>
      <c r="D22" s="30"/>
      <c r="E22" s="11"/>
      <c r="F22" s="11"/>
      <c r="G22" s="11"/>
      <c r="H22" s="11"/>
      <c r="I22" s="4"/>
      <c r="J22" s="13"/>
      <c r="K22" s="13"/>
      <c r="M22" s="33"/>
    </row>
    <row r="23" spans="1:13">
      <c r="A23" s="34">
        <f>+A21+1</f>
        <v>9</v>
      </c>
      <c r="B23" s="35" t="s">
        <v>35</v>
      </c>
      <c r="C23" s="36" t="s">
        <v>36</v>
      </c>
      <c r="D23" s="22">
        <f>'3-Project True-up'!K39</f>
        <v>306464.90108571429</v>
      </c>
      <c r="E23" s="35"/>
      <c r="F23" s="35" t="s">
        <v>37</v>
      </c>
      <c r="G23" s="37">
        <v>1</v>
      </c>
      <c r="H23" s="35"/>
      <c r="I23" s="25">
        <f>+G23*D23</f>
        <v>306464.90108571429</v>
      </c>
      <c r="K23" s="13"/>
    </row>
    <row r="24" spans="1:13">
      <c r="A24" s="34"/>
      <c r="B24" s="35"/>
      <c r="C24" s="35"/>
      <c r="D24" s="35"/>
      <c r="E24" s="35"/>
      <c r="F24" s="35"/>
      <c r="G24" s="35"/>
      <c r="H24" s="35"/>
      <c r="I24" s="38"/>
      <c r="K24" s="13"/>
    </row>
    <row r="25" spans="1:13" ht="13.5" thickBot="1">
      <c r="A25" s="34">
        <f>+A23+1</f>
        <v>10</v>
      </c>
      <c r="B25" s="35" t="s">
        <v>33</v>
      </c>
      <c r="C25" s="35" t="s">
        <v>38</v>
      </c>
      <c r="D25" s="35"/>
      <c r="E25" s="38"/>
      <c r="F25" s="38"/>
      <c r="G25" s="38"/>
      <c r="H25" s="38"/>
      <c r="I25" s="39">
        <f>+I21+I23</f>
        <v>890455.59289124631</v>
      </c>
      <c r="K25" s="13"/>
    </row>
    <row r="26" spans="1:13" ht="13.5" thickTop="1">
      <c r="A26" s="7"/>
      <c r="B26" s="11"/>
      <c r="C26" s="13"/>
      <c r="D26" s="13"/>
      <c r="E26" s="13"/>
      <c r="F26" s="4"/>
      <c r="G26" s="5"/>
      <c r="H26" s="13"/>
      <c r="I26" s="11"/>
      <c r="J26" s="13"/>
      <c r="K26" s="13"/>
    </row>
    <row r="27" spans="1:13">
      <c r="A27" s="7"/>
      <c r="B27" s="13"/>
      <c r="C27" s="13"/>
      <c r="D27" s="13"/>
      <c r="E27" s="13"/>
      <c r="F27" s="4"/>
      <c r="G27" s="5"/>
      <c r="H27" s="13"/>
      <c r="I27" s="11"/>
      <c r="J27" s="13"/>
      <c r="K27" s="13"/>
    </row>
    <row r="28" spans="1:13">
      <c r="A28" s="7"/>
      <c r="B28" s="11"/>
      <c r="C28" s="13"/>
      <c r="D28" s="13"/>
      <c r="E28" s="13"/>
      <c r="F28" s="13"/>
      <c r="G28" s="5"/>
      <c r="H28" s="13"/>
      <c r="I28" s="11"/>
      <c r="J28" s="13"/>
      <c r="K28" s="13"/>
    </row>
    <row r="29" spans="1:13">
      <c r="A29" s="7"/>
      <c r="B29" s="11"/>
      <c r="C29" s="13"/>
      <c r="D29" s="13"/>
      <c r="E29" s="13"/>
      <c r="F29" s="13"/>
      <c r="G29" s="5"/>
      <c r="H29" s="13"/>
      <c r="I29" s="11"/>
      <c r="J29" s="13"/>
      <c r="K29" s="13"/>
    </row>
    <row r="30" spans="1:13">
      <c r="A30" s="7"/>
      <c r="B30" s="11"/>
      <c r="C30" s="13"/>
      <c r="D30" s="13"/>
      <c r="E30" s="13"/>
      <c r="F30" s="13"/>
      <c r="G30" s="5"/>
      <c r="H30" s="13"/>
      <c r="I30" s="11"/>
      <c r="J30" s="13"/>
      <c r="K30" s="13"/>
    </row>
    <row r="31" spans="1:13">
      <c r="A31" s="7"/>
      <c r="B31" s="5"/>
      <c r="C31" s="13"/>
      <c r="D31" s="13"/>
      <c r="E31" s="13"/>
      <c r="F31" s="13"/>
      <c r="G31" s="13"/>
      <c r="H31" s="13"/>
      <c r="I31" s="11"/>
      <c r="J31" s="13"/>
      <c r="K31" s="13"/>
    </row>
    <row r="32" spans="1:13">
      <c r="A32" s="7"/>
      <c r="B32" s="13"/>
      <c r="C32" s="13"/>
      <c r="D32" s="13"/>
      <c r="E32" s="13"/>
      <c r="F32" s="13"/>
      <c r="G32" s="13"/>
      <c r="H32" s="13"/>
      <c r="I32" s="11"/>
      <c r="J32" s="13"/>
      <c r="K32" s="13"/>
    </row>
    <row r="33" spans="1:11">
      <c r="A33" s="7"/>
      <c r="B33" s="13"/>
      <c r="C33" s="13"/>
      <c r="D33" s="40"/>
      <c r="E33" s="13"/>
      <c r="F33" s="13"/>
      <c r="G33" s="13"/>
      <c r="H33" s="13"/>
      <c r="I33" s="4"/>
      <c r="J33" s="13"/>
      <c r="K33" s="13"/>
    </row>
    <row r="34" spans="1:11">
      <c r="A34" s="7"/>
      <c r="B34" s="13"/>
      <c r="C34" s="13"/>
      <c r="D34" s="40"/>
      <c r="E34" s="13"/>
      <c r="F34" s="13"/>
      <c r="G34" s="13"/>
      <c r="H34" s="13"/>
      <c r="I34" s="4"/>
      <c r="J34" s="13"/>
      <c r="K34" s="13"/>
    </row>
    <row r="35" spans="1:11">
      <c r="A35" s="7"/>
      <c r="B35" s="13"/>
      <c r="C35" s="13"/>
      <c r="D35" s="41"/>
      <c r="E35" s="13"/>
      <c r="F35" s="13"/>
      <c r="G35" s="13"/>
      <c r="H35" s="13"/>
      <c r="I35" s="4"/>
      <c r="J35" s="13"/>
      <c r="K35" s="13"/>
    </row>
    <row r="36" spans="1:11">
      <c r="A36" s="7"/>
      <c r="B36" s="13"/>
      <c r="C36" s="13"/>
      <c r="D36" s="42"/>
      <c r="E36" s="13"/>
      <c r="F36" s="13"/>
      <c r="G36" s="13"/>
      <c r="H36" s="13"/>
      <c r="I36" s="43"/>
      <c r="J36" s="13"/>
      <c r="K36" s="13"/>
    </row>
    <row r="37" spans="1:11">
      <c r="A37" s="7"/>
      <c r="B37" s="13"/>
      <c r="C37" s="44"/>
      <c r="D37" s="40"/>
      <c r="E37" s="13"/>
      <c r="F37" s="13"/>
      <c r="G37" s="13"/>
      <c r="H37" s="13"/>
      <c r="I37" s="45"/>
      <c r="J37" s="13"/>
      <c r="K37" s="13"/>
    </row>
    <row r="38" spans="1:11">
      <c r="A38" s="7"/>
      <c r="B38" s="13"/>
      <c r="C38" s="44"/>
      <c r="D38" s="40"/>
      <c r="E38" s="13"/>
      <c r="F38" s="4"/>
      <c r="G38" s="13"/>
      <c r="H38" s="13"/>
      <c r="I38" s="45"/>
      <c r="J38" s="13"/>
      <c r="K38" s="13"/>
    </row>
    <row r="39" spans="1:11">
      <c r="A39" s="7"/>
      <c r="B39" s="13"/>
      <c r="C39" s="44"/>
      <c r="D39" s="40"/>
      <c r="E39" s="13"/>
      <c r="F39" s="4"/>
      <c r="G39" s="13"/>
      <c r="H39" s="13"/>
      <c r="I39" s="45"/>
      <c r="J39" s="13"/>
      <c r="K39" s="13"/>
    </row>
    <row r="40" spans="1:11">
      <c r="A40" s="7"/>
      <c r="B40" s="13"/>
      <c r="C40" s="13"/>
      <c r="D40" s="13"/>
      <c r="E40" s="13"/>
      <c r="F40" s="4"/>
      <c r="G40" s="13"/>
      <c r="H40" s="13"/>
      <c r="I40" s="4"/>
      <c r="J40" s="13"/>
      <c r="K40" s="13"/>
    </row>
    <row r="41" spans="1:11">
      <c r="A41" s="7"/>
      <c r="B41" s="13"/>
      <c r="C41" s="13"/>
      <c r="D41" s="13"/>
      <c r="E41" s="13"/>
      <c r="F41" s="4"/>
      <c r="G41" s="13"/>
      <c r="H41" s="13"/>
      <c r="I41" s="4"/>
      <c r="J41" s="13"/>
      <c r="K41" s="13"/>
    </row>
    <row r="42" spans="1:11">
      <c r="A42" s="7"/>
      <c r="B42" s="13"/>
      <c r="C42" s="13"/>
      <c r="D42" s="46"/>
      <c r="E42" s="46"/>
      <c r="F42" s="46"/>
      <c r="G42" s="46"/>
      <c r="H42" s="46"/>
      <c r="I42" s="46"/>
      <c r="J42" s="46"/>
      <c r="K42" s="13"/>
    </row>
    <row r="43" spans="1:11">
      <c r="A43" s="7"/>
      <c r="B43" s="13"/>
      <c r="C43" s="13"/>
      <c r="D43" s="46"/>
      <c r="E43" s="46"/>
      <c r="F43" s="46"/>
      <c r="G43" s="46"/>
      <c r="H43" s="46"/>
      <c r="I43" s="46"/>
      <c r="J43" s="46"/>
      <c r="K43" s="13"/>
    </row>
    <row r="44" spans="1:11">
      <c r="A44" s="7"/>
      <c r="B44" s="13"/>
      <c r="C44" s="13"/>
      <c r="D44" s="46"/>
      <c r="E44" s="46"/>
      <c r="F44" s="46"/>
      <c r="G44" s="46"/>
      <c r="H44" s="46"/>
      <c r="I44" s="46"/>
      <c r="J44" s="46"/>
      <c r="K44" s="13"/>
    </row>
    <row r="45" spans="1:11">
      <c r="A45" s="7"/>
      <c r="B45" s="13"/>
      <c r="C45" s="13"/>
      <c r="D45" s="46"/>
      <c r="E45" s="46"/>
      <c r="F45" s="46"/>
      <c r="G45" s="46"/>
      <c r="H45" s="46"/>
      <c r="I45" s="46"/>
      <c r="J45" s="46"/>
      <c r="K45" s="13"/>
    </row>
    <row r="46" spans="1:11">
      <c r="A46" s="7"/>
      <c r="B46" s="13"/>
      <c r="C46" s="13"/>
      <c r="D46" s="46"/>
      <c r="E46" s="46"/>
      <c r="F46" s="46"/>
      <c r="G46" s="46"/>
      <c r="H46" s="46"/>
      <c r="I46" s="46"/>
      <c r="J46" s="46"/>
      <c r="K46" s="13"/>
    </row>
    <row r="47" spans="1:11">
      <c r="A47" s="7"/>
      <c r="B47" s="13"/>
      <c r="C47" s="13"/>
      <c r="D47" s="46"/>
      <c r="E47" s="46"/>
      <c r="F47" s="46"/>
      <c r="G47" s="46"/>
      <c r="H47" s="46"/>
      <c r="I47" s="46"/>
      <c r="J47" s="46"/>
      <c r="K47" s="13"/>
    </row>
    <row r="48" spans="1:11">
      <c r="A48" s="7"/>
      <c r="B48" s="13"/>
      <c r="C48" s="13"/>
      <c r="D48" s="46"/>
      <c r="E48" s="46"/>
      <c r="F48" s="46"/>
      <c r="G48" s="46"/>
      <c r="H48" s="46"/>
      <c r="I48" s="46"/>
      <c r="J48" s="46"/>
      <c r="K48" s="13"/>
    </row>
    <row r="49" spans="1:11">
      <c r="A49" s="7"/>
      <c r="B49" s="13"/>
      <c r="C49" s="13"/>
      <c r="D49" s="46"/>
      <c r="E49" s="46"/>
      <c r="F49" s="46"/>
      <c r="G49" s="46"/>
      <c r="H49" s="46"/>
      <c r="I49" s="46"/>
      <c r="J49" s="46"/>
      <c r="K49" s="13"/>
    </row>
    <row r="50" spans="1:11">
      <c r="A50" s="7"/>
      <c r="B50" s="13"/>
      <c r="C50" s="13"/>
      <c r="D50" s="46"/>
      <c r="E50" s="46"/>
      <c r="F50" s="46"/>
      <c r="G50" s="46"/>
      <c r="H50" s="46"/>
      <c r="I50" s="46"/>
      <c r="J50" s="46"/>
      <c r="K50" s="13"/>
    </row>
    <row r="51" spans="1:11">
      <c r="A51" s="7"/>
      <c r="B51" s="13"/>
      <c r="C51" s="13"/>
      <c r="D51" s="46"/>
      <c r="E51" s="46"/>
      <c r="F51" s="46"/>
      <c r="G51" s="46"/>
      <c r="H51" s="46"/>
      <c r="I51" s="46"/>
      <c r="J51" s="46"/>
      <c r="K51" s="13"/>
    </row>
    <row r="52" spans="1:11">
      <c r="A52" s="4"/>
      <c r="B52" s="13"/>
      <c r="C52" s="13"/>
      <c r="D52" s="13"/>
      <c r="E52" s="13"/>
      <c r="F52" s="13"/>
      <c r="G52" s="13"/>
      <c r="H52" s="13"/>
      <c r="I52" s="47"/>
      <c r="J52" s="13"/>
      <c r="K52" s="48" t="s">
        <v>39</v>
      </c>
    </row>
    <row r="53" spans="1:11">
      <c r="A53" s="4"/>
      <c r="B53" s="13"/>
      <c r="C53" s="13"/>
      <c r="D53" s="13"/>
      <c r="E53" s="13"/>
      <c r="F53" s="13"/>
      <c r="G53" s="13"/>
      <c r="H53" s="13"/>
      <c r="I53" s="13"/>
      <c r="J53" s="13"/>
      <c r="K53" s="13"/>
    </row>
    <row r="54" spans="1:11">
      <c r="A54" s="4"/>
      <c r="B54" s="13" t="s">
        <v>2</v>
      </c>
      <c r="C54" s="13"/>
      <c r="D54" s="18" t="s">
        <v>4</v>
      </c>
      <c r="E54" s="13"/>
      <c r="F54" s="13"/>
      <c r="G54" s="13"/>
      <c r="H54" s="13"/>
      <c r="I54" s="1"/>
      <c r="J54" s="13"/>
      <c r="K54" s="48" t="str">
        <f>K3</f>
        <v>For  the 12 months ended 12/31/2021</v>
      </c>
    </row>
    <row r="55" spans="1:11">
      <c r="A55" s="4"/>
      <c r="B55" s="49"/>
      <c r="C55" s="11"/>
      <c r="D55" s="12" t="s">
        <v>5</v>
      </c>
      <c r="E55" s="11"/>
      <c r="F55" s="11"/>
      <c r="G55" s="11"/>
      <c r="H55" s="11"/>
      <c r="I55" s="11"/>
      <c r="J55" s="11"/>
      <c r="K55" s="11"/>
    </row>
    <row r="56" spans="1:11">
      <c r="A56" s="4"/>
      <c r="B56" s="13"/>
      <c r="C56" s="11"/>
      <c r="D56" s="50" t="str">
        <f>D5</f>
        <v>NextEra Energy Transmission MidAtlantic Indiana, Inc.</v>
      </c>
      <c r="E56" s="11"/>
      <c r="F56" s="11"/>
      <c r="G56" s="11" t="s">
        <v>10</v>
      </c>
      <c r="H56" s="11"/>
      <c r="I56" s="11"/>
      <c r="J56" s="11"/>
      <c r="K56" s="11"/>
    </row>
    <row r="57" spans="1:11">
      <c r="A57" s="542"/>
      <c r="B57" s="542"/>
      <c r="C57" s="542"/>
      <c r="D57" s="542"/>
      <c r="E57" s="542"/>
      <c r="F57" s="542"/>
      <c r="G57" s="542"/>
      <c r="H57" s="542"/>
      <c r="I57" s="542"/>
      <c r="J57" s="542"/>
      <c r="K57" s="542"/>
    </row>
    <row r="58" spans="1:11">
      <c r="A58" s="4"/>
      <c r="B58" s="18" t="s">
        <v>7</v>
      </c>
      <c r="C58" s="18" t="s">
        <v>8</v>
      </c>
      <c r="D58" s="18" t="s">
        <v>9</v>
      </c>
      <c r="E58" s="11" t="s">
        <v>10</v>
      </c>
      <c r="F58" s="11"/>
      <c r="G58" s="17" t="s">
        <v>11</v>
      </c>
      <c r="H58" s="11"/>
      <c r="I58" s="17" t="s">
        <v>12</v>
      </c>
      <c r="J58" s="11"/>
      <c r="K58" s="18"/>
    </row>
    <row r="59" spans="1:11">
      <c r="A59" s="4"/>
      <c r="B59" s="13"/>
      <c r="C59" s="51"/>
      <c r="D59" s="11"/>
      <c r="E59" s="11"/>
      <c r="F59" s="11"/>
      <c r="G59" s="7"/>
      <c r="H59" s="11"/>
      <c r="I59" s="52" t="s">
        <v>40</v>
      </c>
      <c r="J59" s="11"/>
      <c r="K59" s="18"/>
    </row>
    <row r="60" spans="1:11">
      <c r="A60" s="7" t="s">
        <v>13</v>
      </c>
      <c r="B60" s="13"/>
      <c r="C60" s="53" t="s">
        <v>41</v>
      </c>
      <c r="D60" s="52" t="s">
        <v>42</v>
      </c>
      <c r="E60" s="54"/>
      <c r="F60" s="52" t="s">
        <v>43</v>
      </c>
      <c r="G60" s="4"/>
      <c r="H60" s="54"/>
      <c r="I60" s="7" t="s">
        <v>44</v>
      </c>
      <c r="J60" s="11"/>
      <c r="K60" s="18"/>
    </row>
    <row r="61" spans="1:11" ht="13.5" thickBot="1">
      <c r="A61" s="19" t="s">
        <v>15</v>
      </c>
      <c r="B61" s="55" t="s">
        <v>45</v>
      </c>
      <c r="C61" s="11"/>
      <c r="D61" s="11"/>
      <c r="E61" s="11"/>
      <c r="F61" s="11"/>
      <c r="G61" s="11"/>
      <c r="H61" s="11"/>
      <c r="I61" s="11"/>
      <c r="J61" s="11"/>
      <c r="K61" s="11"/>
    </row>
    <row r="62" spans="1:11">
      <c r="A62" s="7"/>
      <c r="B62" s="13" t="s">
        <v>46</v>
      </c>
      <c r="C62" s="11"/>
      <c r="D62" s="11"/>
      <c r="E62" s="11"/>
      <c r="F62" s="11"/>
      <c r="G62" s="11"/>
      <c r="H62" s="11"/>
      <c r="I62" s="11"/>
      <c r="J62" s="11"/>
      <c r="K62" s="11"/>
    </row>
    <row r="63" spans="1:11">
      <c r="A63" s="7">
        <v>1</v>
      </c>
      <c r="B63" s="13" t="s">
        <v>47</v>
      </c>
      <c r="C63" s="23" t="s">
        <v>48</v>
      </c>
      <c r="D63" s="56">
        <v>0</v>
      </c>
      <c r="E63" s="11"/>
      <c r="F63" s="11" t="s">
        <v>49</v>
      </c>
      <c r="G63" s="57" t="s">
        <v>10</v>
      </c>
      <c r="H63" s="11"/>
      <c r="I63" s="25">
        <v>0</v>
      </c>
      <c r="J63" s="11"/>
      <c r="K63" s="11"/>
    </row>
    <row r="64" spans="1:11">
      <c r="A64" s="7">
        <f>+A63+1</f>
        <v>2</v>
      </c>
      <c r="B64" s="13" t="s">
        <v>50</v>
      </c>
      <c r="C64" s="23" t="s">
        <v>51</v>
      </c>
      <c r="D64" s="25">
        <f>'4- Rate Base'!C24</f>
        <v>2486171.48</v>
      </c>
      <c r="E64" s="11"/>
      <c r="F64" s="11" t="s">
        <v>24</v>
      </c>
      <c r="G64" s="22">
        <f>I191</f>
        <v>1</v>
      </c>
      <c r="H64" s="23"/>
      <c r="I64" s="25">
        <f>+G64*D64</f>
        <v>2486171.48</v>
      </c>
      <c r="J64" s="11"/>
      <c r="K64" s="11"/>
    </row>
    <row r="65" spans="1:11">
      <c r="A65" s="7">
        <f t="shared" ref="A65:A104" si="0">+A64+1</f>
        <v>3</v>
      </c>
      <c r="B65" s="13" t="s">
        <v>52</v>
      </c>
      <c r="C65" s="23" t="s">
        <v>53</v>
      </c>
      <c r="D65" s="56">
        <v>0</v>
      </c>
      <c r="E65" s="11"/>
      <c r="F65" s="11" t="s">
        <v>49</v>
      </c>
      <c r="G65" s="22">
        <v>0</v>
      </c>
      <c r="H65" s="23"/>
      <c r="I65" s="25">
        <v>0</v>
      </c>
      <c r="J65" s="11"/>
      <c r="K65" s="11"/>
    </row>
    <row r="66" spans="1:11">
      <c r="A66" s="7">
        <f t="shared" si="0"/>
        <v>4</v>
      </c>
      <c r="B66" s="13" t="s">
        <v>54</v>
      </c>
      <c r="C66" s="23" t="s">
        <v>55</v>
      </c>
      <c r="D66" s="25">
        <f>'4- Rate Base'!D24</f>
        <v>0</v>
      </c>
      <c r="E66" s="11"/>
      <c r="F66" s="11" t="s">
        <v>56</v>
      </c>
      <c r="G66" s="22">
        <f>I199</f>
        <v>1</v>
      </c>
      <c r="H66" s="23"/>
      <c r="I66" s="25">
        <f>+G66*D66</f>
        <v>0</v>
      </c>
      <c r="J66" s="11"/>
      <c r="K66" s="11"/>
    </row>
    <row r="67" spans="1:11" ht="13.5" thickBot="1">
      <c r="A67" s="7">
        <f t="shared" si="0"/>
        <v>5</v>
      </c>
      <c r="B67" s="13" t="s">
        <v>57</v>
      </c>
      <c r="C67" s="11" t="s">
        <v>58</v>
      </c>
      <c r="D67" s="58">
        <v>0</v>
      </c>
      <c r="E67" s="11"/>
      <c r="F67" s="11" t="s">
        <v>59</v>
      </c>
      <c r="G67" s="22">
        <f>K203</f>
        <v>1</v>
      </c>
      <c r="H67" s="23"/>
      <c r="I67" s="59">
        <f>+G67*D67</f>
        <v>0</v>
      </c>
      <c r="J67" s="11"/>
      <c r="K67" s="11"/>
    </row>
    <row r="68" spans="1:11">
      <c r="A68" s="7">
        <f t="shared" si="0"/>
        <v>6</v>
      </c>
      <c r="B68" s="5" t="s">
        <v>60</v>
      </c>
      <c r="C68" s="11" t="s">
        <v>61</v>
      </c>
      <c r="D68" s="25">
        <f>SUM(D63:D67)</f>
        <v>2486171.48</v>
      </c>
      <c r="E68" s="11"/>
      <c r="F68" s="11" t="s">
        <v>62</v>
      </c>
      <c r="G68" s="60">
        <f>IF(I68&gt;0,I68/D68,0)</f>
        <v>1</v>
      </c>
      <c r="H68" s="23"/>
      <c r="I68" s="25">
        <f>SUM(I63:I67)</f>
        <v>2486171.48</v>
      </c>
      <c r="J68" s="11"/>
      <c r="K68" s="61"/>
    </row>
    <row r="69" spans="1:11">
      <c r="A69" s="7"/>
      <c r="B69" s="13"/>
      <c r="C69" s="11"/>
      <c r="D69" s="25"/>
      <c r="E69" s="11"/>
      <c r="F69" s="11"/>
      <c r="G69" s="61"/>
      <c r="H69" s="11"/>
      <c r="I69" s="25"/>
      <c r="J69" s="11"/>
      <c r="K69" s="61"/>
    </row>
    <row r="70" spans="1:11">
      <c r="A70" s="7">
        <f>+A68+1</f>
        <v>7</v>
      </c>
      <c r="B70" s="13" t="s">
        <v>63</v>
      </c>
      <c r="C70" s="11"/>
      <c r="D70" s="25"/>
      <c r="E70" s="11"/>
      <c r="F70" s="11"/>
      <c r="G70" s="11"/>
      <c r="H70" s="11"/>
      <c r="I70" s="25"/>
      <c r="J70" s="11"/>
      <c r="K70" s="11"/>
    </row>
    <row r="71" spans="1:11">
      <c r="A71" s="7">
        <f t="shared" si="0"/>
        <v>8</v>
      </c>
      <c r="B71" s="13" t="s">
        <v>47</v>
      </c>
      <c r="C71" s="11" t="s">
        <v>64</v>
      </c>
      <c r="D71" s="56">
        <v>0</v>
      </c>
      <c r="E71" s="11"/>
      <c r="F71" s="11" t="s">
        <v>49</v>
      </c>
      <c r="G71" s="57" t="s">
        <v>10</v>
      </c>
      <c r="H71" s="11"/>
      <c r="I71" s="25">
        <v>0</v>
      </c>
      <c r="J71" s="11"/>
      <c r="K71" s="11"/>
    </row>
    <row r="72" spans="1:11">
      <c r="A72" s="7">
        <f t="shared" si="0"/>
        <v>9</v>
      </c>
      <c r="B72" s="13" t="s">
        <v>50</v>
      </c>
      <c r="C72" s="11" t="s">
        <v>65</v>
      </c>
      <c r="D72" s="25">
        <f>'4- Rate Base'!I24</f>
        <v>2374724.1790143084</v>
      </c>
      <c r="E72" s="11"/>
      <c r="F72" s="11" t="s">
        <v>24</v>
      </c>
      <c r="G72" s="22">
        <f>+G64</f>
        <v>1</v>
      </c>
      <c r="H72" s="23"/>
      <c r="I72" s="25">
        <f>+G72*D72</f>
        <v>2374724.1790143084</v>
      </c>
      <c r="J72" s="11"/>
      <c r="K72" s="11"/>
    </row>
    <row r="73" spans="1:11">
      <c r="A73" s="7">
        <f t="shared" si="0"/>
        <v>10</v>
      </c>
      <c r="B73" s="13" t="s">
        <v>52</v>
      </c>
      <c r="C73" s="11" t="s">
        <v>66</v>
      </c>
      <c r="D73" s="56">
        <v>0</v>
      </c>
      <c r="E73" s="11"/>
      <c r="F73" s="11" t="s">
        <v>49</v>
      </c>
      <c r="G73" s="22">
        <f>+G65</f>
        <v>0</v>
      </c>
      <c r="H73" s="23"/>
      <c r="I73" s="25">
        <f>+G73*D73</f>
        <v>0</v>
      </c>
      <c r="J73" s="11"/>
      <c r="K73" s="11"/>
    </row>
    <row r="74" spans="1:11">
      <c r="A74" s="7">
        <f t="shared" si="0"/>
        <v>11</v>
      </c>
      <c r="B74" s="13" t="s">
        <v>54</v>
      </c>
      <c r="C74" s="11" t="s">
        <v>67</v>
      </c>
      <c r="D74" s="25">
        <f>'4- Rate Base'!J24</f>
        <v>0</v>
      </c>
      <c r="E74" s="11"/>
      <c r="F74" s="11" t="s">
        <v>56</v>
      </c>
      <c r="G74" s="22">
        <f>+G66</f>
        <v>1</v>
      </c>
      <c r="H74" s="23"/>
      <c r="I74" s="25">
        <f>+G74*D74</f>
        <v>0</v>
      </c>
      <c r="J74" s="11"/>
      <c r="K74" s="11"/>
    </row>
    <row r="75" spans="1:11" ht="13.5" thickBot="1">
      <c r="A75" s="7">
        <f t="shared" si="0"/>
        <v>12</v>
      </c>
      <c r="B75" s="13" t="s">
        <v>57</v>
      </c>
      <c r="C75" s="11" t="s">
        <v>58</v>
      </c>
      <c r="D75" s="58">
        <v>0</v>
      </c>
      <c r="E75" s="11"/>
      <c r="F75" s="11" t="s">
        <v>59</v>
      </c>
      <c r="G75" s="22">
        <f>+G67</f>
        <v>1</v>
      </c>
      <c r="H75" s="23"/>
      <c r="I75" s="59">
        <f>+G75*D75</f>
        <v>0</v>
      </c>
      <c r="J75" s="11"/>
      <c r="K75" s="11"/>
    </row>
    <row r="76" spans="1:11">
      <c r="A76" s="7">
        <f t="shared" si="0"/>
        <v>13</v>
      </c>
      <c r="B76" s="13" t="s">
        <v>68</v>
      </c>
      <c r="C76" s="11" t="s">
        <v>69</v>
      </c>
      <c r="D76" s="25">
        <f>SUM(D71:D75)</f>
        <v>2374724.1790143084</v>
      </c>
      <c r="E76" s="11"/>
      <c r="F76" s="11"/>
      <c r="G76" s="22"/>
      <c r="H76" s="23"/>
      <c r="I76" s="25">
        <f>SUM(I71:I75)</f>
        <v>2374724.1790143084</v>
      </c>
      <c r="J76" s="11"/>
      <c r="K76" s="11"/>
    </row>
    <row r="77" spans="1:11">
      <c r="A77" s="7"/>
      <c r="B77" s="4"/>
      <c r="C77" s="11" t="s">
        <v>10</v>
      </c>
      <c r="D77" s="25"/>
      <c r="E77" s="11"/>
      <c r="F77" s="11"/>
      <c r="G77" s="60"/>
      <c r="H77" s="11"/>
      <c r="I77" s="25"/>
      <c r="J77" s="11"/>
      <c r="K77" s="61"/>
    </row>
    <row r="78" spans="1:11">
      <c r="A78" s="7">
        <f>+A76+1</f>
        <v>14</v>
      </c>
      <c r="B78" s="13" t="s">
        <v>70</v>
      </c>
      <c r="C78" s="11"/>
      <c r="D78" s="25"/>
      <c r="E78" s="11"/>
      <c r="F78" s="11"/>
      <c r="G78" s="22"/>
      <c r="H78" s="11"/>
      <c r="I78" s="25"/>
      <c r="J78" s="11"/>
      <c r="K78" s="11"/>
    </row>
    <row r="79" spans="1:11">
      <c r="A79" s="7">
        <f t="shared" si="0"/>
        <v>15</v>
      </c>
      <c r="B79" s="13" t="s">
        <v>47</v>
      </c>
      <c r="C79" s="11" t="str">
        <f>"(line "&amp;A63&amp;"minus line "&amp;A71&amp;")"</f>
        <v>(line 1minus line 8)</v>
      </c>
      <c r="D79" s="25">
        <f>D63-D71</f>
        <v>0</v>
      </c>
      <c r="E79" s="23"/>
      <c r="F79" s="23"/>
      <c r="G79" s="60"/>
      <c r="H79" s="23"/>
      <c r="I79" s="25">
        <f>I63-I71</f>
        <v>0</v>
      </c>
      <c r="J79" s="11"/>
      <c r="K79" s="61"/>
    </row>
    <row r="80" spans="1:11">
      <c r="A80" s="7">
        <f t="shared" si="0"/>
        <v>16</v>
      </c>
      <c r="B80" s="13" t="s">
        <v>50</v>
      </c>
      <c r="C80" s="11" t="s">
        <v>71</v>
      </c>
      <c r="D80" s="25">
        <f>D64-D72</f>
        <v>111447.3009856916</v>
      </c>
      <c r="E80" s="23"/>
      <c r="F80" s="23"/>
      <c r="G80" s="22"/>
      <c r="H80" s="23"/>
      <c r="I80" s="25">
        <f>I64-I72</f>
        <v>111447.3009856916</v>
      </c>
      <c r="J80" s="11"/>
      <c r="K80" s="61"/>
    </row>
    <row r="81" spans="1:11">
      <c r="A81" s="7">
        <f t="shared" si="0"/>
        <v>17</v>
      </c>
      <c r="B81" s="13" t="s">
        <v>52</v>
      </c>
      <c r="C81" s="11" t="str">
        <f>"(line "&amp;A65&amp;" minus line "&amp;A73&amp;")"</f>
        <v>(line 3 minus line 10)</v>
      </c>
      <c r="D81" s="25">
        <f>D65-D73</f>
        <v>0</v>
      </c>
      <c r="E81" s="23"/>
      <c r="F81" s="23"/>
      <c r="G81" s="60"/>
      <c r="H81" s="23"/>
      <c r="I81" s="25">
        <f>I65-I73</f>
        <v>0</v>
      </c>
      <c r="J81" s="11"/>
      <c r="K81" s="61"/>
    </row>
    <row r="82" spans="1:11">
      <c r="A82" s="7">
        <f t="shared" si="0"/>
        <v>18</v>
      </c>
      <c r="B82" s="13" t="s">
        <v>54</v>
      </c>
      <c r="C82" s="11" t="s">
        <v>72</v>
      </c>
      <c r="D82" s="25">
        <f>D66-D74</f>
        <v>0</v>
      </c>
      <c r="E82" s="23"/>
      <c r="F82" s="23"/>
      <c r="G82" s="60"/>
      <c r="H82" s="23"/>
      <c r="I82" s="25">
        <f>I66-I74</f>
        <v>0</v>
      </c>
      <c r="J82" s="11"/>
      <c r="K82" s="61"/>
    </row>
    <row r="83" spans="1:11" ht="13.5" thickBot="1">
      <c r="A83" s="7">
        <f t="shared" si="0"/>
        <v>19</v>
      </c>
      <c r="B83" s="13" t="s">
        <v>57</v>
      </c>
      <c r="C83" s="11" t="str">
        <f>"(line "&amp;A67&amp;" minus line "&amp;A75&amp;")"</f>
        <v>(line 5 minus line 12)</v>
      </c>
      <c r="D83" s="59">
        <f>D67-D75</f>
        <v>0</v>
      </c>
      <c r="E83" s="23"/>
      <c r="F83" s="23"/>
      <c r="G83" s="60"/>
      <c r="H83" s="23"/>
      <c r="I83" s="59">
        <f>I67-I75</f>
        <v>0</v>
      </c>
      <c r="J83" s="11"/>
      <c r="K83" s="61"/>
    </row>
    <row r="84" spans="1:11">
      <c r="A84" s="7">
        <f t="shared" si="0"/>
        <v>20</v>
      </c>
      <c r="B84" s="13" t="s">
        <v>73</v>
      </c>
      <c r="C84" s="11" t="s">
        <v>74</v>
      </c>
      <c r="D84" s="25">
        <f>SUM(D79:D83)</f>
        <v>111447.3009856916</v>
      </c>
      <c r="E84" s="23"/>
      <c r="F84" s="23" t="s">
        <v>75</v>
      </c>
      <c r="G84" s="60">
        <f>IF(I84&gt;0,I84/D84,0)</f>
        <v>1</v>
      </c>
      <c r="H84" s="23"/>
      <c r="I84" s="25">
        <f>SUM(I79:I83)</f>
        <v>111447.3009856916</v>
      </c>
      <c r="J84" s="11"/>
      <c r="K84" s="11"/>
    </row>
    <row r="85" spans="1:11">
      <c r="A85" s="7"/>
      <c r="B85" s="4"/>
      <c r="C85" s="11"/>
      <c r="D85" s="25"/>
      <c r="E85" s="11"/>
      <c r="F85" s="4"/>
      <c r="G85" s="4"/>
      <c r="H85" s="11"/>
      <c r="I85" s="25"/>
      <c r="J85" s="11"/>
      <c r="K85" s="61"/>
    </row>
    <row r="86" spans="1:11">
      <c r="A86" s="7">
        <f>+A84+1</f>
        <v>21</v>
      </c>
      <c r="B86" s="5" t="s">
        <v>76</v>
      </c>
      <c r="C86" s="11"/>
      <c r="D86" s="25"/>
      <c r="E86" s="11"/>
      <c r="F86" s="11"/>
      <c r="G86" s="11"/>
      <c r="H86" s="11"/>
      <c r="I86" s="25"/>
      <c r="J86" s="11"/>
      <c r="K86" s="11"/>
    </row>
    <row r="87" spans="1:11">
      <c r="A87" s="7">
        <f t="shared" si="0"/>
        <v>22</v>
      </c>
      <c r="B87" s="13" t="s">
        <v>77</v>
      </c>
      <c r="C87" s="11" t="s">
        <v>78</v>
      </c>
      <c r="D87" s="25">
        <f>-'4- Rate Base'!E44</f>
        <v>0</v>
      </c>
      <c r="E87" s="11"/>
      <c r="F87" s="11" t="s">
        <v>49</v>
      </c>
      <c r="G87" s="62" t="s">
        <v>79</v>
      </c>
      <c r="H87" s="23"/>
      <c r="I87" s="25">
        <v>0</v>
      </c>
      <c r="J87" s="11"/>
      <c r="K87" s="61"/>
    </row>
    <row r="88" spans="1:11">
      <c r="A88" s="7">
        <f t="shared" si="0"/>
        <v>23</v>
      </c>
      <c r="B88" s="13" t="s">
        <v>80</v>
      </c>
      <c r="C88" s="11" t="s">
        <v>81</v>
      </c>
      <c r="D88" s="25">
        <f>-'4- Rate Base'!F44</f>
        <v>4737.4928645200052</v>
      </c>
      <c r="E88" s="11"/>
      <c r="F88" s="11" t="s">
        <v>82</v>
      </c>
      <c r="G88" s="63">
        <f>+G84</f>
        <v>1</v>
      </c>
      <c r="H88" s="23"/>
      <c r="I88" s="25">
        <f>D88*G88</f>
        <v>4737.4928645200052</v>
      </c>
      <c r="J88" s="11"/>
      <c r="K88" s="61"/>
    </row>
    <row r="89" spans="1:11">
      <c r="A89" s="7">
        <f t="shared" si="0"/>
        <v>24</v>
      </c>
      <c r="B89" s="13" t="s">
        <v>83</v>
      </c>
      <c r="C89" s="11" t="s">
        <v>84</v>
      </c>
      <c r="D89" s="25">
        <f>-'4- Rate Base'!G44</f>
        <v>0</v>
      </c>
      <c r="E89" s="11"/>
      <c r="F89" s="11" t="s">
        <v>82</v>
      </c>
      <c r="G89" s="63">
        <f>+G88</f>
        <v>1</v>
      </c>
      <c r="H89" s="23"/>
      <c r="I89" s="25">
        <f>D89*G89</f>
        <v>0</v>
      </c>
      <c r="J89" s="11"/>
      <c r="K89" s="61"/>
    </row>
    <row r="90" spans="1:11">
      <c r="A90" s="7">
        <f t="shared" si="0"/>
        <v>25</v>
      </c>
      <c r="B90" s="13" t="s">
        <v>85</v>
      </c>
      <c r="C90" s="11" t="s">
        <v>86</v>
      </c>
      <c r="D90" s="25">
        <f>-'4- Rate Base'!H44</f>
        <v>0</v>
      </c>
      <c r="E90" s="11"/>
      <c r="F90" s="11" t="s">
        <v>82</v>
      </c>
      <c r="G90" s="63">
        <f>+G89</f>
        <v>1</v>
      </c>
      <c r="H90" s="23"/>
      <c r="I90" s="25">
        <f>D90*G90</f>
        <v>0</v>
      </c>
      <c r="J90" s="11"/>
      <c r="K90" s="61"/>
    </row>
    <row r="91" spans="1:11">
      <c r="A91" s="7">
        <f t="shared" si="0"/>
        <v>26</v>
      </c>
      <c r="B91" s="4" t="s">
        <v>87</v>
      </c>
      <c r="C91" s="4" t="s">
        <v>88</v>
      </c>
      <c r="D91" s="25">
        <f>-'4- Rate Base'!I44</f>
        <v>0</v>
      </c>
      <c r="E91" s="11"/>
      <c r="F91" s="11" t="s">
        <v>82</v>
      </c>
      <c r="G91" s="63">
        <f>+G89</f>
        <v>1</v>
      </c>
      <c r="H91" s="23"/>
      <c r="I91" s="25">
        <f>D91*G91</f>
        <v>0</v>
      </c>
      <c r="J91" s="11"/>
      <c r="K91" s="61"/>
    </row>
    <row r="92" spans="1:11">
      <c r="A92" s="7" t="s">
        <v>89</v>
      </c>
      <c r="B92" s="4" t="s">
        <v>90</v>
      </c>
      <c r="C92" s="4" t="s">
        <v>91</v>
      </c>
      <c r="D92" s="25">
        <f>-'4- Rate Base'!I59</f>
        <v>0</v>
      </c>
      <c r="E92" s="11"/>
      <c r="F92" s="11" t="s">
        <v>37</v>
      </c>
      <c r="G92" s="63">
        <f>G93</f>
        <v>1</v>
      </c>
      <c r="H92" s="23"/>
      <c r="I92" s="25">
        <f>+G92*D92</f>
        <v>0</v>
      </c>
      <c r="J92" s="11"/>
      <c r="K92" s="61"/>
    </row>
    <row r="93" spans="1:11">
      <c r="A93" s="7">
        <f>+A91+1</f>
        <v>27</v>
      </c>
      <c r="B93" s="35" t="s">
        <v>92</v>
      </c>
      <c r="C93" s="38" t="s">
        <v>93</v>
      </c>
      <c r="D93" s="25">
        <f>'4- Rate Base'!E24</f>
        <v>0</v>
      </c>
      <c r="E93" s="38"/>
      <c r="F93" s="38" t="str">
        <f>+F94</f>
        <v>DA</v>
      </c>
      <c r="G93" s="63">
        <v>1</v>
      </c>
      <c r="H93" s="38"/>
      <c r="I93" s="25">
        <f>+G93*D93</f>
        <v>0</v>
      </c>
      <c r="K93" s="61"/>
    </row>
    <row r="94" spans="1:11">
      <c r="A94" s="7">
        <f t="shared" si="0"/>
        <v>28</v>
      </c>
      <c r="B94" s="35" t="s">
        <v>94</v>
      </c>
      <c r="C94" s="38" t="s">
        <v>95</v>
      </c>
      <c r="D94" s="25">
        <f>+'4- Rate Base'!C44</f>
        <v>0</v>
      </c>
      <c r="E94" s="38"/>
      <c r="F94" s="38" t="str">
        <f>+F95</f>
        <v>DA</v>
      </c>
      <c r="G94" s="63">
        <v>1</v>
      </c>
      <c r="H94" s="38"/>
      <c r="I94" s="25">
        <f>+G94*D94</f>
        <v>0</v>
      </c>
      <c r="K94" s="61"/>
    </row>
    <row r="95" spans="1:11" ht="13.5" thickBot="1">
      <c r="A95" s="7">
        <f t="shared" si="0"/>
        <v>29</v>
      </c>
      <c r="B95" s="35" t="s">
        <v>96</v>
      </c>
      <c r="C95" s="38" t="s">
        <v>97</v>
      </c>
      <c r="D95" s="59">
        <f>+'4- Rate Base'!D44</f>
        <v>0</v>
      </c>
      <c r="E95" s="38"/>
      <c r="F95" s="38" t="s">
        <v>37</v>
      </c>
      <c r="G95" s="63">
        <v>1</v>
      </c>
      <c r="H95" s="38"/>
      <c r="I95" s="59">
        <f>+G95*D95</f>
        <v>0</v>
      </c>
      <c r="K95" s="61"/>
    </row>
    <row r="96" spans="1:11">
      <c r="A96" s="7">
        <f t="shared" si="0"/>
        <v>30</v>
      </c>
      <c r="B96" s="13" t="s">
        <v>98</v>
      </c>
      <c r="C96" s="11" t="s">
        <v>99</v>
      </c>
      <c r="D96" s="25">
        <f>SUM(D87:D95)</f>
        <v>4737.4928645200052</v>
      </c>
      <c r="E96" s="11"/>
      <c r="F96" s="11"/>
      <c r="G96" s="23"/>
      <c r="H96" s="23"/>
      <c r="I96" s="25">
        <f>SUM(I87:I95)</f>
        <v>4737.4928645200052</v>
      </c>
      <c r="J96" s="11"/>
      <c r="K96" s="11"/>
    </row>
    <row r="97" spans="1:11">
      <c r="A97" s="7"/>
      <c r="B97" s="4"/>
      <c r="C97" s="11"/>
      <c r="D97" s="25"/>
      <c r="E97" s="11"/>
      <c r="F97" s="11"/>
      <c r="G97" s="61"/>
      <c r="H97" s="11"/>
      <c r="I97" s="25"/>
      <c r="J97" s="11"/>
      <c r="K97" s="61"/>
    </row>
    <row r="98" spans="1:11">
      <c r="A98" s="7">
        <f>+A96+1</f>
        <v>31</v>
      </c>
      <c r="B98" s="5" t="s">
        <v>100</v>
      </c>
      <c r="C98" s="64" t="s">
        <v>101</v>
      </c>
      <c r="D98" s="25">
        <f>+'4- Rate Base'!F24</f>
        <v>0</v>
      </c>
      <c r="E98" s="11"/>
      <c r="F98" s="11" t="s">
        <v>24</v>
      </c>
      <c r="G98" s="22">
        <f>+G72</f>
        <v>1</v>
      </c>
      <c r="H98" s="23"/>
      <c r="I98" s="25">
        <f>+G98*D98</f>
        <v>0</v>
      </c>
      <c r="J98" s="11"/>
      <c r="K98" s="11"/>
    </row>
    <row r="99" spans="1:11">
      <c r="A99" s="7"/>
      <c r="B99" s="13"/>
      <c r="C99" s="11"/>
      <c r="D99" s="25"/>
      <c r="E99" s="11"/>
      <c r="F99" s="11"/>
      <c r="G99" s="22"/>
      <c r="H99" s="23"/>
      <c r="I99" s="25"/>
      <c r="J99" s="11"/>
      <c r="K99" s="11"/>
    </row>
    <row r="100" spans="1:11">
      <c r="A100" s="7">
        <f>+A98+1</f>
        <v>32</v>
      </c>
      <c r="B100" s="13" t="s">
        <v>102</v>
      </c>
      <c r="C100" s="11" t="s">
        <v>103</v>
      </c>
      <c r="D100" s="25"/>
      <c r="E100" s="11"/>
      <c r="F100" s="11"/>
      <c r="G100" s="22"/>
      <c r="H100" s="23"/>
      <c r="I100" s="25"/>
      <c r="J100" s="11"/>
      <c r="K100" s="11"/>
    </row>
    <row r="101" spans="1:11">
      <c r="A101" s="7">
        <f t="shared" si="0"/>
        <v>33</v>
      </c>
      <c r="B101" s="13" t="s">
        <v>104</v>
      </c>
      <c r="C101" s="4" t="s">
        <v>105</v>
      </c>
      <c r="D101" s="25">
        <f>(D134-D131)/8</f>
        <v>63326.331873333344</v>
      </c>
      <c r="E101" s="11"/>
      <c r="F101" s="11"/>
      <c r="G101" s="22"/>
      <c r="H101" s="23"/>
      <c r="I101" s="25">
        <f>(I134-I131)/8</f>
        <v>63326.331873333344</v>
      </c>
      <c r="J101" s="13"/>
      <c r="K101" s="61"/>
    </row>
    <row r="102" spans="1:11">
      <c r="A102" s="7">
        <f t="shared" si="0"/>
        <v>34</v>
      </c>
      <c r="B102" s="13" t="s">
        <v>106</v>
      </c>
      <c r="C102" s="64" t="s">
        <v>107</v>
      </c>
      <c r="D102" s="25">
        <f>+'4- Rate Base'!G24</f>
        <v>0</v>
      </c>
      <c r="E102" s="11"/>
      <c r="F102" s="11" t="s">
        <v>24</v>
      </c>
      <c r="G102" s="22">
        <f>+G119</f>
        <v>1</v>
      </c>
      <c r="H102" s="23"/>
      <c r="I102" s="25">
        <f>+G102*D102</f>
        <v>0</v>
      </c>
      <c r="J102" s="11" t="s">
        <v>10</v>
      </c>
      <c r="K102" s="61"/>
    </row>
    <row r="103" spans="1:11" ht="13.5" thickBot="1">
      <c r="A103" s="7">
        <f t="shared" si="0"/>
        <v>35</v>
      </c>
      <c r="B103" s="13" t="s">
        <v>108</v>
      </c>
      <c r="C103" s="23" t="s">
        <v>109</v>
      </c>
      <c r="D103" s="59">
        <f>+'4- Rate Base'!H24</f>
        <v>0</v>
      </c>
      <c r="E103" s="11"/>
      <c r="F103" s="11" t="s">
        <v>110</v>
      </c>
      <c r="G103" s="22">
        <f>+G68</f>
        <v>1</v>
      </c>
      <c r="H103" s="23"/>
      <c r="I103" s="59">
        <f>+G103*D103</f>
        <v>0</v>
      </c>
      <c r="J103" s="11"/>
      <c r="K103" s="61"/>
    </row>
    <row r="104" spans="1:11">
      <c r="A104" s="7">
        <f t="shared" si="0"/>
        <v>36</v>
      </c>
      <c r="B104" s="13" t="s">
        <v>111</v>
      </c>
      <c r="C104" s="13" t="s">
        <v>112</v>
      </c>
      <c r="D104" s="25">
        <f>SUM(D101:D103)</f>
        <v>63326.331873333344</v>
      </c>
      <c r="E104" s="13"/>
      <c r="F104" s="13"/>
      <c r="G104" s="1"/>
      <c r="H104" s="1"/>
      <c r="I104" s="25">
        <f>I101+I102+I103</f>
        <v>63326.331873333344</v>
      </c>
      <c r="J104" s="13"/>
      <c r="K104" s="13"/>
    </row>
    <row r="105" spans="1:11" ht="13.5" thickBot="1">
      <c r="A105" s="7"/>
      <c r="B105" s="4"/>
      <c r="C105" s="11"/>
      <c r="D105" s="59"/>
      <c r="E105" s="11"/>
      <c r="F105" s="11"/>
      <c r="G105" s="11"/>
      <c r="H105" s="11"/>
      <c r="I105" s="59"/>
      <c r="J105" s="11"/>
      <c r="K105" s="11"/>
    </row>
    <row r="106" spans="1:11" ht="13.5" thickBot="1">
      <c r="A106" s="7">
        <f>+A104+1</f>
        <v>37</v>
      </c>
      <c r="B106" s="13" t="s">
        <v>113</v>
      </c>
      <c r="C106" s="11" t="s">
        <v>114</v>
      </c>
      <c r="D106" s="65">
        <f>+D104+D98+D96+D84</f>
        <v>179511.12572354494</v>
      </c>
      <c r="E106" s="23"/>
      <c r="F106" s="23"/>
      <c r="G106" s="66"/>
      <c r="H106" s="23"/>
      <c r="I106" s="65">
        <f>+I104+I98+I96+I84</f>
        <v>179511.12572354494</v>
      </c>
      <c r="J106" s="11"/>
      <c r="K106" s="61"/>
    </row>
    <row r="107" spans="1:11" ht="13.5" thickTop="1">
      <c r="A107" s="7"/>
      <c r="B107" s="13"/>
      <c r="C107" s="11"/>
      <c r="D107" s="23"/>
      <c r="E107" s="23"/>
      <c r="F107" s="23"/>
      <c r="G107" s="66"/>
      <c r="H107" s="23"/>
      <c r="I107" s="23"/>
      <c r="J107" s="11"/>
      <c r="K107" s="61"/>
    </row>
    <row r="108" spans="1:11">
      <c r="A108" s="7"/>
      <c r="B108" s="13"/>
      <c r="C108" s="11"/>
      <c r="D108" s="23"/>
      <c r="E108" s="23"/>
      <c r="F108" s="23"/>
      <c r="G108" s="66"/>
      <c r="H108" s="23"/>
      <c r="I108" s="23"/>
      <c r="J108" s="11"/>
      <c r="K108" s="61"/>
    </row>
    <row r="109" spans="1:11">
      <c r="A109" s="7"/>
      <c r="B109" s="13"/>
      <c r="C109" s="11"/>
      <c r="D109" s="11"/>
      <c r="E109" s="11"/>
      <c r="F109" s="11"/>
      <c r="G109" s="11"/>
      <c r="H109" s="11"/>
      <c r="I109" s="11"/>
      <c r="J109" s="11"/>
      <c r="K109" s="67" t="s">
        <v>115</v>
      </c>
    </row>
    <row r="110" spans="1:11">
      <c r="A110" s="7"/>
      <c r="B110" s="13"/>
      <c r="C110" s="11"/>
      <c r="D110" s="11"/>
      <c r="E110" s="11"/>
      <c r="F110" s="11"/>
      <c r="G110" s="11"/>
      <c r="H110" s="11"/>
      <c r="I110" s="11"/>
      <c r="J110" s="11"/>
      <c r="K110" s="67"/>
    </row>
    <row r="111" spans="1:11">
      <c r="A111" s="7"/>
      <c r="B111" s="13" t="s">
        <v>2</v>
      </c>
      <c r="C111" s="11"/>
      <c r="D111" s="12" t="s">
        <v>4</v>
      </c>
      <c r="E111" s="11"/>
      <c r="F111" s="11"/>
      <c r="G111" s="11"/>
      <c r="H111" s="11"/>
      <c r="I111" s="1"/>
      <c r="J111" s="11"/>
      <c r="K111" s="67" t="str">
        <f>K3</f>
        <v>For  the 12 months ended 12/31/2021</v>
      </c>
    </row>
    <row r="112" spans="1:11">
      <c r="A112" s="7"/>
      <c r="B112" s="13"/>
      <c r="C112" s="11"/>
      <c r="D112" s="12" t="s">
        <v>5</v>
      </c>
      <c r="E112" s="11"/>
      <c r="F112" s="11"/>
      <c r="G112" s="11"/>
      <c r="H112" s="11"/>
      <c r="I112" s="11"/>
      <c r="J112" s="11"/>
      <c r="K112" s="11"/>
    </row>
    <row r="113" spans="1:11">
      <c r="A113" s="7"/>
      <c r="B113" s="4"/>
      <c r="C113" s="11"/>
      <c r="D113" s="50" t="str">
        <f>D5</f>
        <v>NextEra Energy Transmission MidAtlantic Indiana, Inc.</v>
      </c>
      <c r="E113" s="11"/>
      <c r="F113" s="11"/>
      <c r="G113" s="11"/>
      <c r="H113" s="11"/>
      <c r="I113" s="11"/>
      <c r="J113" s="11"/>
      <c r="K113" s="11"/>
    </row>
    <row r="114" spans="1:11">
      <c r="A114" s="543"/>
      <c r="B114" s="543"/>
      <c r="C114" s="543"/>
      <c r="D114" s="543"/>
      <c r="E114" s="543"/>
      <c r="F114" s="543"/>
      <c r="G114" s="543"/>
      <c r="H114" s="543"/>
      <c r="I114" s="543"/>
      <c r="J114" s="543"/>
      <c r="K114" s="543"/>
    </row>
    <row r="115" spans="1:11">
      <c r="A115" s="7"/>
      <c r="B115" s="18" t="s">
        <v>7</v>
      </c>
      <c r="C115" s="18" t="s">
        <v>8</v>
      </c>
      <c r="D115" s="18" t="s">
        <v>9</v>
      </c>
      <c r="E115" s="11" t="s">
        <v>10</v>
      </c>
      <c r="F115" s="11"/>
      <c r="G115" s="17" t="s">
        <v>11</v>
      </c>
      <c r="H115" s="11"/>
      <c r="I115" s="17" t="s">
        <v>12</v>
      </c>
      <c r="J115" s="11"/>
      <c r="K115" s="11"/>
    </row>
    <row r="116" spans="1:11">
      <c r="A116" s="7" t="s">
        <v>13</v>
      </c>
      <c r="B116" s="13"/>
      <c r="C116" s="51"/>
      <c r="D116" s="11"/>
      <c r="E116" s="11"/>
      <c r="F116" s="11"/>
      <c r="G116" s="7"/>
      <c r="H116" s="11"/>
      <c r="I116" s="52" t="s">
        <v>40</v>
      </c>
      <c r="J116" s="11"/>
      <c r="K116" s="52"/>
    </row>
    <row r="117" spans="1:11" ht="13.5" thickBot="1">
      <c r="A117" s="19" t="s">
        <v>15</v>
      </c>
      <c r="B117" s="13"/>
      <c r="C117" s="53" t="s">
        <v>41</v>
      </c>
      <c r="D117" s="52" t="s">
        <v>42</v>
      </c>
      <c r="E117" s="54"/>
      <c r="F117" s="52" t="s">
        <v>43</v>
      </c>
      <c r="G117" s="4"/>
      <c r="H117" s="54"/>
      <c r="I117" s="7" t="s">
        <v>44</v>
      </c>
      <c r="J117" s="11"/>
      <c r="K117" s="52"/>
    </row>
    <row r="118" spans="1:11">
      <c r="A118" s="7"/>
      <c r="B118" s="13" t="s">
        <v>116</v>
      </c>
      <c r="C118" s="11"/>
      <c r="D118" s="11"/>
      <c r="E118" s="11"/>
      <c r="F118" s="11"/>
      <c r="G118" s="11"/>
      <c r="H118" s="11"/>
      <c r="I118" s="11"/>
      <c r="J118" s="11"/>
      <c r="K118" s="11"/>
    </row>
    <row r="119" spans="1:11">
      <c r="A119" s="7">
        <v>1</v>
      </c>
      <c r="B119" s="13" t="s">
        <v>117</v>
      </c>
      <c r="C119" s="11" t="s">
        <v>118</v>
      </c>
      <c r="D119" s="25">
        <f>'5-P3 Support'!C24</f>
        <v>131893.33333333334</v>
      </c>
      <c r="E119" s="11"/>
      <c r="F119" s="11" t="s">
        <v>24</v>
      </c>
      <c r="G119" s="22">
        <f>+I191</f>
        <v>1</v>
      </c>
      <c r="H119" s="23"/>
      <c r="I119" s="25">
        <f t="shared" ref="I119:I129" si="1">+G119*D119</f>
        <v>131893.33333333334</v>
      </c>
      <c r="J119" s="13"/>
      <c r="K119" s="11"/>
    </row>
    <row r="120" spans="1:11">
      <c r="A120" s="34">
        <f>+A119+1</f>
        <v>2</v>
      </c>
      <c r="B120" s="35" t="s">
        <v>119</v>
      </c>
      <c r="C120" s="11" t="s">
        <v>120</v>
      </c>
      <c r="D120" s="25">
        <f>'5-P3 Support'!D24</f>
        <v>0</v>
      </c>
      <c r="E120" s="38"/>
      <c r="F120" s="38" t="str">
        <f>+F119</f>
        <v>TP</v>
      </c>
      <c r="G120" s="22">
        <f>+G119</f>
        <v>1</v>
      </c>
      <c r="H120" s="38"/>
      <c r="I120" s="25">
        <f>+G120*D120</f>
        <v>0</v>
      </c>
      <c r="K120" s="11"/>
    </row>
    <row r="121" spans="1:11">
      <c r="A121" s="34">
        <f t="shared" ref="A121:A167" si="2">+A120+1</f>
        <v>3</v>
      </c>
      <c r="B121" s="13" t="s">
        <v>121</v>
      </c>
      <c r="C121" s="11" t="s">
        <v>122</v>
      </c>
      <c r="D121" s="25">
        <f>'5-P3 Support'!E24</f>
        <v>0</v>
      </c>
      <c r="E121" s="11"/>
      <c r="F121" s="11" t="str">
        <f>+F120</f>
        <v>TP</v>
      </c>
      <c r="G121" s="22">
        <f>+G120</f>
        <v>1</v>
      </c>
      <c r="H121" s="23"/>
      <c r="I121" s="25">
        <f t="shared" si="1"/>
        <v>0</v>
      </c>
      <c r="J121" s="13"/>
      <c r="K121" s="11"/>
    </row>
    <row r="122" spans="1:11">
      <c r="A122" s="34">
        <f t="shared" si="2"/>
        <v>4</v>
      </c>
      <c r="B122" s="13" t="s">
        <v>123</v>
      </c>
      <c r="C122" s="11" t="s">
        <v>124</v>
      </c>
      <c r="D122" s="25">
        <f>'5-P3 Support'!F24</f>
        <v>374717.32165333338</v>
      </c>
      <c r="E122" s="11"/>
      <c r="F122" s="11" t="s">
        <v>56</v>
      </c>
      <c r="G122" s="22">
        <f>+G74</f>
        <v>1</v>
      </c>
      <c r="H122" s="23"/>
      <c r="I122" s="25">
        <f t="shared" si="1"/>
        <v>374717.32165333338</v>
      </c>
      <c r="J122" s="11"/>
      <c r="K122" s="11" t="s">
        <v>10</v>
      </c>
    </row>
    <row r="123" spans="1:11">
      <c r="A123" s="34">
        <f t="shared" si="2"/>
        <v>5</v>
      </c>
      <c r="B123" s="13" t="s">
        <v>125</v>
      </c>
      <c r="C123" s="11" t="s">
        <v>126</v>
      </c>
      <c r="D123" s="25">
        <f>'5-P3 Support'!G24</f>
        <v>0</v>
      </c>
      <c r="E123" s="11"/>
      <c r="F123" s="11" t="s">
        <v>56</v>
      </c>
      <c r="G123" s="22">
        <f>+G122</f>
        <v>1</v>
      </c>
      <c r="H123" s="23"/>
      <c r="I123" s="25">
        <f t="shared" si="1"/>
        <v>0</v>
      </c>
      <c r="J123" s="11"/>
      <c r="K123" s="11"/>
    </row>
    <row r="124" spans="1:11">
      <c r="A124" s="34">
        <f t="shared" si="2"/>
        <v>6</v>
      </c>
      <c r="B124" s="13" t="s">
        <v>127</v>
      </c>
      <c r="C124" s="11" t="s">
        <v>128</v>
      </c>
      <c r="D124" s="25">
        <f>'5-P3 Support'!H24</f>
        <v>0</v>
      </c>
      <c r="E124" s="11"/>
      <c r="F124" s="11" t="s">
        <v>56</v>
      </c>
      <c r="G124" s="22">
        <f>+G123</f>
        <v>1</v>
      </c>
      <c r="H124" s="23"/>
      <c r="I124" s="25">
        <f t="shared" si="1"/>
        <v>0</v>
      </c>
      <c r="J124" s="11"/>
      <c r="K124" s="11"/>
    </row>
    <row r="125" spans="1:11" s="70" customFormat="1">
      <c r="A125" s="34" t="s">
        <v>129</v>
      </c>
      <c r="B125" s="13" t="s">
        <v>130</v>
      </c>
      <c r="C125" s="11" t="s">
        <v>131</v>
      </c>
      <c r="D125" s="68">
        <f>+'7 - PBOP'!E16</f>
        <v>0</v>
      </c>
      <c r="E125" s="69"/>
      <c r="F125" s="11" t="s">
        <v>56</v>
      </c>
      <c r="G125" s="22">
        <f>+G124</f>
        <v>1</v>
      </c>
      <c r="H125" s="23"/>
      <c r="I125" s="25">
        <f>+G125*D125</f>
        <v>0</v>
      </c>
      <c r="J125" s="69"/>
      <c r="K125" s="69"/>
    </row>
    <row r="126" spans="1:11">
      <c r="A126" s="34">
        <f>+A124+1</f>
        <v>7</v>
      </c>
      <c r="B126" s="13" t="s">
        <v>132</v>
      </c>
      <c r="C126" s="11" t="s">
        <v>133</v>
      </c>
      <c r="D126" s="25">
        <f>'5-P3 Support'!I24</f>
        <v>0</v>
      </c>
      <c r="E126" s="11"/>
      <c r="F126" s="71" t="s">
        <v>24</v>
      </c>
      <c r="G126" s="22">
        <f>+G119</f>
        <v>1</v>
      </c>
      <c r="H126" s="23"/>
      <c r="I126" s="25">
        <f t="shared" si="1"/>
        <v>0</v>
      </c>
      <c r="J126" s="11"/>
      <c r="K126" s="11"/>
    </row>
    <row r="127" spans="1:11" s="70" customFormat="1">
      <c r="A127" s="34" t="s">
        <v>134</v>
      </c>
      <c r="B127" s="13" t="s">
        <v>135</v>
      </c>
      <c r="C127" s="11" t="s">
        <v>136</v>
      </c>
      <c r="D127" s="68">
        <f>+'7 - PBOP'!E13</f>
        <v>0</v>
      </c>
      <c r="E127" s="69"/>
      <c r="F127" s="11" t="s">
        <v>56</v>
      </c>
      <c r="G127" s="22">
        <f>+G125</f>
        <v>1</v>
      </c>
      <c r="H127" s="23"/>
      <c r="I127" s="25">
        <f>+G127*D127</f>
        <v>0</v>
      </c>
      <c r="J127" s="69"/>
      <c r="K127" s="69"/>
    </row>
    <row r="128" spans="1:11">
      <c r="A128" s="34">
        <f>+A126+1</f>
        <v>8</v>
      </c>
      <c r="B128" s="13" t="s">
        <v>57</v>
      </c>
      <c r="C128" s="11" t="s">
        <v>137</v>
      </c>
      <c r="D128" s="72">
        <v>0</v>
      </c>
      <c r="E128" s="11"/>
      <c r="F128" s="11" t="s">
        <v>59</v>
      </c>
      <c r="G128" s="22">
        <f>+G75</f>
        <v>1</v>
      </c>
      <c r="H128" s="23"/>
      <c r="I128" s="25">
        <f t="shared" si="1"/>
        <v>0</v>
      </c>
      <c r="J128" s="11"/>
      <c r="K128" s="11"/>
    </row>
    <row r="129" spans="1:11">
      <c r="A129" s="34">
        <f t="shared" si="2"/>
        <v>9</v>
      </c>
      <c r="B129" s="13" t="s">
        <v>138</v>
      </c>
      <c r="C129" s="11" t="s">
        <v>139</v>
      </c>
      <c r="D129" s="25">
        <f>'5-P3 Support'!J24</f>
        <v>0</v>
      </c>
      <c r="E129" s="11"/>
      <c r="F129" s="11" t="str">
        <f>+F131</f>
        <v>DA</v>
      </c>
      <c r="G129" s="73">
        <v>1</v>
      </c>
      <c r="H129" s="23"/>
      <c r="I129" s="25">
        <f t="shared" si="1"/>
        <v>0</v>
      </c>
      <c r="J129" s="11"/>
      <c r="K129" s="11"/>
    </row>
    <row r="130" spans="1:11">
      <c r="A130" s="34">
        <f t="shared" si="2"/>
        <v>10</v>
      </c>
      <c r="B130" s="35" t="s">
        <v>140</v>
      </c>
      <c r="C130" s="38"/>
      <c r="D130" s="25"/>
      <c r="E130" s="38"/>
      <c r="F130" s="38"/>
      <c r="G130" s="73"/>
      <c r="H130" s="38"/>
      <c r="I130" s="25"/>
      <c r="K130" s="11"/>
    </row>
    <row r="131" spans="1:11">
      <c r="A131" s="34">
        <f t="shared" si="2"/>
        <v>11</v>
      </c>
      <c r="B131" s="35" t="s">
        <v>141</v>
      </c>
      <c r="C131" s="38" t="s">
        <v>142</v>
      </c>
      <c r="D131" s="25">
        <f>'5-P3 Support'!K24</f>
        <v>0</v>
      </c>
      <c r="E131" s="38"/>
      <c r="F131" s="38" t="s">
        <v>37</v>
      </c>
      <c r="G131" s="73">
        <v>1</v>
      </c>
      <c r="H131" s="38"/>
      <c r="I131" s="25">
        <f>+G131*D131</f>
        <v>0</v>
      </c>
      <c r="K131" s="11"/>
    </row>
    <row r="132" spans="1:11">
      <c r="A132" s="34">
        <f t="shared" si="2"/>
        <v>12</v>
      </c>
      <c r="B132" s="35" t="s">
        <v>143</v>
      </c>
      <c r="C132" s="11" t="s">
        <v>144</v>
      </c>
      <c r="D132" s="25">
        <f>'5-P3 Support'!L24</f>
        <v>0</v>
      </c>
      <c r="E132" s="38"/>
      <c r="F132" s="38" t="s">
        <v>24</v>
      </c>
      <c r="G132" s="73">
        <f>+G119</f>
        <v>1</v>
      </c>
      <c r="H132" s="38"/>
      <c r="I132" s="25">
        <f>+G132*D132</f>
        <v>0</v>
      </c>
      <c r="K132" s="11"/>
    </row>
    <row r="133" spans="1:11" ht="13.5" thickBot="1">
      <c r="A133" s="34">
        <f t="shared" si="2"/>
        <v>13</v>
      </c>
      <c r="B133" s="35" t="s">
        <v>145</v>
      </c>
      <c r="C133" s="38" t="s">
        <v>146</v>
      </c>
      <c r="D133" s="59">
        <f>+D131+D132</f>
        <v>0</v>
      </c>
      <c r="E133" s="38"/>
      <c r="F133" s="38"/>
      <c r="G133" s="73"/>
      <c r="H133" s="38"/>
      <c r="I133" s="59"/>
      <c r="K133" s="11"/>
    </row>
    <row r="134" spans="1:11">
      <c r="A134" s="34">
        <f t="shared" si="2"/>
        <v>14</v>
      </c>
      <c r="B134" s="74" t="s">
        <v>147</v>
      </c>
      <c r="C134" s="75" t="s">
        <v>148</v>
      </c>
      <c r="D134" s="25">
        <f>+D119-D121-D120+D122-D123-D124-D125+D126+D127+D128+D129+D133</f>
        <v>506610.65498666675</v>
      </c>
      <c r="E134" s="25"/>
      <c r="F134" s="25"/>
      <c r="G134" s="25"/>
      <c r="H134" s="25"/>
      <c r="I134" s="25">
        <f>+I119-I121-I120+I122-I123-I124-I125+I126+I127+I128+I129+I133</f>
        <v>506610.65498666675</v>
      </c>
      <c r="J134" s="11"/>
      <c r="K134" s="11"/>
    </row>
    <row r="135" spans="1:11">
      <c r="A135" s="34"/>
      <c r="B135" s="4"/>
      <c r="C135" s="11"/>
      <c r="D135" s="25"/>
      <c r="E135" s="25"/>
      <c r="F135" s="25"/>
      <c r="G135" s="25"/>
      <c r="H135" s="25"/>
      <c r="I135" s="25"/>
      <c r="J135" s="11"/>
      <c r="K135" s="11"/>
    </row>
    <row r="136" spans="1:11">
      <c r="A136" s="34">
        <f>+A134+1</f>
        <v>15</v>
      </c>
      <c r="B136" s="13" t="s">
        <v>149</v>
      </c>
      <c r="C136" s="11"/>
      <c r="D136" s="25"/>
      <c r="E136" s="25"/>
      <c r="F136" s="25"/>
      <c r="G136" s="25"/>
      <c r="H136" s="25"/>
      <c r="I136" s="25"/>
      <c r="J136" s="11"/>
      <c r="K136" s="11"/>
    </row>
    <row r="137" spans="1:11">
      <c r="A137" s="34">
        <f t="shared" si="2"/>
        <v>16</v>
      </c>
      <c r="B137" s="13" t="s">
        <v>117</v>
      </c>
      <c r="C137" s="64" t="s">
        <v>150</v>
      </c>
      <c r="D137" s="25">
        <f>'5-P3 Support'!M24</f>
        <v>57702.066041333324</v>
      </c>
      <c r="E137" s="25"/>
      <c r="F137" s="25" t="s">
        <v>24</v>
      </c>
      <c r="G137" s="25">
        <f>+G98</f>
        <v>1</v>
      </c>
      <c r="H137" s="25"/>
      <c r="I137" s="25">
        <f>+G137*D137</f>
        <v>57702.066041333324</v>
      </c>
      <c r="J137" s="11"/>
      <c r="K137" s="61"/>
    </row>
    <row r="138" spans="1:11">
      <c r="A138" s="34">
        <f t="shared" si="2"/>
        <v>17</v>
      </c>
      <c r="B138" s="76" t="s">
        <v>54</v>
      </c>
      <c r="C138" s="64" t="s">
        <v>151</v>
      </c>
      <c r="D138" s="25">
        <f>'5-P3 Support'!C45</f>
        <v>0</v>
      </c>
      <c r="E138" s="25"/>
      <c r="F138" s="25" t="s">
        <v>56</v>
      </c>
      <c r="G138" s="25">
        <f>+G122</f>
        <v>1</v>
      </c>
      <c r="H138" s="25"/>
      <c r="I138" s="25">
        <f>+G138*D138</f>
        <v>0</v>
      </c>
      <c r="J138" s="11"/>
      <c r="K138" s="61"/>
    </row>
    <row r="139" spans="1:11">
      <c r="A139" s="34">
        <f t="shared" si="2"/>
        <v>18</v>
      </c>
      <c r="B139" s="13" t="s">
        <v>57</v>
      </c>
      <c r="C139" s="64" t="s">
        <v>152</v>
      </c>
      <c r="D139" s="56">
        <v>0</v>
      </c>
      <c r="E139" s="25"/>
      <c r="F139" s="25" t="s">
        <v>59</v>
      </c>
      <c r="G139" s="25">
        <f>+G128</f>
        <v>1</v>
      </c>
      <c r="H139" s="25"/>
      <c r="I139" s="25">
        <f>+G139*D139</f>
        <v>0</v>
      </c>
      <c r="J139" s="11"/>
      <c r="K139" s="61"/>
    </row>
    <row r="140" spans="1:11" ht="13.5" thickBot="1">
      <c r="A140" s="34">
        <f t="shared" si="2"/>
        <v>19</v>
      </c>
      <c r="B140" s="35" t="s">
        <v>153</v>
      </c>
      <c r="C140" s="11" t="s">
        <v>154</v>
      </c>
      <c r="D140" s="59">
        <f>'5-P3 Support'!D45</f>
        <v>0</v>
      </c>
      <c r="E140" s="25"/>
      <c r="F140" s="25" t="s">
        <v>37</v>
      </c>
      <c r="G140" s="73">
        <v>1</v>
      </c>
      <c r="H140" s="25"/>
      <c r="I140" s="59">
        <f>+G140*D140</f>
        <v>0</v>
      </c>
      <c r="J140" s="11"/>
      <c r="K140" s="61"/>
    </row>
    <row r="141" spans="1:11">
      <c r="A141" s="34">
        <f t="shared" si="2"/>
        <v>20</v>
      </c>
      <c r="B141" s="13" t="s">
        <v>155</v>
      </c>
      <c r="C141" s="11" t="s">
        <v>156</v>
      </c>
      <c r="D141" s="25">
        <f>SUM(D137:D140)</f>
        <v>57702.066041333324</v>
      </c>
      <c r="E141" s="25"/>
      <c r="F141" s="25"/>
      <c r="G141" s="25"/>
      <c r="H141" s="25"/>
      <c r="I141" s="25">
        <f>SUM(I137:I140)</f>
        <v>57702.066041333324</v>
      </c>
      <c r="J141" s="11"/>
      <c r="K141" s="11"/>
    </row>
    <row r="142" spans="1:11">
      <c r="A142" s="34"/>
      <c r="B142" s="13"/>
      <c r="C142" s="11"/>
      <c r="D142" s="25"/>
      <c r="E142" s="25"/>
      <c r="F142" s="25"/>
      <c r="G142" s="25"/>
      <c r="H142" s="25"/>
      <c r="I142" s="25"/>
      <c r="J142" s="11"/>
      <c r="K142" s="11"/>
    </row>
    <row r="143" spans="1:11">
      <c r="A143" s="34">
        <f>+A141+1</f>
        <v>21</v>
      </c>
      <c r="B143" s="13" t="s">
        <v>157</v>
      </c>
      <c r="C143" s="4" t="s">
        <v>158</v>
      </c>
      <c r="D143" s="25"/>
      <c r="E143" s="25"/>
      <c r="F143" s="25"/>
      <c r="G143" s="25"/>
      <c r="H143" s="25"/>
      <c r="I143" s="25"/>
      <c r="J143" s="11"/>
      <c r="K143" s="11"/>
    </row>
    <row r="144" spans="1:11">
      <c r="A144" s="34">
        <f t="shared" si="2"/>
        <v>22</v>
      </c>
      <c r="B144" s="13" t="s">
        <v>159</v>
      </c>
      <c r="C144" s="4"/>
      <c r="D144" s="25"/>
      <c r="E144" s="25"/>
      <c r="F144" s="25"/>
      <c r="G144" s="25"/>
      <c r="H144" s="25"/>
      <c r="I144" s="25"/>
      <c r="J144" s="11"/>
      <c r="K144" s="61"/>
    </row>
    <row r="145" spans="1:12">
      <c r="A145" s="34">
        <f t="shared" si="2"/>
        <v>23</v>
      </c>
      <c r="B145" s="13" t="s">
        <v>160</v>
      </c>
      <c r="C145" s="11" t="s">
        <v>161</v>
      </c>
      <c r="D145" s="25">
        <f>'5-P3 Support'!E45</f>
        <v>0</v>
      </c>
      <c r="E145" s="25"/>
      <c r="F145" s="25" t="s">
        <v>56</v>
      </c>
      <c r="G145" s="25">
        <f>+G138</f>
        <v>1</v>
      </c>
      <c r="H145" s="25"/>
      <c r="I145" s="25">
        <f>+G145*D145</f>
        <v>0</v>
      </c>
      <c r="J145" s="11"/>
      <c r="K145" s="61"/>
    </row>
    <row r="146" spans="1:12">
      <c r="A146" s="34">
        <f t="shared" si="2"/>
        <v>24</v>
      </c>
      <c r="B146" s="13" t="s">
        <v>162</v>
      </c>
      <c r="C146" s="11" t="s">
        <v>163</v>
      </c>
      <c r="D146" s="25">
        <f>'5-P3 Support'!F45</f>
        <v>0</v>
      </c>
      <c r="E146" s="25"/>
      <c r="F146" s="25" t="s">
        <v>56</v>
      </c>
      <c r="G146" s="25">
        <f>+G145</f>
        <v>1</v>
      </c>
      <c r="H146" s="25"/>
      <c r="I146" s="25">
        <f>+G146*D146</f>
        <v>0</v>
      </c>
      <c r="J146" s="11"/>
      <c r="K146" s="61"/>
    </row>
    <row r="147" spans="1:12">
      <c r="A147" s="34">
        <f t="shared" si="2"/>
        <v>25</v>
      </c>
      <c r="B147" s="13" t="s">
        <v>164</v>
      </c>
      <c r="C147" s="11" t="s">
        <v>10</v>
      </c>
      <c r="D147" s="25"/>
      <c r="E147" s="25"/>
      <c r="F147" s="25"/>
      <c r="G147" s="25"/>
      <c r="H147" s="25"/>
      <c r="I147" s="25"/>
      <c r="J147" s="11"/>
      <c r="K147" s="61"/>
    </row>
    <row r="148" spans="1:12">
      <c r="A148" s="34">
        <f t="shared" si="2"/>
        <v>26</v>
      </c>
      <c r="B148" s="13" t="s">
        <v>165</v>
      </c>
      <c r="C148" s="11" t="s">
        <v>166</v>
      </c>
      <c r="D148" s="25">
        <f>'5-P3 Support'!G45</f>
        <v>2459.4036529005571</v>
      </c>
      <c r="E148" s="25"/>
      <c r="F148" s="25" t="s">
        <v>110</v>
      </c>
      <c r="G148" s="25">
        <f>+G68</f>
        <v>1</v>
      </c>
      <c r="H148" s="25"/>
      <c r="I148" s="25">
        <f>+G148*D148</f>
        <v>2459.4036529005571</v>
      </c>
      <c r="J148" s="11"/>
      <c r="K148" s="61"/>
    </row>
    <row r="149" spans="1:12">
      <c r="A149" s="34">
        <f t="shared" si="2"/>
        <v>27</v>
      </c>
      <c r="B149" s="13" t="s">
        <v>167</v>
      </c>
      <c r="C149" s="11" t="s">
        <v>168</v>
      </c>
      <c r="D149" s="25">
        <f>'5-P3 Support'!H45</f>
        <v>0</v>
      </c>
      <c r="E149" s="25"/>
      <c r="F149" s="25" t="s">
        <v>49</v>
      </c>
      <c r="G149" s="68" t="s">
        <v>79</v>
      </c>
      <c r="H149" s="25"/>
      <c r="I149" s="25">
        <v>0</v>
      </c>
      <c r="J149" s="11"/>
      <c r="K149" s="61"/>
    </row>
    <row r="150" spans="1:12">
      <c r="A150" s="34">
        <f t="shared" si="2"/>
        <v>28</v>
      </c>
      <c r="B150" s="13" t="s">
        <v>169</v>
      </c>
      <c r="C150" s="11" t="s">
        <v>170</v>
      </c>
      <c r="D150" s="25">
        <f>'5-P3 Support'!I45</f>
        <v>0</v>
      </c>
      <c r="E150" s="25"/>
      <c r="F150" s="25" t="s">
        <v>110</v>
      </c>
      <c r="G150" s="25">
        <f>+G148</f>
        <v>1</v>
      </c>
      <c r="H150" s="25"/>
      <c r="I150" s="25">
        <f>+G150*D150</f>
        <v>0</v>
      </c>
      <c r="J150" s="11"/>
      <c r="K150" s="61"/>
    </row>
    <row r="151" spans="1:12" ht="13.5" thickBot="1">
      <c r="A151" s="34">
        <f t="shared" si="2"/>
        <v>29</v>
      </c>
      <c r="B151" s="13" t="s">
        <v>171</v>
      </c>
      <c r="C151" s="11" t="s">
        <v>172</v>
      </c>
      <c r="D151" s="59">
        <f>'5-P3 Support'!J45</f>
        <v>0</v>
      </c>
      <c r="E151" s="25"/>
      <c r="F151" s="25" t="s">
        <v>110</v>
      </c>
      <c r="G151" s="25">
        <f>+G148</f>
        <v>1</v>
      </c>
      <c r="H151" s="25"/>
      <c r="I151" s="59">
        <f>+G151*D151</f>
        <v>0</v>
      </c>
      <c r="J151" s="11"/>
      <c r="K151" s="61"/>
    </row>
    <row r="152" spans="1:12">
      <c r="A152" s="34">
        <f t="shared" si="2"/>
        <v>30</v>
      </c>
      <c r="B152" s="13" t="s">
        <v>173</v>
      </c>
      <c r="C152" s="11" t="s">
        <v>174</v>
      </c>
      <c r="D152" s="25">
        <f>SUM(D145:D151)</f>
        <v>2459.4036529005571</v>
      </c>
      <c r="E152" s="25"/>
      <c r="F152" s="25"/>
      <c r="G152" s="25"/>
      <c r="H152" s="25"/>
      <c r="I152" s="25">
        <f>SUM(I145:I151)</f>
        <v>2459.4036529005571</v>
      </c>
      <c r="J152" s="11"/>
      <c r="K152" s="11"/>
    </row>
    <row r="153" spans="1:12">
      <c r="A153" s="34"/>
      <c r="B153" s="13"/>
      <c r="C153" s="11"/>
      <c r="D153" s="11"/>
      <c r="E153" s="11"/>
      <c r="F153" s="11"/>
      <c r="G153" s="29"/>
      <c r="H153" s="11"/>
      <c r="I153" s="11"/>
      <c r="J153" s="11"/>
      <c r="L153" s="25"/>
    </row>
    <row r="154" spans="1:12">
      <c r="A154" s="34">
        <f>+A152+1</f>
        <v>31</v>
      </c>
      <c r="B154" s="13" t="s">
        <v>175</v>
      </c>
      <c r="C154" s="11" t="str">
        <f>"(Note "&amp;A$251&amp;")"</f>
        <v>(Note G)</v>
      </c>
      <c r="D154" s="11"/>
      <c r="E154" s="11"/>
      <c r="F154" s="4"/>
      <c r="G154" s="77"/>
      <c r="H154" s="11"/>
      <c r="I154" s="4"/>
      <c r="J154" s="11"/>
      <c r="L154" s="25"/>
    </row>
    <row r="155" spans="1:12">
      <c r="A155" s="34">
        <f t="shared" si="2"/>
        <v>32</v>
      </c>
      <c r="B155" s="78" t="s">
        <v>176</v>
      </c>
      <c r="C155" s="11" t="s">
        <v>177</v>
      </c>
      <c r="D155" s="79">
        <f>IF(D252&gt;0,1-(((1-D253)*(1-D252))/(1-D253*D252*D254)),0)</f>
        <v>0.251475</v>
      </c>
      <c r="E155" s="11"/>
      <c r="F155" s="4"/>
      <c r="G155" s="77"/>
      <c r="H155" s="11"/>
      <c r="I155" s="4"/>
      <c r="J155" s="11"/>
      <c r="L155" s="25"/>
    </row>
    <row r="156" spans="1:12">
      <c r="A156" s="34">
        <f t="shared" si="2"/>
        <v>33</v>
      </c>
      <c r="B156" s="4" t="s">
        <v>178</v>
      </c>
      <c r="C156" s="11" t="s">
        <v>179</v>
      </c>
      <c r="D156" s="79">
        <f>IF(I210&gt;0,(D155/(1-D155))*(1-I210/I213),0)</f>
        <v>0.2694444123734504</v>
      </c>
      <c r="E156" s="11"/>
      <c r="F156" s="4"/>
      <c r="G156" s="77"/>
      <c r="H156" s="11"/>
      <c r="I156" s="4"/>
      <c r="J156" s="11"/>
      <c r="K156" s="4"/>
    </row>
    <row r="157" spans="1:12">
      <c r="A157" s="34">
        <f t="shared" si="2"/>
        <v>34</v>
      </c>
      <c r="B157" s="13" t="s">
        <v>180</v>
      </c>
      <c r="C157" s="11" t="s">
        <v>181</v>
      </c>
      <c r="D157" s="11"/>
      <c r="E157" s="11"/>
      <c r="F157" s="4"/>
      <c r="G157" s="77"/>
      <c r="H157" s="11"/>
      <c r="I157" s="4"/>
      <c r="J157" s="11"/>
      <c r="K157" s="4"/>
    </row>
    <row r="158" spans="1:12">
      <c r="A158" s="34">
        <f t="shared" si="2"/>
        <v>35</v>
      </c>
      <c r="B158" s="13"/>
      <c r="D158" s="11"/>
      <c r="E158" s="11"/>
      <c r="F158" s="4"/>
      <c r="G158" s="77"/>
      <c r="H158" s="11"/>
      <c r="I158" s="4"/>
      <c r="J158" s="11"/>
      <c r="K158" s="4"/>
    </row>
    <row r="159" spans="1:12">
      <c r="A159" s="34">
        <f>+A158+1</f>
        <v>36</v>
      </c>
      <c r="B159" s="78" t="str">
        <f>"      1 / (1 - T)  =  (T from line "&amp;A155&amp;")"</f>
        <v xml:space="preserve">      1 / (1 - T)  =  (T from line 32)</v>
      </c>
      <c r="C159" s="11"/>
      <c r="D159" s="68">
        <f>IF(D132=0,0,1/(1-D155))</f>
        <v>0</v>
      </c>
      <c r="E159" s="11"/>
      <c r="F159" s="4"/>
      <c r="G159" s="77"/>
      <c r="H159" s="11"/>
      <c r="I159" s="25"/>
      <c r="J159" s="11"/>
      <c r="K159" s="4"/>
    </row>
    <row r="160" spans="1:12">
      <c r="A160" s="34">
        <f t="shared" si="2"/>
        <v>37</v>
      </c>
      <c r="B160" s="13" t="s">
        <v>182</v>
      </c>
      <c r="C160" s="11" t="s">
        <v>183</v>
      </c>
      <c r="D160" s="25">
        <f>-'5-P3 Support'!K45</f>
        <v>0</v>
      </c>
      <c r="E160" s="11"/>
      <c r="F160" s="4"/>
      <c r="G160" s="77"/>
      <c r="H160" s="11"/>
      <c r="I160" s="25"/>
      <c r="J160" s="11"/>
      <c r="K160" s="4"/>
    </row>
    <row r="161" spans="1:11">
      <c r="A161" s="34">
        <f t="shared" si="2"/>
        <v>38</v>
      </c>
      <c r="B161" s="13" t="s">
        <v>184</v>
      </c>
      <c r="C161" s="11" t="s">
        <v>185</v>
      </c>
      <c r="D161" s="25">
        <f>-'5-P3 Support'!L45</f>
        <v>0</v>
      </c>
      <c r="E161" s="11"/>
      <c r="F161" s="4"/>
      <c r="G161" s="25"/>
      <c r="H161" s="11"/>
      <c r="I161" s="25"/>
      <c r="J161" s="11"/>
      <c r="K161" s="4"/>
    </row>
    <row r="162" spans="1:11">
      <c r="A162" s="34">
        <f t="shared" si="2"/>
        <v>39</v>
      </c>
      <c r="B162" s="13" t="s">
        <v>186</v>
      </c>
      <c r="C162" s="11" t="s">
        <v>187</v>
      </c>
      <c r="D162" s="25">
        <f>+'5-P3 Support'!M45</f>
        <v>0</v>
      </c>
      <c r="E162" s="11"/>
      <c r="F162" s="4"/>
      <c r="G162" s="77"/>
      <c r="H162" s="11"/>
      <c r="I162" s="25"/>
      <c r="J162" s="11"/>
      <c r="K162" s="4"/>
    </row>
    <row r="163" spans="1:11">
      <c r="A163" s="34">
        <f t="shared" si="2"/>
        <v>40</v>
      </c>
      <c r="B163" s="78" t="s">
        <v>188</v>
      </c>
      <c r="C163" s="80" t="s">
        <v>189</v>
      </c>
      <c r="D163" s="68">
        <f>+D156*D170</f>
        <v>3654.706464960429</v>
      </c>
      <c r="E163" s="23"/>
      <c r="F163" s="23" t="s">
        <v>49</v>
      </c>
      <c r="G163" s="28"/>
      <c r="H163" s="23"/>
      <c r="I163" s="68">
        <f>+D156*I170</f>
        <v>3654.706464960429</v>
      </c>
      <c r="J163" s="11"/>
      <c r="K163" s="24" t="s">
        <v>10</v>
      </c>
    </row>
    <row r="164" spans="1:11">
      <c r="A164" s="34">
        <f t="shared" si="2"/>
        <v>41</v>
      </c>
      <c r="B164" s="4" t="s">
        <v>190</v>
      </c>
      <c r="C164" s="80" t="s">
        <v>191</v>
      </c>
      <c r="D164" s="68">
        <f>+D$159*D160</f>
        <v>0</v>
      </c>
      <c r="E164" s="23"/>
      <c r="F164" s="1" t="s">
        <v>82</v>
      </c>
      <c r="G164" s="22">
        <f>G84</f>
        <v>1</v>
      </c>
      <c r="H164" s="23"/>
      <c r="I164" s="68">
        <f>+G164*D164</f>
        <v>0</v>
      </c>
      <c r="J164" s="11"/>
      <c r="K164" s="24"/>
    </row>
    <row r="165" spans="1:11">
      <c r="A165" s="34">
        <f t="shared" si="2"/>
        <v>42</v>
      </c>
      <c r="B165" s="4" t="s">
        <v>192</v>
      </c>
      <c r="C165" s="80" t="s">
        <v>193</v>
      </c>
      <c r="D165" s="68">
        <f>+D$159*D161</f>
        <v>0</v>
      </c>
      <c r="E165" s="23"/>
      <c r="F165" s="1" t="s">
        <v>82</v>
      </c>
      <c r="G165" s="22">
        <f>G164</f>
        <v>1</v>
      </c>
      <c r="H165" s="23"/>
      <c r="I165" s="68">
        <f>+G165*D165</f>
        <v>0</v>
      </c>
      <c r="J165" s="11"/>
      <c r="K165" s="24"/>
    </row>
    <row r="166" spans="1:11" ht="13.5" thickBot="1">
      <c r="A166" s="34">
        <f t="shared" si="2"/>
        <v>43</v>
      </c>
      <c r="B166" s="4" t="s">
        <v>194</v>
      </c>
      <c r="C166" s="80" t="s">
        <v>195</v>
      </c>
      <c r="D166" s="81">
        <f>+D$159*D162</f>
        <v>0</v>
      </c>
      <c r="E166" s="23"/>
      <c r="F166" s="1" t="s">
        <v>82</v>
      </c>
      <c r="G166" s="22">
        <f>G165</f>
        <v>1</v>
      </c>
      <c r="H166" s="23"/>
      <c r="I166" s="81">
        <f>+G166*D166</f>
        <v>0</v>
      </c>
      <c r="J166" s="11"/>
      <c r="K166" s="24"/>
    </row>
    <row r="167" spans="1:11">
      <c r="A167" s="34">
        <f t="shared" si="2"/>
        <v>44</v>
      </c>
      <c r="B167" s="82" t="s">
        <v>196</v>
      </c>
      <c r="C167" s="4" t="s">
        <v>197</v>
      </c>
      <c r="D167" s="68">
        <f>SUM(D163:D166)</f>
        <v>3654.706464960429</v>
      </c>
      <c r="E167" s="23"/>
      <c r="F167" s="23" t="s">
        <v>10</v>
      </c>
      <c r="G167" s="28" t="s">
        <v>10</v>
      </c>
      <c r="H167" s="23"/>
      <c r="I167" s="68">
        <f>SUM(I163:I166)</f>
        <v>3654.706464960429</v>
      </c>
      <c r="J167" s="11"/>
      <c r="K167" s="11"/>
    </row>
    <row r="168" spans="1:11">
      <c r="A168" s="34"/>
      <c r="B168" s="4"/>
      <c r="C168" s="83"/>
      <c r="D168" s="25"/>
      <c r="E168" s="11"/>
      <c r="F168" s="11"/>
      <c r="G168" s="29"/>
      <c r="H168" s="11"/>
      <c r="I168" s="25"/>
      <c r="J168" s="11"/>
      <c r="K168" s="11"/>
    </row>
    <row r="169" spans="1:11">
      <c r="A169" s="34">
        <f>+A167+1</f>
        <v>45</v>
      </c>
      <c r="B169" s="13" t="s">
        <v>198</v>
      </c>
      <c r="J169" s="11"/>
      <c r="K169" s="4"/>
    </row>
    <row r="170" spans="1:11">
      <c r="A170" s="34">
        <f>A169+1</f>
        <v>46</v>
      </c>
      <c r="B170" s="82" t="s">
        <v>199</v>
      </c>
      <c r="C170" s="78" t="s">
        <v>200</v>
      </c>
      <c r="D170" s="25">
        <f>+$I213*D106</f>
        <v>13563.860659671056</v>
      </c>
      <c r="E170" s="23"/>
      <c r="F170" s="23" t="s">
        <v>49</v>
      </c>
      <c r="G170" s="84"/>
      <c r="H170" s="23"/>
      <c r="I170" s="25">
        <f>+$I213*I106</f>
        <v>13563.860659671056</v>
      </c>
      <c r="K170" s="61"/>
    </row>
    <row r="171" spans="1:11">
      <c r="A171" s="34"/>
      <c r="B171" s="13"/>
      <c r="C171" s="4"/>
      <c r="D171" s="25"/>
      <c r="E171" s="23"/>
      <c r="F171" s="23"/>
      <c r="G171" s="84"/>
      <c r="H171" s="23"/>
      <c r="I171" s="25"/>
      <c r="J171" s="11"/>
      <c r="K171" s="61"/>
    </row>
    <row r="172" spans="1:11" ht="13.5" thickBot="1">
      <c r="A172" s="34">
        <f>A170+1</f>
        <v>47</v>
      </c>
      <c r="B172" s="13" t="s">
        <v>201</v>
      </c>
      <c r="C172" s="11" t="s">
        <v>202</v>
      </c>
      <c r="D172" s="85">
        <f>+D170+D167+D152+D141+D134</f>
        <v>583990.69180553209</v>
      </c>
      <c r="E172" s="23"/>
      <c r="F172" s="23"/>
      <c r="G172" s="23"/>
      <c r="H172" s="23"/>
      <c r="I172" s="85">
        <f>+I170+I167+I152+I141+I134</f>
        <v>583990.69180553209</v>
      </c>
      <c r="J172" s="13"/>
      <c r="K172" s="13"/>
    </row>
    <row r="173" spans="1:11" ht="13.5" thickTop="1">
      <c r="A173" s="34"/>
      <c r="B173" s="13"/>
      <c r="C173" s="11"/>
      <c r="D173" s="23"/>
      <c r="E173" s="23"/>
      <c r="F173" s="23"/>
      <c r="G173" s="23"/>
      <c r="H173" s="23"/>
      <c r="I173" s="25"/>
      <c r="J173" s="13"/>
      <c r="K173" s="13"/>
    </row>
    <row r="174" spans="1:11">
      <c r="A174" s="34"/>
      <c r="B174" s="1"/>
      <c r="C174" s="23"/>
      <c r="D174" s="23"/>
      <c r="E174" s="23"/>
      <c r="F174" s="23"/>
      <c r="G174" s="23"/>
      <c r="H174" s="23"/>
      <c r="I174" s="23"/>
      <c r="J174" s="13"/>
      <c r="K174" s="13"/>
    </row>
    <row r="175" spans="1:11">
      <c r="A175" s="7"/>
      <c r="B175" s="4"/>
      <c r="C175" s="4"/>
      <c r="D175" s="4"/>
      <c r="E175" s="4"/>
      <c r="F175" s="4"/>
      <c r="G175" s="4"/>
      <c r="H175" s="4"/>
      <c r="I175" s="4"/>
      <c r="J175" s="11"/>
      <c r="K175" s="67" t="s">
        <v>203</v>
      </c>
    </row>
    <row r="176" spans="1:11">
      <c r="A176" s="7"/>
      <c r="B176" s="4"/>
      <c r="C176" s="4"/>
      <c r="D176" s="4"/>
      <c r="E176" s="4"/>
      <c r="F176" s="4"/>
      <c r="G176" s="4"/>
      <c r="H176" s="4"/>
      <c r="I176" s="4"/>
      <c r="J176" s="11"/>
      <c r="K176" s="11"/>
    </row>
    <row r="177" spans="1:11">
      <c r="A177" s="7"/>
      <c r="B177" s="13" t="s">
        <v>2</v>
      </c>
      <c r="C177" s="4"/>
      <c r="D177" s="43" t="s">
        <v>4</v>
      </c>
      <c r="E177" s="4"/>
      <c r="F177" s="4"/>
      <c r="G177" s="4"/>
      <c r="H177" s="4"/>
      <c r="I177" s="1"/>
      <c r="J177" s="11"/>
      <c r="K177" s="86" t="str">
        <f>K3</f>
        <v>For  the 12 months ended 12/31/2021</v>
      </c>
    </row>
    <row r="178" spans="1:11">
      <c r="A178" s="7"/>
      <c r="B178" s="13"/>
      <c r="C178" s="4"/>
      <c r="D178" s="43" t="s">
        <v>5</v>
      </c>
      <c r="E178" s="4"/>
      <c r="F178" s="4"/>
      <c r="G178" s="4"/>
      <c r="H178" s="4"/>
      <c r="I178" s="4"/>
      <c r="J178" s="11"/>
      <c r="K178" s="11"/>
    </row>
    <row r="179" spans="1:11">
      <c r="A179" s="7"/>
      <c r="B179" s="4"/>
      <c r="C179" s="4"/>
      <c r="D179" s="50" t="str">
        <f>D5</f>
        <v>NextEra Energy Transmission MidAtlantic Indiana, Inc.</v>
      </c>
      <c r="E179" s="4"/>
      <c r="F179" s="4"/>
      <c r="G179" s="4"/>
      <c r="H179" s="4"/>
      <c r="I179" s="4"/>
      <c r="J179" s="11"/>
      <c r="K179" s="11"/>
    </row>
    <row r="180" spans="1:11">
      <c r="A180" s="543"/>
      <c r="B180" s="543"/>
      <c r="C180" s="543"/>
      <c r="D180" s="543"/>
      <c r="E180" s="543"/>
      <c r="F180" s="543"/>
      <c r="G180" s="543"/>
      <c r="H180" s="543"/>
      <c r="I180" s="543"/>
      <c r="J180" s="543"/>
      <c r="K180" s="543"/>
    </row>
    <row r="181" spans="1:11" s="70" customFormat="1">
      <c r="A181" s="87"/>
      <c r="B181" s="18" t="s">
        <v>7</v>
      </c>
      <c r="C181" s="18" t="s">
        <v>8</v>
      </c>
      <c r="D181" s="18" t="s">
        <v>9</v>
      </c>
      <c r="E181" s="11" t="s">
        <v>10</v>
      </c>
      <c r="F181" s="11"/>
      <c r="G181" s="17" t="s">
        <v>11</v>
      </c>
      <c r="H181" s="11"/>
      <c r="I181" s="17" t="s">
        <v>12</v>
      </c>
      <c r="J181" s="69"/>
      <c r="K181" s="69"/>
    </row>
    <row r="182" spans="1:11">
      <c r="A182" s="7"/>
      <c r="B182" s="4"/>
      <c r="C182" s="13"/>
      <c r="D182" s="13"/>
      <c r="E182" s="13"/>
      <c r="F182" s="13"/>
      <c r="G182" s="13"/>
      <c r="H182" s="13"/>
      <c r="I182" s="13"/>
      <c r="J182" s="13"/>
      <c r="K182" s="13"/>
    </row>
    <row r="183" spans="1:11">
      <c r="A183" s="7"/>
      <c r="B183" s="4"/>
      <c r="C183" s="55" t="s">
        <v>204</v>
      </c>
      <c r="D183" s="4"/>
      <c r="E183" s="13"/>
      <c r="F183" s="13"/>
      <c r="G183" s="13"/>
      <c r="H183" s="13"/>
      <c r="I183" s="13"/>
      <c r="J183" s="11"/>
      <c r="K183" s="11"/>
    </row>
    <row r="184" spans="1:11">
      <c r="A184" s="7" t="s">
        <v>13</v>
      </c>
      <c r="B184" s="55"/>
      <c r="C184" s="13"/>
      <c r="D184" s="13"/>
      <c r="E184" s="13"/>
      <c r="F184" s="13"/>
      <c r="G184" s="13"/>
      <c r="H184" s="13"/>
      <c r="I184" s="13"/>
      <c r="J184" s="11"/>
      <c r="K184" s="11"/>
    </row>
    <row r="185" spans="1:11" ht="13.5" thickBot="1">
      <c r="A185" s="19" t="s">
        <v>15</v>
      </c>
      <c r="B185" s="5" t="s">
        <v>205</v>
      </c>
      <c r="C185" s="13"/>
      <c r="D185" s="13"/>
      <c r="E185" s="13"/>
      <c r="F185" s="13"/>
      <c r="G185" s="13"/>
      <c r="H185" s="4"/>
      <c r="I185" s="4"/>
      <c r="J185" s="11"/>
      <c r="K185" s="11"/>
    </row>
    <row r="186" spans="1:11">
      <c r="A186" s="7">
        <v>1</v>
      </c>
      <c r="B186" s="5" t="s">
        <v>206</v>
      </c>
      <c r="C186" s="13" t="s">
        <v>207</v>
      </c>
      <c r="D186" s="11"/>
      <c r="E186" s="11"/>
      <c r="F186" s="11"/>
      <c r="G186" s="11"/>
      <c r="H186" s="11"/>
      <c r="I186" s="25">
        <f>D64</f>
        <v>2486171.48</v>
      </c>
      <c r="J186" s="11"/>
      <c r="K186" s="11"/>
    </row>
    <row r="187" spans="1:11">
      <c r="A187" s="7">
        <f>+A186+1</f>
        <v>2</v>
      </c>
      <c r="B187" s="5" t="s">
        <v>208</v>
      </c>
      <c r="C187" s="4" t="s">
        <v>209</v>
      </c>
      <c r="D187" s="4"/>
      <c r="E187" s="4"/>
      <c r="F187" s="4"/>
      <c r="G187" s="4"/>
      <c r="H187" s="4"/>
      <c r="I187" s="56">
        <v>0</v>
      </c>
      <c r="J187" s="11"/>
      <c r="K187" s="11"/>
    </row>
    <row r="188" spans="1:11" ht="13.5" thickBot="1">
      <c r="A188" s="7">
        <f>+A187+1</f>
        <v>3</v>
      </c>
      <c r="B188" s="88" t="s">
        <v>210</v>
      </c>
      <c r="C188" s="89" t="s">
        <v>211</v>
      </c>
      <c r="D188" s="1"/>
      <c r="E188" s="11"/>
      <c r="F188" s="11"/>
      <c r="G188" s="12"/>
      <c r="H188" s="11"/>
      <c r="I188" s="58">
        <v>0</v>
      </c>
      <c r="J188" s="11"/>
      <c r="K188" s="11"/>
    </row>
    <row r="189" spans="1:11">
      <c r="A189" s="7">
        <f t="shared" ref="A189:A220" si="3">+A188+1</f>
        <v>4</v>
      </c>
      <c r="B189" s="5" t="s">
        <v>212</v>
      </c>
      <c r="C189" s="13" t="s">
        <v>213</v>
      </c>
      <c r="D189" s="11"/>
      <c r="E189" s="11"/>
      <c r="F189" s="11"/>
      <c r="G189" s="12"/>
      <c r="H189" s="11"/>
      <c r="I189" s="25">
        <f>I186-I187-I188</f>
        <v>2486171.48</v>
      </c>
      <c r="J189" s="11"/>
      <c r="K189" s="11"/>
    </row>
    <row r="190" spans="1:11">
      <c r="A190" s="7"/>
      <c r="B190" s="4"/>
      <c r="C190" s="13"/>
      <c r="D190" s="11"/>
      <c r="E190" s="11"/>
      <c r="F190" s="11"/>
      <c r="G190" s="12"/>
      <c r="H190" s="11"/>
      <c r="I190" s="25"/>
      <c r="J190" s="11"/>
      <c r="K190" s="11"/>
    </row>
    <row r="191" spans="1:11">
      <c r="A191" s="7">
        <f>+A189+1</f>
        <v>5</v>
      </c>
      <c r="B191" s="5" t="s">
        <v>214</v>
      </c>
      <c r="C191" s="16" t="s">
        <v>215</v>
      </c>
      <c r="D191" s="16"/>
      <c r="E191" s="16"/>
      <c r="F191" s="16"/>
      <c r="G191" s="17"/>
      <c r="H191" s="11" t="s">
        <v>216</v>
      </c>
      <c r="I191" s="90">
        <f>IF(I186&gt;0,I189/I186,0)</f>
        <v>1</v>
      </c>
      <c r="J191" s="11"/>
      <c r="K191" s="11"/>
    </row>
    <row r="192" spans="1:11">
      <c r="A192" s="7"/>
      <c r="B192" s="4"/>
      <c r="C192" s="4"/>
      <c r="D192" s="4"/>
      <c r="E192" s="4"/>
      <c r="F192" s="4"/>
      <c r="G192" s="4"/>
      <c r="H192" s="4"/>
      <c r="I192" s="4"/>
      <c r="J192" s="4"/>
      <c r="K192" s="4"/>
    </row>
    <row r="193" spans="1:11">
      <c r="A193" s="7">
        <f>+A191+1</f>
        <v>6</v>
      </c>
      <c r="B193" s="13" t="s">
        <v>217</v>
      </c>
      <c r="C193" s="11"/>
      <c r="D193" s="11"/>
      <c r="E193" s="11"/>
      <c r="F193" s="11"/>
      <c r="G193" s="11"/>
      <c r="H193" s="11"/>
      <c r="I193" s="11"/>
      <c r="J193" s="11"/>
      <c r="K193" s="11"/>
    </row>
    <row r="194" spans="1:11" ht="13.5" thickBot="1">
      <c r="A194" s="7"/>
      <c r="B194" s="13"/>
      <c r="C194" s="91" t="s">
        <v>218</v>
      </c>
      <c r="D194" s="92" t="s">
        <v>219</v>
      </c>
      <c r="E194" s="92" t="s">
        <v>24</v>
      </c>
      <c r="F194" s="11"/>
      <c r="G194" s="92" t="s">
        <v>220</v>
      </c>
      <c r="H194" s="11"/>
      <c r="I194" s="11"/>
      <c r="J194" s="11"/>
      <c r="K194" s="11"/>
    </row>
    <row r="195" spans="1:11">
      <c r="A195" s="7">
        <f>+A193+1</f>
        <v>7</v>
      </c>
      <c r="B195" s="13" t="s">
        <v>47</v>
      </c>
      <c r="C195" s="11" t="s">
        <v>221</v>
      </c>
      <c r="D195" s="56">
        <v>0</v>
      </c>
      <c r="E195" s="22">
        <v>1</v>
      </c>
      <c r="F195" s="93"/>
      <c r="G195" s="25">
        <f>D195*E195</f>
        <v>0</v>
      </c>
      <c r="H195" s="23"/>
      <c r="I195" s="23"/>
      <c r="J195" s="11"/>
      <c r="K195" s="11"/>
    </row>
    <row r="196" spans="1:11">
      <c r="A196" s="7">
        <f t="shared" si="3"/>
        <v>8</v>
      </c>
      <c r="B196" s="13" t="s">
        <v>50</v>
      </c>
      <c r="C196" s="11" t="s">
        <v>222</v>
      </c>
      <c r="D196" s="56">
        <v>0</v>
      </c>
      <c r="E196" s="22">
        <f>+I191</f>
        <v>1</v>
      </c>
      <c r="F196" s="93"/>
      <c r="G196" s="25">
        <f>D196*E196</f>
        <v>0</v>
      </c>
      <c r="H196" s="23"/>
      <c r="I196" s="23"/>
      <c r="J196" s="11"/>
      <c r="K196" s="11"/>
    </row>
    <row r="197" spans="1:11">
      <c r="A197" s="7">
        <f t="shared" si="3"/>
        <v>9</v>
      </c>
      <c r="B197" s="13" t="s">
        <v>52</v>
      </c>
      <c r="C197" s="11" t="s">
        <v>223</v>
      </c>
      <c r="D197" s="56">
        <v>0</v>
      </c>
      <c r="E197" s="22">
        <v>1</v>
      </c>
      <c r="F197" s="93"/>
      <c r="G197" s="25">
        <f>D197*E197</f>
        <v>0</v>
      </c>
      <c r="H197" s="23"/>
      <c r="I197" s="94" t="s">
        <v>224</v>
      </c>
      <c r="J197" s="11"/>
      <c r="K197" s="11"/>
    </row>
    <row r="198" spans="1:11" ht="13.5" thickBot="1">
      <c r="A198" s="7">
        <f t="shared" si="3"/>
        <v>10</v>
      </c>
      <c r="B198" s="13" t="s">
        <v>225</v>
      </c>
      <c r="C198" s="11" t="s">
        <v>226</v>
      </c>
      <c r="D198" s="58">
        <v>0</v>
      </c>
      <c r="E198" s="22">
        <v>1</v>
      </c>
      <c r="F198" s="93"/>
      <c r="G198" s="59">
        <f>D198*E198</f>
        <v>0</v>
      </c>
      <c r="H198" s="23"/>
      <c r="I198" s="95" t="s">
        <v>227</v>
      </c>
      <c r="J198" s="11"/>
      <c r="K198" s="11"/>
    </row>
    <row r="199" spans="1:11">
      <c r="A199" s="7">
        <f t="shared" si="3"/>
        <v>11</v>
      </c>
      <c r="B199" s="13" t="s">
        <v>228</v>
      </c>
      <c r="C199" s="11" t="s">
        <v>229</v>
      </c>
      <c r="D199" s="25">
        <f>SUM(D195:D198)</f>
        <v>0</v>
      </c>
      <c r="E199" s="11"/>
      <c r="F199" s="11"/>
      <c r="G199" s="25">
        <f>SUM(G195:G198)</f>
        <v>0</v>
      </c>
      <c r="H199" s="96" t="s">
        <v>230</v>
      </c>
      <c r="I199" s="63">
        <v>1</v>
      </c>
      <c r="J199" s="12" t="s">
        <v>230</v>
      </c>
      <c r="K199" s="11" t="s">
        <v>231</v>
      </c>
    </row>
    <row r="200" spans="1:11">
      <c r="A200" s="7"/>
      <c r="B200" s="13" t="s">
        <v>10</v>
      </c>
      <c r="C200" s="11" t="s">
        <v>10</v>
      </c>
      <c r="D200" s="4"/>
      <c r="E200" s="11"/>
      <c r="F200" s="11"/>
      <c r="G200" s="4"/>
      <c r="H200" s="4"/>
      <c r="I200" s="4"/>
      <c r="J200" s="4"/>
      <c r="K200" s="11"/>
    </row>
    <row r="201" spans="1:11">
      <c r="A201" s="7">
        <f>+A199+1</f>
        <v>12</v>
      </c>
      <c r="B201" s="13" t="s">
        <v>232</v>
      </c>
      <c r="C201" s="11"/>
      <c r="D201" s="51" t="s">
        <v>219</v>
      </c>
      <c r="E201" s="11"/>
      <c r="F201" s="11"/>
      <c r="G201" s="12" t="s">
        <v>233</v>
      </c>
      <c r="H201" s="77"/>
      <c r="I201" s="61" t="s">
        <v>224</v>
      </c>
      <c r="J201" s="11"/>
      <c r="K201" s="11"/>
    </row>
    <row r="202" spans="1:11">
      <c r="A202" s="7">
        <f t="shared" si="3"/>
        <v>13</v>
      </c>
      <c r="B202" s="13" t="s">
        <v>234</v>
      </c>
      <c r="C202" s="11" t="s">
        <v>235</v>
      </c>
      <c r="D202" s="56">
        <f>+D80</f>
        <v>111447.3009856916</v>
      </c>
      <c r="E202" s="11"/>
      <c r="F202" s="4"/>
      <c r="G202" s="7" t="s">
        <v>236</v>
      </c>
      <c r="H202" s="97"/>
      <c r="I202" s="7" t="s">
        <v>237</v>
      </c>
      <c r="J202" s="11"/>
      <c r="K202" s="18" t="s">
        <v>59</v>
      </c>
    </row>
    <row r="203" spans="1:11">
      <c r="A203" s="7">
        <f t="shared" si="3"/>
        <v>14</v>
      </c>
      <c r="B203" s="13" t="s">
        <v>238</v>
      </c>
      <c r="C203" s="11" t="s">
        <v>239</v>
      </c>
      <c r="D203" s="56">
        <v>0</v>
      </c>
      <c r="E203" s="11"/>
      <c r="F203" s="4"/>
      <c r="G203" s="63">
        <f>IF(D205&gt;0,D202/D205,0)</f>
        <v>1</v>
      </c>
      <c r="H203" s="98" t="s">
        <v>240</v>
      </c>
      <c r="I203" s="63">
        <f>I199</f>
        <v>1</v>
      </c>
      <c r="J203" s="98" t="s">
        <v>230</v>
      </c>
      <c r="K203" s="63">
        <f>I203*G203</f>
        <v>1</v>
      </c>
    </row>
    <row r="204" spans="1:11" ht="13.5" thickBot="1">
      <c r="A204" s="7">
        <f t="shared" si="3"/>
        <v>15</v>
      </c>
      <c r="B204" s="89" t="s">
        <v>241</v>
      </c>
      <c r="C204" s="91" t="s">
        <v>242</v>
      </c>
      <c r="D204" s="58">
        <v>0</v>
      </c>
      <c r="E204" s="11"/>
      <c r="F204" s="11"/>
      <c r="G204" s="11" t="s">
        <v>10</v>
      </c>
      <c r="H204" s="11"/>
      <c r="I204" s="11"/>
      <c r="J204" s="11"/>
      <c r="K204" s="11"/>
    </row>
    <row r="205" spans="1:11">
      <c r="A205" s="7">
        <f t="shared" si="3"/>
        <v>16</v>
      </c>
      <c r="B205" s="13" t="s">
        <v>243</v>
      </c>
      <c r="C205" s="11" t="s">
        <v>244</v>
      </c>
      <c r="D205" s="25">
        <f>D202+D203+D204</f>
        <v>111447.3009856916</v>
      </c>
      <c r="E205" s="11"/>
      <c r="F205" s="11"/>
      <c r="G205" s="11"/>
      <c r="H205" s="11"/>
      <c r="I205" s="11"/>
      <c r="J205" s="11"/>
      <c r="K205" s="11"/>
    </row>
    <row r="206" spans="1:11">
      <c r="A206" s="7"/>
      <c r="B206" s="13"/>
      <c r="C206" s="11"/>
      <c r="D206" s="4"/>
      <c r="E206" s="11"/>
      <c r="F206" s="11"/>
      <c r="G206" s="11"/>
      <c r="H206" s="11"/>
      <c r="I206" s="11"/>
      <c r="J206" s="11"/>
      <c r="K206" s="11"/>
    </row>
    <row r="207" spans="1:11" ht="13.5" thickBot="1">
      <c r="A207" s="7">
        <f>+A205+1</f>
        <v>17</v>
      </c>
      <c r="B207" s="5" t="s">
        <v>245</v>
      </c>
      <c r="C207" s="11" t="s">
        <v>246</v>
      </c>
      <c r="D207" s="11"/>
      <c r="E207" s="11"/>
      <c r="F207" s="11"/>
      <c r="G207" s="11"/>
      <c r="H207" s="11"/>
      <c r="I207" s="92" t="s">
        <v>219</v>
      </c>
      <c r="J207" s="11"/>
      <c r="K207" s="11"/>
    </row>
    <row r="208" spans="1:11">
      <c r="A208" s="7">
        <f>+A207+1</f>
        <v>18</v>
      </c>
      <c r="B208" s="13"/>
      <c r="C208" s="11"/>
      <c r="D208" s="11"/>
      <c r="E208" s="11"/>
      <c r="F208" s="11"/>
      <c r="G208" s="12" t="s">
        <v>247</v>
      </c>
      <c r="H208" s="11"/>
      <c r="I208" s="11"/>
      <c r="J208" s="11"/>
      <c r="K208" s="11"/>
    </row>
    <row r="209" spans="1:11" ht="13.5" thickBot="1">
      <c r="A209" s="7">
        <f t="shared" si="3"/>
        <v>19</v>
      </c>
      <c r="B209" s="13"/>
      <c r="C209" s="11"/>
      <c r="D209" s="19" t="s">
        <v>219</v>
      </c>
      <c r="E209" s="19" t="s">
        <v>248</v>
      </c>
      <c r="F209" s="11"/>
      <c r="G209" s="43" t="str">
        <f>"(Notes "&amp;A259&amp;", "&amp;A265&amp;", &amp; "&amp;A266&amp;")"</f>
        <v>(Notes K, Q, &amp; R)</v>
      </c>
      <c r="H209" s="11"/>
      <c r="I209" s="19" t="s">
        <v>249</v>
      </c>
      <c r="J209" s="11"/>
      <c r="K209" s="11"/>
    </row>
    <row r="210" spans="1:11">
      <c r="A210" s="7">
        <f t="shared" si="3"/>
        <v>20</v>
      </c>
      <c r="B210" s="5" t="s">
        <v>250</v>
      </c>
      <c r="C210" s="4" t="s">
        <v>251</v>
      </c>
      <c r="D210" s="99">
        <f>'5-P3 Support'!F85</f>
        <v>59999.796000000009</v>
      </c>
      <c r="E210" s="60">
        <f>+'5-P3 Support'!G85</f>
        <v>0.4</v>
      </c>
      <c r="F210" s="22"/>
      <c r="G210" s="79">
        <f>+'5-P3 Support'!I85</f>
        <v>3.7400000000000003E-2</v>
      </c>
      <c r="H210" s="100"/>
      <c r="I210" s="60">
        <f>+'5-P3 Support'!K85</f>
        <v>1.4960000000000001E-2</v>
      </c>
      <c r="J210" s="101" t="s">
        <v>252</v>
      </c>
      <c r="K210" s="4"/>
    </row>
    <row r="211" spans="1:11">
      <c r="A211" s="7">
        <f t="shared" si="3"/>
        <v>21</v>
      </c>
      <c r="B211" s="5" t="s">
        <v>253</v>
      </c>
      <c r="C211" s="4" t="s">
        <v>254</v>
      </c>
      <c r="D211" s="99">
        <f>+'5-P3 Support'!F86</f>
        <v>0</v>
      </c>
      <c r="E211" s="60">
        <f>+'5-P3 Support'!G86</f>
        <v>0</v>
      </c>
      <c r="F211" s="22"/>
      <c r="G211" s="79">
        <f>+'5-P3 Support'!I86</f>
        <v>0</v>
      </c>
      <c r="H211" s="100"/>
      <c r="I211" s="60">
        <f>+'5-P3 Support'!K86</f>
        <v>0</v>
      </c>
      <c r="J211" s="11"/>
      <c r="K211" s="4"/>
    </row>
    <row r="212" spans="1:11" ht="13.5" thickBot="1">
      <c r="A212" s="7">
        <f t="shared" si="3"/>
        <v>22</v>
      </c>
      <c r="B212" s="5" t="s">
        <v>255</v>
      </c>
      <c r="C212" s="4" t="s">
        <v>256</v>
      </c>
      <c r="D212" s="102">
        <f>+'5-P3 Support'!F87</f>
        <v>89999.694000000003</v>
      </c>
      <c r="E212" s="103">
        <f>+'5-P3 Support'!G87</f>
        <v>0.6</v>
      </c>
      <c r="F212" s="47"/>
      <c r="G212" s="104">
        <f>+'5-P3 Support'!I87</f>
        <v>0.10100000000000001</v>
      </c>
      <c r="H212" s="100"/>
      <c r="I212" s="103">
        <f>+'5-P3 Support'!K87</f>
        <v>6.0600000000000001E-2</v>
      </c>
      <c r="J212" s="11"/>
      <c r="K212" s="4"/>
    </row>
    <row r="213" spans="1:11">
      <c r="A213" s="7">
        <f t="shared" si="3"/>
        <v>23</v>
      </c>
      <c r="B213" s="13" t="s">
        <v>257</v>
      </c>
      <c r="C213" s="4" t="s">
        <v>258</v>
      </c>
      <c r="D213" s="99">
        <f>+'5-P3 Support'!F88</f>
        <v>149999.49000000002</v>
      </c>
      <c r="E213" s="11" t="s">
        <v>10</v>
      </c>
      <c r="F213" s="11"/>
      <c r="G213" s="100"/>
      <c r="H213" s="100"/>
      <c r="I213" s="60">
        <f>+'5-P3 Support'!K88</f>
        <v>7.5560000000000002E-2</v>
      </c>
      <c r="J213" s="101" t="s">
        <v>259</v>
      </c>
      <c r="K213" s="4"/>
    </row>
    <row r="214" spans="1:11">
      <c r="A214" s="7"/>
      <c r="B214" s="4"/>
      <c r="C214" s="4"/>
      <c r="D214" s="4"/>
      <c r="E214" s="11"/>
      <c r="F214" s="11"/>
      <c r="G214" s="11"/>
      <c r="H214" s="11"/>
      <c r="I214" s="100"/>
      <c r="J214" s="4"/>
      <c r="K214" s="4"/>
    </row>
    <row r="215" spans="1:11">
      <c r="A215" s="7">
        <f>+A213+1</f>
        <v>24</v>
      </c>
      <c r="B215" s="5" t="s">
        <v>260</v>
      </c>
      <c r="C215" s="5"/>
      <c r="D215" s="5"/>
      <c r="E215" s="5"/>
      <c r="F215" s="5"/>
      <c r="G215" s="5"/>
      <c r="H215" s="5"/>
      <c r="I215" s="5"/>
      <c r="J215" s="5"/>
      <c r="K215" s="5"/>
    </row>
    <row r="216" spans="1:11" ht="13.5" thickBot="1">
      <c r="A216" s="7"/>
      <c r="B216" s="5"/>
      <c r="C216" s="5"/>
      <c r="D216" s="5"/>
      <c r="E216" s="5"/>
      <c r="F216" s="5"/>
      <c r="G216" s="5"/>
      <c r="H216" s="5"/>
      <c r="I216" s="19"/>
      <c r="J216" s="7"/>
      <c r="K216" s="4"/>
    </row>
    <row r="217" spans="1:11">
      <c r="A217" s="7">
        <f>+A215+1</f>
        <v>25</v>
      </c>
      <c r="B217" s="5" t="s">
        <v>261</v>
      </c>
      <c r="C217" s="5" t="s">
        <v>262</v>
      </c>
      <c r="D217" s="5"/>
      <c r="E217" s="5"/>
      <c r="F217" s="5"/>
      <c r="G217" s="105" t="s">
        <v>10</v>
      </c>
      <c r="H217" s="106"/>
      <c r="I217" s="4"/>
      <c r="J217" s="4"/>
      <c r="K217" s="4"/>
    </row>
    <row r="218" spans="1:11">
      <c r="A218" s="7">
        <f t="shared" si="3"/>
        <v>26</v>
      </c>
      <c r="B218" s="4" t="s">
        <v>263</v>
      </c>
      <c r="C218" s="5" t="s">
        <v>264</v>
      </c>
      <c r="D218" s="5"/>
      <c r="E218" s="4"/>
      <c r="F218" s="5"/>
      <c r="G218" s="4"/>
      <c r="H218" s="106"/>
      <c r="I218" s="107">
        <v>0</v>
      </c>
      <c r="J218" s="108"/>
      <c r="K218" s="4"/>
    </row>
    <row r="219" spans="1:11" ht="13.5" thickBot="1">
      <c r="A219" s="7">
        <f t="shared" si="3"/>
        <v>27</v>
      </c>
      <c r="B219" s="109" t="s">
        <v>265</v>
      </c>
      <c r="C219" s="11" t="s">
        <v>266</v>
      </c>
      <c r="D219" s="4"/>
      <c r="E219" s="5"/>
      <c r="F219" s="5"/>
      <c r="G219" s="5"/>
      <c r="H219" s="5"/>
      <c r="I219" s="110">
        <f>+'5-P3 Support'!C68</f>
        <v>0</v>
      </c>
      <c r="J219" s="108"/>
      <c r="K219" s="4"/>
    </row>
    <row r="220" spans="1:11">
      <c r="A220" s="7">
        <f t="shared" si="3"/>
        <v>28</v>
      </c>
      <c r="B220" s="4" t="s">
        <v>267</v>
      </c>
      <c r="C220" s="13"/>
      <c r="D220" s="4"/>
      <c r="E220" s="5"/>
      <c r="F220" s="5"/>
      <c r="G220" s="5"/>
      <c r="H220" s="5"/>
      <c r="I220" s="111">
        <f>I218-I219</f>
        <v>0</v>
      </c>
      <c r="J220" s="108"/>
      <c r="K220" s="4"/>
    </row>
    <row r="221" spans="1:11">
      <c r="A221" s="7"/>
      <c r="B221" s="4"/>
      <c r="C221" s="13"/>
      <c r="D221" s="4"/>
      <c r="E221" s="5"/>
      <c r="F221" s="5"/>
      <c r="G221" s="5"/>
      <c r="H221" s="5"/>
      <c r="I221" s="112"/>
      <c r="J221" s="4"/>
      <c r="K221" s="4"/>
    </row>
    <row r="222" spans="1:11">
      <c r="A222" s="7">
        <f>+A220+1</f>
        <v>29</v>
      </c>
      <c r="B222" s="5" t="s">
        <v>268</v>
      </c>
      <c r="C222" s="13" t="s">
        <v>269</v>
      </c>
      <c r="D222" s="4"/>
      <c r="E222" s="5"/>
      <c r="F222" s="5"/>
      <c r="G222" s="113"/>
      <c r="H222" s="5"/>
      <c r="I222" s="56">
        <f>+'5-P3 Support'!D68</f>
        <v>0</v>
      </c>
      <c r="J222" s="4"/>
      <c r="K222" s="114"/>
    </row>
    <row r="223" spans="1:11">
      <c r="A223" s="7"/>
      <c r="B223" s="4"/>
      <c r="C223" s="5"/>
      <c r="D223" s="5"/>
      <c r="E223" s="5"/>
      <c r="F223" s="5"/>
      <c r="G223" s="5"/>
      <c r="H223" s="5"/>
      <c r="I223" s="112"/>
      <c r="J223" s="4"/>
      <c r="K223" s="114"/>
    </row>
    <row r="224" spans="1:11">
      <c r="A224" s="7">
        <f>+A222+1</f>
        <v>30</v>
      </c>
      <c r="B224" s="5" t="s">
        <v>270</v>
      </c>
      <c r="C224" s="5" t="s">
        <v>271</v>
      </c>
      <c r="D224" s="5"/>
      <c r="E224" s="5"/>
      <c r="F224" s="5"/>
      <c r="G224" s="5"/>
      <c r="H224" s="5"/>
      <c r="I224" s="4"/>
      <c r="J224" s="4"/>
      <c r="K224" s="114"/>
    </row>
    <row r="225" spans="1:11">
      <c r="A225" s="7">
        <f>+A224+1</f>
        <v>31</v>
      </c>
      <c r="B225" s="115" t="s">
        <v>272</v>
      </c>
      <c r="C225" s="11" t="s">
        <v>273</v>
      </c>
      <c r="D225" s="11"/>
      <c r="E225" s="11"/>
      <c r="F225" s="11"/>
      <c r="G225" s="11"/>
      <c r="H225" s="11"/>
      <c r="I225" s="116">
        <f>+'5-P3 Support'!E68</f>
        <v>0</v>
      </c>
      <c r="J225" s="11"/>
      <c r="K225" s="114"/>
    </row>
    <row r="226" spans="1:11" ht="26.25" thickBot="1">
      <c r="A226" s="7">
        <f>+A225+1</f>
        <v>32</v>
      </c>
      <c r="B226" s="117" t="s">
        <v>274</v>
      </c>
      <c r="C226" s="11" t="s">
        <v>275</v>
      </c>
      <c r="D226" s="5"/>
      <c r="E226" s="5"/>
      <c r="F226" s="5"/>
      <c r="G226" s="5"/>
      <c r="H226" s="5"/>
      <c r="I226" s="118">
        <f>+'5-P3 Support'!F68</f>
        <v>0</v>
      </c>
      <c r="J226" s="4"/>
      <c r="K226" s="119"/>
    </row>
    <row r="227" spans="1:11">
      <c r="A227" s="7">
        <f>+A226+1</f>
        <v>33</v>
      </c>
      <c r="B227" s="1" t="s">
        <v>267</v>
      </c>
      <c r="C227" s="7"/>
      <c r="D227" s="11"/>
      <c r="E227" s="11"/>
      <c r="F227" s="11"/>
      <c r="G227" s="11"/>
      <c r="H227" s="5"/>
      <c r="I227" s="25">
        <f>+I225-I226</f>
        <v>0</v>
      </c>
      <c r="J227" s="11"/>
      <c r="K227" s="11"/>
    </row>
    <row r="228" spans="1:11">
      <c r="A228" s="7"/>
      <c r="B228" s="1"/>
      <c r="C228" s="7"/>
      <c r="D228" s="11"/>
      <c r="E228" s="11"/>
      <c r="F228" s="11"/>
      <c r="G228" s="11"/>
      <c r="H228" s="5"/>
      <c r="I228" s="25"/>
      <c r="J228" s="11"/>
      <c r="K228" s="11"/>
    </row>
    <row r="229" spans="1:11">
      <c r="A229" s="7"/>
      <c r="D229" s="11"/>
      <c r="E229" s="11"/>
      <c r="F229" s="11"/>
      <c r="G229" s="11"/>
      <c r="H229" s="5"/>
      <c r="I229" s="25"/>
      <c r="J229" s="11"/>
      <c r="K229" s="11"/>
    </row>
    <row r="230" spans="1:11">
      <c r="A230" s="7"/>
      <c r="B230" s="1"/>
      <c r="C230" s="7"/>
      <c r="D230" s="11"/>
      <c r="E230" s="11"/>
      <c r="F230" s="11"/>
      <c r="G230" s="11"/>
      <c r="H230" s="5"/>
      <c r="I230" s="25"/>
      <c r="J230" s="11"/>
      <c r="K230" s="11"/>
    </row>
    <row r="231" spans="1:11">
      <c r="A231" s="7"/>
      <c r="B231" s="1"/>
      <c r="C231" s="7"/>
      <c r="D231" s="11"/>
      <c r="E231" s="11"/>
      <c r="F231" s="11"/>
      <c r="G231" s="11"/>
      <c r="H231" s="5"/>
      <c r="I231" s="25"/>
      <c r="J231" s="11"/>
      <c r="K231" s="11"/>
    </row>
    <row r="232" spans="1:11">
      <c r="A232" s="7"/>
      <c r="B232" s="120"/>
      <c r="C232" s="7"/>
      <c r="D232" s="11"/>
      <c r="E232" s="11"/>
      <c r="F232" s="11"/>
      <c r="G232" s="11"/>
      <c r="H232" s="5"/>
      <c r="I232" s="112"/>
      <c r="J232" s="11"/>
      <c r="K232" s="11"/>
    </row>
    <row r="233" spans="1:11">
      <c r="A233" s="7"/>
      <c r="B233" s="120"/>
      <c r="C233" s="7"/>
      <c r="D233" s="11"/>
      <c r="E233" s="11"/>
      <c r="F233" s="11"/>
      <c r="G233" s="11"/>
      <c r="H233" s="5"/>
      <c r="I233" s="112"/>
      <c r="J233" s="11"/>
      <c r="K233" s="11"/>
    </row>
    <row r="234" spans="1:11">
      <c r="A234" s="7"/>
      <c r="B234" s="13"/>
      <c r="C234" s="13"/>
      <c r="D234" s="11"/>
      <c r="E234" s="11"/>
      <c r="F234" s="11"/>
      <c r="G234" s="11"/>
      <c r="H234" s="13"/>
      <c r="I234" s="11"/>
      <c r="J234" s="13"/>
      <c r="K234" s="67" t="s">
        <v>276</v>
      </c>
    </row>
    <row r="235" spans="1:11">
      <c r="A235" s="7"/>
      <c r="B235" s="13"/>
      <c r="C235" s="13"/>
      <c r="D235" s="11"/>
      <c r="E235" s="11"/>
      <c r="F235" s="11"/>
      <c r="G235" s="11"/>
      <c r="H235" s="13"/>
      <c r="I235" s="11"/>
      <c r="J235" s="13"/>
      <c r="K235" s="11"/>
    </row>
    <row r="236" spans="1:11">
      <c r="A236" s="7"/>
      <c r="B236" s="120" t="s">
        <v>2</v>
      </c>
      <c r="C236" s="7"/>
      <c r="D236" s="12" t="s">
        <v>4</v>
      </c>
      <c r="E236" s="11"/>
      <c r="F236" s="11"/>
      <c r="G236" s="11"/>
      <c r="H236" s="5"/>
      <c r="I236" s="1"/>
      <c r="J236" s="4"/>
      <c r="K236" s="121" t="str">
        <f>K3</f>
        <v>For  the 12 months ended 12/31/2021</v>
      </c>
    </row>
    <row r="237" spans="1:11">
      <c r="A237" s="7"/>
      <c r="B237" s="120"/>
      <c r="C237" s="7"/>
      <c r="D237" s="12" t="s">
        <v>5</v>
      </c>
      <c r="E237" s="11"/>
      <c r="F237" s="11"/>
      <c r="G237" s="11"/>
      <c r="H237" s="5"/>
      <c r="I237" s="122"/>
      <c r="J237" s="4"/>
      <c r="K237" s="11"/>
    </row>
    <row r="238" spans="1:11">
      <c r="A238" s="7"/>
      <c r="B238" s="120"/>
      <c r="C238" s="7"/>
      <c r="D238" s="50" t="str">
        <f>D5</f>
        <v>NextEra Energy Transmission MidAtlantic Indiana, Inc.</v>
      </c>
      <c r="E238" s="11"/>
      <c r="F238" s="11"/>
      <c r="G238" s="11"/>
      <c r="H238" s="5"/>
      <c r="I238" s="122"/>
      <c r="J238" s="4"/>
      <c r="K238" s="11"/>
    </row>
    <row r="239" spans="1:11">
      <c r="A239" s="543"/>
      <c r="B239" s="543"/>
      <c r="C239" s="543"/>
      <c r="D239" s="543"/>
      <c r="E239" s="543"/>
      <c r="F239" s="543"/>
      <c r="G239" s="543"/>
      <c r="H239" s="543"/>
      <c r="I239" s="543"/>
      <c r="J239" s="543"/>
      <c r="K239" s="543"/>
    </row>
    <row r="240" spans="1:11">
      <c r="A240" s="7"/>
      <c r="B240" s="120"/>
      <c r="C240" s="7"/>
      <c r="D240" s="11"/>
      <c r="E240" s="11"/>
      <c r="F240" s="11"/>
      <c r="G240" s="11"/>
      <c r="H240" s="5"/>
      <c r="I240" s="122"/>
      <c r="J240" s="4"/>
      <c r="K240" s="11"/>
    </row>
    <row r="241" spans="1:11">
      <c r="A241" s="7"/>
      <c r="B241" s="5" t="s">
        <v>277</v>
      </c>
      <c r="C241" s="7"/>
      <c r="D241" s="11"/>
      <c r="E241" s="11"/>
      <c r="F241" s="11"/>
      <c r="G241" s="11"/>
      <c r="H241" s="5"/>
      <c r="I241" s="11"/>
      <c r="J241" s="5"/>
      <c r="K241" s="11"/>
    </row>
    <row r="242" spans="1:11">
      <c r="A242" s="7"/>
      <c r="B242" s="123" t="s">
        <v>278</v>
      </c>
      <c r="C242" s="7"/>
      <c r="D242" s="11"/>
      <c r="E242" s="11"/>
      <c r="F242" s="11"/>
      <c r="G242" s="11"/>
      <c r="H242" s="5"/>
      <c r="I242" s="11"/>
      <c r="J242" s="5"/>
      <c r="K242" s="11"/>
    </row>
    <row r="243" spans="1:11">
      <c r="A243" s="7" t="s">
        <v>279</v>
      </c>
      <c r="B243" s="5"/>
      <c r="C243" s="5"/>
      <c r="D243" s="11"/>
      <c r="E243" s="11"/>
      <c r="F243" s="11"/>
      <c r="G243" s="11"/>
      <c r="H243" s="5"/>
      <c r="I243" s="11"/>
      <c r="J243" s="5"/>
      <c r="K243" s="11"/>
    </row>
    <row r="244" spans="1:11" ht="13.5" thickBot="1">
      <c r="A244" s="19" t="s">
        <v>280</v>
      </c>
      <c r="B244" s="544"/>
      <c r="C244" s="544"/>
      <c r="D244" s="124"/>
      <c r="E244" s="124"/>
      <c r="F244" s="124"/>
      <c r="G244" s="124"/>
      <c r="H244" s="125"/>
      <c r="I244" s="124"/>
      <c r="J244" s="125"/>
      <c r="K244" s="124"/>
    </row>
    <row r="245" spans="1:11">
      <c r="A245" s="125" t="s">
        <v>281</v>
      </c>
      <c r="B245" s="534" t="s">
        <v>282</v>
      </c>
      <c r="C245" s="534"/>
      <c r="D245" s="534"/>
      <c r="E245" s="534"/>
      <c r="F245" s="534"/>
      <c r="G245" s="534"/>
      <c r="H245" s="534"/>
      <c r="I245" s="534"/>
      <c r="J245" s="534"/>
      <c r="K245" s="534"/>
    </row>
    <row r="246" spans="1:11" ht="29.25" customHeight="1">
      <c r="A246" s="125" t="s">
        <v>283</v>
      </c>
      <c r="B246" s="534" t="s">
        <v>284</v>
      </c>
      <c r="C246" s="534"/>
      <c r="D246" s="534"/>
      <c r="E246" s="534"/>
      <c r="F246" s="534"/>
      <c r="G246" s="534"/>
      <c r="H246" s="534"/>
      <c r="I246" s="534"/>
      <c r="J246" s="534"/>
      <c r="K246" s="534"/>
    </row>
    <row r="247" spans="1:11">
      <c r="A247" s="125" t="s">
        <v>285</v>
      </c>
      <c r="B247" s="534" t="s">
        <v>286</v>
      </c>
      <c r="C247" s="534"/>
      <c r="D247" s="534"/>
      <c r="E247" s="534"/>
      <c r="F247" s="534"/>
      <c r="G247" s="534"/>
      <c r="H247" s="534"/>
      <c r="I247" s="534"/>
      <c r="J247" s="534"/>
      <c r="K247" s="534"/>
    </row>
    <row r="248" spans="1:11" ht="29.25" customHeight="1">
      <c r="A248" s="125" t="s">
        <v>287</v>
      </c>
      <c r="B248" s="534" t="s">
        <v>288</v>
      </c>
      <c r="C248" s="534"/>
      <c r="D248" s="534"/>
      <c r="E248" s="534"/>
      <c r="F248" s="534"/>
      <c r="G248" s="534"/>
      <c r="H248" s="534"/>
      <c r="I248" s="534"/>
      <c r="J248" s="534"/>
      <c r="K248" s="534"/>
    </row>
    <row r="249" spans="1:11" ht="29.25" customHeight="1">
      <c r="A249" s="125" t="s">
        <v>289</v>
      </c>
      <c r="B249" s="534" t="s">
        <v>290</v>
      </c>
      <c r="C249" s="534"/>
      <c r="D249" s="534"/>
      <c r="E249" s="534"/>
      <c r="F249" s="534"/>
      <c r="G249" s="534"/>
      <c r="H249" s="534"/>
      <c r="I249" s="534"/>
      <c r="J249" s="534"/>
      <c r="K249" s="534"/>
    </row>
    <row r="250" spans="1:11" ht="30" customHeight="1">
      <c r="A250" s="125" t="s">
        <v>291</v>
      </c>
      <c r="B250" s="534" t="s">
        <v>292</v>
      </c>
      <c r="C250" s="534"/>
      <c r="D250" s="534"/>
      <c r="E250" s="534"/>
      <c r="F250" s="534"/>
      <c r="G250" s="534"/>
      <c r="H250" s="534"/>
      <c r="I250" s="534"/>
      <c r="J250" s="534"/>
      <c r="K250" s="534"/>
    </row>
    <row r="251" spans="1:11" ht="45.75" customHeight="1">
      <c r="A251" s="534" t="s">
        <v>293</v>
      </c>
      <c r="B251" s="534" t="s">
        <v>294</v>
      </c>
      <c r="C251" s="534"/>
      <c r="D251" s="534"/>
      <c r="E251" s="534"/>
      <c r="F251" s="534"/>
      <c r="G251" s="534"/>
      <c r="H251" s="534"/>
      <c r="I251" s="534"/>
      <c r="J251" s="534"/>
      <c r="K251" s="534"/>
    </row>
    <row r="252" spans="1:11">
      <c r="A252" s="534"/>
      <c r="B252" s="126" t="s">
        <v>295</v>
      </c>
      <c r="C252" s="126" t="s">
        <v>296</v>
      </c>
      <c r="D252" s="127">
        <v>0.21</v>
      </c>
      <c r="E252" s="126"/>
      <c r="F252" s="126"/>
      <c r="G252" s="126"/>
      <c r="H252" s="126"/>
      <c r="I252" s="126"/>
      <c r="J252" s="126"/>
      <c r="K252" s="126"/>
    </row>
    <row r="253" spans="1:11">
      <c r="A253" s="534"/>
      <c r="B253" s="126"/>
      <c r="C253" s="126" t="s">
        <v>297</v>
      </c>
      <c r="D253" s="128">
        <v>5.2499999999999998E-2</v>
      </c>
      <c r="E253" s="126" t="s">
        <v>298</v>
      </c>
      <c r="F253" s="126"/>
      <c r="G253" s="126"/>
      <c r="H253" s="126"/>
      <c r="I253" s="126"/>
      <c r="J253" s="126"/>
      <c r="K253" s="126"/>
    </row>
    <row r="254" spans="1:11">
      <c r="A254" s="534"/>
      <c r="B254" s="126"/>
      <c r="C254" s="126" t="s">
        <v>299</v>
      </c>
      <c r="D254" s="129">
        <v>0</v>
      </c>
      <c r="E254" s="126" t="s">
        <v>300</v>
      </c>
      <c r="F254" s="126"/>
      <c r="G254" s="126"/>
      <c r="H254" s="126"/>
      <c r="I254" s="126"/>
      <c r="J254" s="126"/>
      <c r="K254" s="126"/>
    </row>
    <row r="255" spans="1:11">
      <c r="A255" s="534"/>
      <c r="B255" s="126"/>
      <c r="C255" s="126"/>
      <c r="D255" s="130"/>
      <c r="E255" s="126"/>
      <c r="F255" s="126"/>
      <c r="G255" s="126"/>
      <c r="H255" s="126"/>
      <c r="I255" s="126"/>
      <c r="J255" s="126"/>
      <c r="K255" s="126"/>
    </row>
    <row r="256" spans="1:11" ht="19.5" customHeight="1">
      <c r="A256" s="125" t="s">
        <v>301</v>
      </c>
      <c r="B256" s="534" t="s">
        <v>302</v>
      </c>
      <c r="C256" s="534"/>
      <c r="D256" s="534"/>
      <c r="E256" s="534"/>
      <c r="F256" s="534"/>
      <c r="G256" s="534"/>
      <c r="H256" s="534"/>
      <c r="I256" s="534"/>
      <c r="J256" s="534"/>
      <c r="K256" s="534"/>
    </row>
    <row r="257" spans="1:11" ht="31.5" customHeight="1">
      <c r="A257" s="125" t="s">
        <v>303</v>
      </c>
      <c r="B257" s="534" t="s">
        <v>304</v>
      </c>
      <c r="C257" s="534"/>
      <c r="D257" s="534"/>
      <c r="E257" s="534"/>
      <c r="F257" s="534"/>
      <c r="G257" s="534"/>
      <c r="H257" s="534"/>
      <c r="I257" s="534"/>
      <c r="J257" s="534"/>
      <c r="K257" s="534"/>
    </row>
    <row r="258" spans="1:11">
      <c r="A258" s="125" t="s">
        <v>305</v>
      </c>
      <c r="B258" s="534" t="s">
        <v>306</v>
      </c>
      <c r="C258" s="534"/>
      <c r="D258" s="534"/>
      <c r="E258" s="534"/>
      <c r="F258" s="534"/>
      <c r="G258" s="534"/>
      <c r="H258" s="534"/>
      <c r="I258" s="534"/>
      <c r="J258" s="534"/>
      <c r="K258" s="534"/>
    </row>
    <row r="259" spans="1:11">
      <c r="A259" s="125" t="s">
        <v>307</v>
      </c>
      <c r="B259" s="534" t="s">
        <v>308</v>
      </c>
      <c r="C259" s="534"/>
      <c r="D259" s="534"/>
      <c r="E259" s="534"/>
      <c r="F259" s="534"/>
      <c r="G259" s="534"/>
      <c r="H259" s="534"/>
      <c r="I259" s="534"/>
      <c r="J259" s="534"/>
      <c r="K259" s="534"/>
    </row>
    <row r="260" spans="1:11">
      <c r="A260" s="125" t="s">
        <v>309</v>
      </c>
      <c r="B260" s="534" t="s">
        <v>310</v>
      </c>
      <c r="C260" s="534"/>
      <c r="D260" s="534"/>
      <c r="E260" s="534"/>
      <c r="F260" s="534"/>
      <c r="G260" s="534"/>
      <c r="H260" s="534"/>
      <c r="I260" s="534"/>
      <c r="J260" s="534"/>
      <c r="K260" s="534"/>
    </row>
    <row r="261" spans="1:11">
      <c r="A261" s="125" t="s">
        <v>311</v>
      </c>
      <c r="B261" s="534" t="s">
        <v>312</v>
      </c>
      <c r="C261" s="534"/>
      <c r="D261" s="534"/>
      <c r="E261" s="534"/>
      <c r="F261" s="534"/>
      <c r="G261" s="534"/>
      <c r="H261" s="534"/>
      <c r="I261" s="534"/>
      <c r="J261" s="534"/>
      <c r="K261" s="534"/>
    </row>
    <row r="262" spans="1:11">
      <c r="A262" s="125" t="s">
        <v>313</v>
      </c>
      <c r="B262" s="534" t="s">
        <v>314</v>
      </c>
      <c r="C262" s="534"/>
      <c r="D262" s="534"/>
      <c r="E262" s="534"/>
      <c r="F262" s="534"/>
      <c r="G262" s="534"/>
      <c r="H262" s="534"/>
      <c r="I262" s="534"/>
      <c r="J262" s="534"/>
      <c r="K262" s="534"/>
    </row>
    <row r="263" spans="1:11" ht="33.75" customHeight="1">
      <c r="A263" s="125" t="s">
        <v>315</v>
      </c>
      <c r="B263" s="535" t="s">
        <v>316</v>
      </c>
      <c r="C263" s="536"/>
      <c r="D263" s="536"/>
      <c r="E263" s="536"/>
      <c r="F263" s="536"/>
      <c r="G263" s="536"/>
      <c r="H263" s="536"/>
      <c r="I263" s="536"/>
      <c r="J263" s="536"/>
      <c r="K263" s="536"/>
    </row>
    <row r="264" spans="1:11">
      <c r="A264" s="131" t="s">
        <v>317</v>
      </c>
      <c r="B264" s="537" t="s">
        <v>282</v>
      </c>
      <c r="C264" s="538"/>
      <c r="D264" s="538"/>
      <c r="E264" s="538"/>
      <c r="F264" s="538"/>
      <c r="G264" s="538"/>
      <c r="H264" s="538"/>
      <c r="I264" s="538"/>
      <c r="J264" s="538"/>
      <c r="K264" s="538"/>
    </row>
    <row r="265" spans="1:11" ht="28.5" customHeight="1">
      <c r="A265" s="132" t="s">
        <v>318</v>
      </c>
      <c r="B265" s="539" t="s">
        <v>319</v>
      </c>
      <c r="C265" s="539"/>
      <c r="D265" s="539"/>
      <c r="E265" s="539"/>
      <c r="F265" s="539"/>
      <c r="G265" s="539"/>
      <c r="H265" s="539"/>
      <c r="I265" s="539"/>
      <c r="J265" s="539"/>
      <c r="K265" s="539"/>
    </row>
    <row r="266" spans="1:11">
      <c r="A266" s="132" t="s">
        <v>320</v>
      </c>
      <c r="B266" s="540" t="s">
        <v>321</v>
      </c>
      <c r="C266" s="540"/>
      <c r="D266" s="540"/>
      <c r="E266" s="540"/>
      <c r="F266" s="540"/>
      <c r="G266" s="540"/>
      <c r="H266" s="540"/>
      <c r="I266" s="540"/>
      <c r="J266" s="540"/>
      <c r="K266" s="540"/>
    </row>
    <row r="267" spans="1:11" ht="18.75" customHeight="1">
      <c r="A267" s="132" t="s">
        <v>322</v>
      </c>
      <c r="B267" s="541" t="s">
        <v>323</v>
      </c>
      <c r="C267" s="541"/>
      <c r="D267" s="541"/>
      <c r="E267" s="541"/>
      <c r="F267" s="541"/>
      <c r="G267" s="541"/>
      <c r="H267" s="541"/>
      <c r="I267" s="541"/>
      <c r="J267" s="541"/>
      <c r="K267" s="541"/>
    </row>
    <row r="268" spans="1:11" s="70" customFormat="1" ht="29.25" customHeight="1">
      <c r="A268" s="132" t="s">
        <v>324</v>
      </c>
      <c r="B268" s="533" t="s">
        <v>325</v>
      </c>
      <c r="C268" s="533"/>
      <c r="D268" s="533"/>
      <c r="E268" s="533"/>
      <c r="F268" s="533"/>
      <c r="G268" s="533"/>
      <c r="H268" s="533"/>
      <c r="I268" s="533"/>
      <c r="J268" s="533"/>
      <c r="K268" s="533"/>
    </row>
    <row r="269" spans="1:11" s="70" customFormat="1">
      <c r="A269" s="132" t="s">
        <v>326</v>
      </c>
      <c r="B269" s="133" t="s">
        <v>327</v>
      </c>
      <c r="C269" s="133"/>
      <c r="D269" s="133"/>
      <c r="E269" s="133"/>
      <c r="F269" s="133"/>
      <c r="G269" s="133"/>
      <c r="H269" s="126"/>
      <c r="I269" s="134"/>
      <c r="J269" s="135"/>
      <c r="K269" s="135"/>
    </row>
    <row r="270" spans="1:11" s="70" customFormat="1">
      <c r="A270" s="136" t="s">
        <v>328</v>
      </c>
      <c r="B270" s="136" t="s">
        <v>329</v>
      </c>
      <c r="C270" s="136"/>
      <c r="D270" s="136"/>
      <c r="E270" s="136"/>
      <c r="F270" s="136"/>
      <c r="G270" s="136"/>
      <c r="H270" s="136"/>
      <c r="I270" s="136"/>
      <c r="J270" s="136"/>
      <c r="K270" s="136"/>
    </row>
    <row r="271" spans="1:11">
      <c r="A271" s="3" t="s">
        <v>330</v>
      </c>
      <c r="B271" s="3" t="s">
        <v>331</v>
      </c>
    </row>
    <row r="272" spans="1:11" ht="15">
      <c r="A272" s="137" t="s">
        <v>332</v>
      </c>
      <c r="B272" s="3" t="s">
        <v>333</v>
      </c>
    </row>
    <row r="273" spans="1:2">
      <c r="A273" s="3" t="s">
        <v>334</v>
      </c>
      <c r="B273" s="138" t="s">
        <v>335</v>
      </c>
    </row>
    <row r="274" spans="1:2">
      <c r="B274" s="138" t="s">
        <v>336</v>
      </c>
    </row>
  </sheetData>
  <mergeCells count="26">
    <mergeCell ref="A251:A255"/>
    <mergeCell ref="B251:K251"/>
    <mergeCell ref="A57:K57"/>
    <mergeCell ref="A114:K114"/>
    <mergeCell ref="A180:K180"/>
    <mergeCell ref="A239:K239"/>
    <mergeCell ref="B244:C244"/>
    <mergeCell ref="B245:K245"/>
    <mergeCell ref="B261:K261"/>
    <mergeCell ref="B246:K246"/>
    <mergeCell ref="B247:K247"/>
    <mergeCell ref="B248:K248"/>
    <mergeCell ref="B249:K249"/>
    <mergeCell ref="B250:K250"/>
    <mergeCell ref="B256:K256"/>
    <mergeCell ref="B257:K257"/>
    <mergeCell ref="B258:K258"/>
    <mergeCell ref="B259:K259"/>
    <mergeCell ref="B260:K260"/>
    <mergeCell ref="B268:K268"/>
    <mergeCell ref="B262:K262"/>
    <mergeCell ref="B263:K263"/>
    <mergeCell ref="B264:K264"/>
    <mergeCell ref="B265:K265"/>
    <mergeCell ref="B266:K266"/>
    <mergeCell ref="B267:K267"/>
  </mergeCells>
  <pageMargins left="0.25" right="0.25" top="0.75" bottom="0.75" header="0.3" footer="0.3"/>
  <pageSetup scale="57" fitToHeight="0" orientation="landscape" r:id="rId1"/>
  <rowBreaks count="4" manualBreakCount="4">
    <brk id="50" max="10" man="1"/>
    <brk id="108" max="16383" man="1"/>
    <brk id="173" max="10" man="1"/>
    <brk id="232" max="10" man="1"/>
  </rowBreaks>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D49D-1BA6-4F1C-B09C-321D3865CE56}">
  <dimension ref="A1:F77"/>
  <sheetViews>
    <sheetView zoomScale="85" zoomScaleNormal="85" workbookViewId="0">
      <selection activeCell="K108" sqref="K108"/>
    </sheetView>
  </sheetViews>
  <sheetFormatPr defaultColWidth="8.77734375" defaultRowHeight="12.75"/>
  <cols>
    <col min="1" max="1" width="6" style="361" bestFit="1" customWidth="1"/>
    <col min="2" max="2" width="28.44140625" style="3" bestFit="1" customWidth="1"/>
    <col min="3" max="3" width="56.21875" style="100" customWidth="1"/>
    <col min="4" max="4" width="20.44140625" style="3" bestFit="1" customWidth="1"/>
    <col min="5" max="16384" width="8.77734375" style="3"/>
  </cols>
  <sheetData>
    <row r="1" spans="1:4" ht="15" customHeight="1">
      <c r="D1" s="509" t="s">
        <v>450</v>
      </c>
    </row>
    <row r="2" spans="1:4" ht="15" customHeight="1">
      <c r="A2" s="570" t="s">
        <v>787</v>
      </c>
      <c r="B2" s="570"/>
      <c r="C2" s="570"/>
      <c r="D2" s="570"/>
    </row>
    <row r="3" spans="1:4" ht="15" customHeight="1">
      <c r="A3" s="571" t="s">
        <v>788</v>
      </c>
      <c r="B3" s="571"/>
      <c r="C3" s="571"/>
      <c r="D3" s="571"/>
    </row>
    <row r="4" spans="1:4" ht="15" customHeight="1">
      <c r="A4" s="572" t="str">
        <f>'Attachment H'!$D$5</f>
        <v>NextEra Energy Transmission MidAtlantic Indiana, Inc.</v>
      </c>
      <c r="B4" s="572"/>
      <c r="C4" s="572"/>
      <c r="D4" s="572"/>
    </row>
    <row r="6" spans="1:4" ht="15.75">
      <c r="A6" s="510" t="s">
        <v>13</v>
      </c>
      <c r="B6" s="511" t="s">
        <v>789</v>
      </c>
      <c r="C6" s="511" t="s">
        <v>790</v>
      </c>
      <c r="D6" s="511" t="s">
        <v>791</v>
      </c>
    </row>
    <row r="7" spans="1:4" ht="15.75">
      <c r="A7" s="510"/>
      <c r="B7" s="512" t="s">
        <v>792</v>
      </c>
      <c r="C7" s="511"/>
      <c r="D7" s="511"/>
    </row>
    <row r="8" spans="1:4" ht="15.75">
      <c r="A8" s="513">
        <v>1</v>
      </c>
      <c r="B8" s="514" t="s">
        <v>793</v>
      </c>
      <c r="C8" s="511" t="s">
        <v>794</v>
      </c>
      <c r="D8" s="515">
        <v>0</v>
      </c>
    </row>
    <row r="9" spans="1:4" ht="15.75">
      <c r="A9" s="513">
        <f>+A8+1</f>
        <v>2</v>
      </c>
      <c r="B9" s="514" t="s">
        <v>795</v>
      </c>
      <c r="C9" s="511" t="s">
        <v>796</v>
      </c>
      <c r="D9" s="515">
        <v>1.33</v>
      </c>
    </row>
    <row r="10" spans="1:4" ht="15.75">
      <c r="A10" s="513">
        <f>+A8+1</f>
        <v>2</v>
      </c>
      <c r="B10" s="514" t="s">
        <v>797</v>
      </c>
      <c r="C10" s="511" t="s">
        <v>798</v>
      </c>
      <c r="D10" s="515">
        <v>3.36</v>
      </c>
    </row>
    <row r="11" spans="1:4" ht="15.75">
      <c r="A11" s="513">
        <f>+A10+1</f>
        <v>3</v>
      </c>
      <c r="B11" s="514" t="s">
        <v>799</v>
      </c>
      <c r="C11" s="511" t="s">
        <v>800</v>
      </c>
      <c r="D11" s="515">
        <v>2.92</v>
      </c>
    </row>
    <row r="12" spans="1:4" ht="15.75">
      <c r="A12" s="513">
        <f>+A11+1</f>
        <v>4</v>
      </c>
      <c r="B12" s="514" t="s">
        <v>801</v>
      </c>
      <c r="C12" s="511" t="s">
        <v>802</v>
      </c>
      <c r="D12" s="515">
        <v>2.02</v>
      </c>
    </row>
    <row r="13" spans="1:4" ht="15.75">
      <c r="A13" s="513">
        <f>+A12+1</f>
        <v>5</v>
      </c>
      <c r="B13" s="514" t="s">
        <v>803</v>
      </c>
      <c r="C13" s="511" t="s">
        <v>804</v>
      </c>
      <c r="D13" s="515">
        <v>2.0499999999999998</v>
      </c>
    </row>
    <row r="14" spans="1:4" ht="15.75">
      <c r="A14" s="513">
        <f t="shared" ref="A14:A36" si="0">+A13+1</f>
        <v>6</v>
      </c>
      <c r="B14" s="514" t="s">
        <v>805</v>
      </c>
      <c r="C14" s="511" t="s">
        <v>806</v>
      </c>
      <c r="D14" s="515">
        <v>3.1</v>
      </c>
    </row>
    <row r="15" spans="1:4" ht="15.75">
      <c r="A15" s="513">
        <f t="shared" si="0"/>
        <v>7</v>
      </c>
      <c r="B15" s="514" t="s">
        <v>807</v>
      </c>
      <c r="C15" s="511" t="s">
        <v>808</v>
      </c>
      <c r="D15" s="515">
        <v>0</v>
      </c>
    </row>
    <row r="16" spans="1:4" ht="15.75">
      <c r="A16" s="513">
        <f t="shared" si="0"/>
        <v>8</v>
      </c>
      <c r="B16" s="514" t="s">
        <v>809</v>
      </c>
      <c r="C16" s="511" t="s">
        <v>810</v>
      </c>
      <c r="D16" s="515">
        <v>0</v>
      </c>
    </row>
    <row r="17" spans="1:4" ht="15.75">
      <c r="A17" s="513">
        <f t="shared" si="0"/>
        <v>9</v>
      </c>
      <c r="B17" s="514" t="s">
        <v>811</v>
      </c>
      <c r="C17" s="511" t="s">
        <v>812</v>
      </c>
      <c r="D17" s="515">
        <v>0</v>
      </c>
    </row>
    <row r="18" spans="1:4" ht="15.75">
      <c r="A18" s="513"/>
      <c r="B18" s="511"/>
      <c r="C18" s="511"/>
      <c r="D18" s="515"/>
    </row>
    <row r="19" spans="1:4" ht="15.75">
      <c r="A19" s="513"/>
      <c r="B19" s="514" t="s">
        <v>813</v>
      </c>
      <c r="C19" s="511"/>
      <c r="D19" s="515"/>
    </row>
    <row r="20" spans="1:4" ht="15.75">
      <c r="A20" s="513">
        <f>+A17+1</f>
        <v>10</v>
      </c>
      <c r="B20" s="514" t="s">
        <v>814</v>
      </c>
      <c r="C20" s="511" t="s">
        <v>815</v>
      </c>
      <c r="D20" s="515">
        <v>0</v>
      </c>
    </row>
    <row r="21" spans="1:4" ht="15.75">
      <c r="A21" s="513">
        <f t="shared" si="0"/>
        <v>11</v>
      </c>
      <c r="B21" s="514" t="s">
        <v>816</v>
      </c>
      <c r="C21" s="511" t="s">
        <v>817</v>
      </c>
      <c r="D21" s="515">
        <v>5.25</v>
      </c>
    </row>
    <row r="22" spans="1:4" ht="15.75">
      <c r="A22" s="513">
        <f t="shared" si="0"/>
        <v>12</v>
      </c>
      <c r="B22" s="514">
        <v>392</v>
      </c>
      <c r="C22" s="511" t="s">
        <v>818</v>
      </c>
      <c r="D22" s="515">
        <v>0</v>
      </c>
    </row>
    <row r="23" spans="1:4" ht="15.75">
      <c r="A23" s="513">
        <f t="shared" si="0"/>
        <v>13</v>
      </c>
      <c r="B23" s="514" t="s">
        <v>819</v>
      </c>
      <c r="C23" s="511" t="s">
        <v>820</v>
      </c>
      <c r="D23" s="515">
        <v>0</v>
      </c>
    </row>
    <row r="24" spans="1:4" ht="15.75">
      <c r="A24" s="513">
        <f t="shared" si="0"/>
        <v>14</v>
      </c>
      <c r="B24" s="514" t="s">
        <v>821</v>
      </c>
      <c r="C24" s="511" t="s">
        <v>822</v>
      </c>
      <c r="D24" s="515">
        <v>0</v>
      </c>
    </row>
    <row r="25" spans="1:4" ht="15.75">
      <c r="A25" s="513">
        <f t="shared" si="0"/>
        <v>15</v>
      </c>
      <c r="B25" s="514" t="s">
        <v>823</v>
      </c>
      <c r="C25" s="511" t="s">
        <v>824</v>
      </c>
      <c r="D25" s="515">
        <v>0</v>
      </c>
    </row>
    <row r="26" spans="1:4" ht="15.75">
      <c r="A26" s="513">
        <f t="shared" si="0"/>
        <v>16</v>
      </c>
      <c r="B26" s="514" t="s">
        <v>825</v>
      </c>
      <c r="C26" s="511" t="s">
        <v>826</v>
      </c>
      <c r="D26" s="515">
        <v>25</v>
      </c>
    </row>
    <row r="27" spans="1:4" ht="15.75">
      <c r="A27" s="513">
        <f t="shared" si="0"/>
        <v>17</v>
      </c>
      <c r="B27" s="514" t="s">
        <v>827</v>
      </c>
      <c r="C27" s="511" t="s">
        <v>828</v>
      </c>
      <c r="D27" s="515">
        <v>2.5</v>
      </c>
    </row>
    <row r="28" spans="1:4" ht="15.75">
      <c r="A28" s="513"/>
      <c r="B28" s="511"/>
      <c r="C28" s="511"/>
      <c r="D28" s="515"/>
    </row>
    <row r="29" spans="1:4" ht="15.75">
      <c r="A29" s="513"/>
      <c r="B29" s="514" t="s">
        <v>829</v>
      </c>
      <c r="C29" s="511"/>
      <c r="D29" s="515"/>
    </row>
    <row r="30" spans="1:4" ht="15.75">
      <c r="A30" s="513">
        <v>18</v>
      </c>
      <c r="B30" s="514" t="s">
        <v>830</v>
      </c>
      <c r="C30" s="511" t="s">
        <v>831</v>
      </c>
      <c r="D30" s="515">
        <v>1.85</v>
      </c>
    </row>
    <row r="31" spans="1:4" ht="15.75">
      <c r="A31" s="513">
        <f>+A30+1</f>
        <v>19</v>
      </c>
      <c r="B31" s="516">
        <v>302</v>
      </c>
      <c r="C31" s="511" t="s">
        <v>832</v>
      </c>
      <c r="D31" s="517">
        <v>1.85</v>
      </c>
    </row>
    <row r="32" spans="1:4" ht="15.75">
      <c r="A32" s="513">
        <f t="shared" si="0"/>
        <v>20</v>
      </c>
      <c r="B32" s="514" t="s">
        <v>833</v>
      </c>
      <c r="C32" s="511" t="s">
        <v>834</v>
      </c>
      <c r="D32" s="515"/>
    </row>
    <row r="33" spans="1:6" ht="15.75">
      <c r="A33" s="513">
        <f t="shared" si="0"/>
        <v>21</v>
      </c>
      <c r="B33" s="514"/>
      <c r="C33" s="511" t="s">
        <v>835</v>
      </c>
      <c r="D33" s="515">
        <f>0.2*100</f>
        <v>20</v>
      </c>
    </row>
    <row r="34" spans="1:6" ht="15.75">
      <c r="A34" s="513">
        <f t="shared" si="0"/>
        <v>22</v>
      </c>
      <c r="B34" s="514"/>
      <c r="C34" s="511" t="s">
        <v>836</v>
      </c>
      <c r="D34" s="515">
        <f>0.142857142857143*100</f>
        <v>14.285714285714299</v>
      </c>
    </row>
    <row r="35" spans="1:6" ht="15.75">
      <c r="A35" s="513">
        <f t="shared" si="0"/>
        <v>23</v>
      </c>
      <c r="B35" s="514"/>
      <c r="C35" s="511" t="s">
        <v>837</v>
      </c>
      <c r="D35" s="515">
        <v>10</v>
      </c>
    </row>
    <row r="36" spans="1:6" ht="15.75">
      <c r="A36" s="513">
        <f t="shared" si="0"/>
        <v>24</v>
      </c>
      <c r="B36" s="511"/>
      <c r="C36" s="516" t="s">
        <v>838</v>
      </c>
      <c r="D36" s="518" t="s">
        <v>839</v>
      </c>
    </row>
    <row r="37" spans="1:6" ht="15.75">
      <c r="C37" s="519"/>
      <c r="D37" s="519"/>
      <c r="E37" s="519"/>
    </row>
    <row r="38" spans="1:6" ht="15.75">
      <c r="A38" s="510"/>
      <c r="B38" s="510"/>
      <c r="C38" s="519"/>
      <c r="D38" s="519"/>
      <c r="E38" s="519"/>
    </row>
    <row r="39" spans="1:6" ht="18">
      <c r="A39" s="3"/>
      <c r="B39" s="520" t="s">
        <v>840</v>
      </c>
      <c r="C39" s="520"/>
      <c r="D39" s="521"/>
      <c r="E39" s="522"/>
      <c r="F39" s="522"/>
    </row>
    <row r="40" spans="1:6" ht="18">
      <c r="A40" s="3"/>
      <c r="B40" s="520" t="s">
        <v>841</v>
      </c>
      <c r="C40" s="520"/>
      <c r="D40" s="521"/>
      <c r="E40" s="522"/>
      <c r="F40" s="522"/>
    </row>
    <row r="41" spans="1:6" ht="18">
      <c r="A41" s="3"/>
      <c r="B41" s="520" t="s">
        <v>842</v>
      </c>
      <c r="C41" s="520"/>
      <c r="D41" s="521"/>
      <c r="E41" s="522"/>
      <c r="F41" s="522"/>
    </row>
    <row r="42" spans="1:6" ht="18">
      <c r="A42" s="3"/>
      <c r="B42" s="520" t="s">
        <v>843</v>
      </c>
      <c r="C42" s="520"/>
      <c r="D42" s="521"/>
      <c r="E42" s="522"/>
      <c r="F42" s="522"/>
    </row>
    <row r="43" spans="1:6" ht="18">
      <c r="A43" s="3"/>
      <c r="B43" s="520" t="s">
        <v>844</v>
      </c>
      <c r="C43" s="520"/>
      <c r="D43" s="521"/>
      <c r="E43" s="522"/>
      <c r="F43" s="522"/>
    </row>
    <row r="44" spans="1:6" ht="18">
      <c r="A44" s="3"/>
      <c r="B44" s="520" t="s">
        <v>845</v>
      </c>
      <c r="C44" s="520"/>
      <c r="D44" s="521"/>
      <c r="E44" s="522"/>
      <c r="F44" s="522"/>
    </row>
    <row r="45" spans="1:6" ht="18.75">
      <c r="A45" s="3"/>
      <c r="B45" s="523"/>
      <c r="C45" s="524"/>
      <c r="D45" s="525"/>
    </row>
    <row r="46" spans="1:6" ht="18">
      <c r="A46" s="3"/>
      <c r="B46" s="526" t="s">
        <v>846</v>
      </c>
      <c r="C46" s="527"/>
    </row>
    <row r="47" spans="1:6" ht="15.75">
      <c r="A47" s="528"/>
      <c r="B47" s="529"/>
      <c r="C47" s="527"/>
    </row>
    <row r="48" spans="1:6">
      <c r="A48" s="528"/>
      <c r="B48" s="530"/>
      <c r="C48" s="531"/>
    </row>
    <row r="49" spans="1:3">
      <c r="A49" s="528"/>
      <c r="B49" s="530"/>
      <c r="C49" s="531"/>
    </row>
    <row r="50" spans="1:3">
      <c r="A50" s="528"/>
      <c r="B50" s="530"/>
      <c r="C50" s="531"/>
    </row>
    <row r="51" spans="1:3">
      <c r="A51" s="528"/>
      <c r="B51" s="530"/>
      <c r="C51" s="531"/>
    </row>
    <row r="52" spans="1:3">
      <c r="A52" s="528"/>
      <c r="B52" s="530"/>
      <c r="C52" s="531"/>
    </row>
    <row r="53" spans="1:3">
      <c r="A53" s="528"/>
      <c r="B53" s="530"/>
      <c r="C53" s="531"/>
    </row>
    <row r="54" spans="1:3">
      <c r="A54" s="528"/>
      <c r="B54" s="530"/>
    </row>
    <row r="55" spans="1:3">
      <c r="A55" s="532"/>
      <c r="B55" s="530"/>
    </row>
    <row r="56" spans="1:3">
      <c r="A56" s="532"/>
      <c r="B56" s="530"/>
    </row>
    <row r="57" spans="1:3">
      <c r="A57" s="532"/>
    </row>
    <row r="58" spans="1:3">
      <c r="A58" s="532"/>
    </row>
    <row r="59" spans="1:3">
      <c r="A59" s="532"/>
    </row>
    <row r="60" spans="1:3">
      <c r="A60" s="532"/>
    </row>
    <row r="61" spans="1:3">
      <c r="A61" s="532"/>
    </row>
    <row r="62" spans="1:3">
      <c r="A62" s="532"/>
    </row>
    <row r="63" spans="1:3">
      <c r="A63" s="532"/>
    </row>
    <row r="64" spans="1:3">
      <c r="A64" s="532"/>
    </row>
    <row r="65" spans="1:1">
      <c r="A65" s="532"/>
    </row>
    <row r="66" spans="1:1">
      <c r="A66" s="532"/>
    </row>
    <row r="67" spans="1:1" ht="24" customHeight="1">
      <c r="A67" s="532"/>
    </row>
    <row r="68" spans="1:1">
      <c r="A68" s="532"/>
    </row>
    <row r="69" spans="1:1">
      <c r="A69" s="532"/>
    </row>
    <row r="70" spans="1:1">
      <c r="A70" s="532"/>
    </row>
    <row r="71" spans="1:1">
      <c r="A71" s="532"/>
    </row>
    <row r="72" spans="1:1">
      <c r="A72" s="532"/>
    </row>
    <row r="73" spans="1:1">
      <c r="A73" s="532"/>
    </row>
    <row r="74" spans="1:1">
      <c r="A74" s="532"/>
    </row>
    <row r="75" spans="1:1">
      <c r="A75" s="532"/>
    </row>
    <row r="76" spans="1:1">
      <c r="A76" s="532"/>
    </row>
    <row r="77" spans="1:1">
      <c r="A77" s="532"/>
    </row>
  </sheetData>
  <mergeCells count="3">
    <mergeCell ref="A2:D2"/>
    <mergeCell ref="A3:D3"/>
    <mergeCell ref="A4:D4"/>
  </mergeCells>
  <pageMargins left="0.25" right="0.25" top="0.75" bottom="0.75" header="0.3" footer="0.3"/>
  <pageSetup scale="49"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0FFF9-7093-41C2-8BB7-866D68DAE9D9}">
  <dimension ref="A1:U109"/>
  <sheetViews>
    <sheetView topLeftCell="A43" zoomScale="85" zoomScaleNormal="85" zoomScaleSheetLayoutView="80" workbookViewId="0">
      <selection activeCell="G66" sqref="G66"/>
    </sheetView>
  </sheetViews>
  <sheetFormatPr defaultColWidth="8.77734375" defaultRowHeight="12.75"/>
  <cols>
    <col min="1" max="1" width="6" style="139" customWidth="1"/>
    <col min="2" max="2" width="1.44140625" style="139" customWidth="1"/>
    <col min="3" max="3" width="36" style="139" customWidth="1"/>
    <col min="4" max="4" width="13.77734375" style="139" customWidth="1"/>
    <col min="5" max="5" width="17.5546875" style="139" customWidth="1"/>
    <col min="6" max="6" width="13.109375" style="139" customWidth="1"/>
    <col min="7" max="7" width="14.44140625" style="139" customWidth="1"/>
    <col min="8" max="8" width="16.21875" style="139" customWidth="1"/>
    <col min="9" max="9" width="13.77734375" style="139" customWidth="1"/>
    <col min="10" max="10" width="14.44140625" style="139" customWidth="1"/>
    <col min="11" max="11" width="13.5546875" style="139" customWidth="1"/>
    <col min="12" max="13" width="15.77734375" style="139" customWidth="1"/>
    <col min="14" max="15" width="14.44140625" style="139" customWidth="1"/>
    <col min="16" max="16" width="12.77734375" style="139" customWidth="1"/>
    <col min="17" max="17" width="13.77734375" style="139" customWidth="1"/>
    <col min="18" max="18" width="9.21875" style="139" customWidth="1"/>
    <col min="19" max="19" width="13" style="139" customWidth="1"/>
    <col min="20" max="20" width="11.21875" style="25" bestFit="1" customWidth="1"/>
    <col min="21" max="16384" width="8.77734375" style="139"/>
  </cols>
  <sheetData>
    <row r="1" spans="1:21">
      <c r="Q1" s="140"/>
    </row>
    <row r="2" spans="1:21">
      <c r="Q2" s="140"/>
    </row>
    <row r="4" spans="1:21">
      <c r="Q4" s="140"/>
    </row>
    <row r="5" spans="1:21">
      <c r="D5" s="141"/>
      <c r="E5" s="141"/>
      <c r="F5" s="141"/>
      <c r="G5" s="142" t="s">
        <v>337</v>
      </c>
      <c r="H5" s="141"/>
      <c r="I5" s="141"/>
      <c r="J5" s="141"/>
      <c r="K5" s="141"/>
      <c r="L5" s="1"/>
      <c r="M5" s="143"/>
      <c r="N5" s="143"/>
      <c r="O5" s="143"/>
      <c r="P5" s="143"/>
      <c r="Q5" s="143"/>
      <c r="R5" s="144"/>
      <c r="S5" s="144" t="s">
        <v>338</v>
      </c>
      <c r="T5" s="145"/>
      <c r="U5" s="144"/>
    </row>
    <row r="6" spans="1:21">
      <c r="D6" s="141"/>
      <c r="E6" s="146" t="s">
        <v>10</v>
      </c>
      <c r="F6" s="146"/>
      <c r="G6" s="142" t="s">
        <v>339</v>
      </c>
      <c r="H6" s="146"/>
      <c r="I6" s="146"/>
      <c r="J6" s="146"/>
      <c r="K6" s="141"/>
      <c r="P6" s="144"/>
      <c r="Q6" s="141"/>
      <c r="R6" s="144"/>
      <c r="S6" s="147"/>
      <c r="T6" s="145"/>
      <c r="U6" s="144"/>
    </row>
    <row r="7" spans="1:21">
      <c r="C7" s="144"/>
      <c r="D7" s="144"/>
      <c r="E7" s="144"/>
      <c r="F7" s="144"/>
      <c r="G7" s="50" t="str">
        <f>'Attachment H'!$D$5</f>
        <v>NextEra Energy Transmission MidAtlantic Indiana, Inc.</v>
      </c>
      <c r="H7" s="144"/>
      <c r="I7" s="144"/>
      <c r="J7" s="144"/>
      <c r="K7" s="144"/>
      <c r="P7" s="144"/>
      <c r="Q7" s="144"/>
      <c r="R7" s="144"/>
      <c r="S7" s="148"/>
      <c r="T7" s="145"/>
      <c r="U7" s="144"/>
    </row>
    <row r="8" spans="1:21">
      <c r="A8" s="142"/>
      <c r="C8" s="144"/>
      <c r="D8" s="144"/>
      <c r="E8" s="144"/>
      <c r="F8" s="144"/>
      <c r="H8" s="144"/>
      <c r="I8" s="144"/>
      <c r="J8" s="144"/>
      <c r="K8" s="144"/>
      <c r="L8" s="144"/>
      <c r="M8" s="144"/>
      <c r="N8" s="144"/>
      <c r="O8" s="144"/>
      <c r="P8" s="144"/>
      <c r="Q8" s="144"/>
      <c r="R8" s="144"/>
      <c r="S8" s="148"/>
      <c r="T8" s="145"/>
      <c r="U8" s="144"/>
    </row>
    <row r="9" spans="1:21">
      <c r="A9" s="142"/>
      <c r="C9" s="144"/>
      <c r="D9" s="144"/>
      <c r="E9" s="144"/>
      <c r="F9" s="144"/>
      <c r="G9" s="149"/>
      <c r="H9" s="144"/>
      <c r="I9" s="144"/>
      <c r="J9" s="144"/>
      <c r="K9" s="144"/>
      <c r="L9" s="144"/>
      <c r="M9" s="144"/>
      <c r="N9" s="144"/>
      <c r="O9" s="144"/>
      <c r="P9" s="144"/>
      <c r="Q9" s="144"/>
      <c r="R9" s="144"/>
      <c r="S9" s="148"/>
      <c r="T9" s="145"/>
      <c r="U9" s="144"/>
    </row>
    <row r="10" spans="1:21">
      <c r="A10" s="142"/>
      <c r="C10" s="144" t="s">
        <v>340</v>
      </c>
      <c r="D10" s="144"/>
      <c r="E10" s="144"/>
      <c r="F10" s="144"/>
      <c r="G10" s="149"/>
      <c r="H10" s="144"/>
      <c r="I10" s="144"/>
      <c r="J10" s="144"/>
      <c r="K10" s="144"/>
      <c r="L10" s="144"/>
      <c r="M10" s="144"/>
      <c r="N10" s="144"/>
      <c r="O10" s="144"/>
      <c r="P10" s="144"/>
      <c r="Q10" s="144"/>
      <c r="R10" s="144"/>
      <c r="S10" s="148"/>
      <c r="T10" s="145"/>
      <c r="U10" s="144"/>
    </row>
    <row r="11" spans="1:21">
      <c r="A11" s="142"/>
      <c r="C11" s="144"/>
      <c r="D11" s="144"/>
      <c r="E11" s="144"/>
      <c r="F11" s="144"/>
      <c r="G11" s="149"/>
      <c r="L11" s="144"/>
      <c r="M11" s="144"/>
      <c r="N11" s="144"/>
      <c r="O11" s="144"/>
      <c r="P11" s="144"/>
      <c r="Q11" s="144"/>
      <c r="R11" s="144"/>
      <c r="S11" s="144"/>
      <c r="U11" s="144"/>
    </row>
    <row r="12" spans="1:21">
      <c r="A12" s="142"/>
      <c r="C12" s="144"/>
      <c r="D12" s="144"/>
      <c r="E12" s="144"/>
      <c r="F12" s="144"/>
      <c r="G12" s="144"/>
      <c r="L12" s="146"/>
      <c r="M12" s="146"/>
      <c r="N12" s="146"/>
      <c r="O12" s="146"/>
      <c r="P12" s="144"/>
      <c r="Q12" s="144"/>
      <c r="R12" s="144"/>
      <c r="S12" s="144"/>
      <c r="U12" s="144"/>
    </row>
    <row r="13" spans="1:21">
      <c r="C13" s="150" t="s">
        <v>7</v>
      </c>
      <c r="D13" s="150"/>
      <c r="E13" s="150" t="s">
        <v>8</v>
      </c>
      <c r="F13" s="150"/>
      <c r="I13" s="150" t="s">
        <v>9</v>
      </c>
      <c r="L13" s="151" t="s">
        <v>11</v>
      </c>
      <c r="M13" s="151"/>
      <c r="N13" s="151"/>
      <c r="O13" s="151"/>
      <c r="P13" s="146"/>
      <c r="Q13" s="151"/>
      <c r="R13" s="146"/>
      <c r="S13" s="151"/>
      <c r="U13" s="144"/>
    </row>
    <row r="14" spans="1:21">
      <c r="C14" s="144"/>
      <c r="D14" s="144"/>
      <c r="E14" s="152" t="s">
        <v>1</v>
      </c>
      <c r="F14" s="152"/>
      <c r="I14" s="146"/>
      <c r="P14" s="146"/>
      <c r="R14" s="146"/>
      <c r="S14" s="150"/>
      <c r="T14" s="99"/>
      <c r="U14" s="144"/>
    </row>
    <row r="15" spans="1:21">
      <c r="A15" s="142" t="s">
        <v>13</v>
      </c>
      <c r="C15" s="144"/>
      <c r="D15" s="144"/>
      <c r="E15" s="153" t="s">
        <v>341</v>
      </c>
      <c r="F15" s="153"/>
      <c r="I15" s="154" t="s">
        <v>40</v>
      </c>
      <c r="L15" s="154" t="s">
        <v>22</v>
      </c>
      <c r="M15" s="154"/>
      <c r="N15" s="154"/>
      <c r="O15" s="154"/>
      <c r="P15" s="146"/>
      <c r="R15" s="144"/>
      <c r="S15" s="155"/>
      <c r="T15" s="99"/>
      <c r="U15" s="144"/>
    </row>
    <row r="16" spans="1:21">
      <c r="A16" s="142" t="s">
        <v>15</v>
      </c>
      <c r="C16" s="156"/>
      <c r="D16" s="156"/>
      <c r="E16" s="146"/>
      <c r="F16" s="146"/>
      <c r="I16" s="146"/>
      <c r="L16" s="146"/>
      <c r="M16" s="146"/>
      <c r="N16" s="146"/>
      <c r="O16" s="146"/>
      <c r="P16" s="146"/>
      <c r="Q16" s="146"/>
      <c r="R16" s="144"/>
      <c r="S16" s="146"/>
      <c r="U16" s="144"/>
    </row>
    <row r="17" spans="1:21">
      <c r="A17" s="157"/>
      <c r="C17" s="144"/>
      <c r="D17" s="144"/>
      <c r="E17" s="146"/>
      <c r="F17" s="146"/>
      <c r="I17" s="146"/>
      <c r="L17" s="146"/>
      <c r="M17" s="146"/>
      <c r="N17" s="146"/>
      <c r="O17" s="146"/>
      <c r="P17" s="146"/>
      <c r="Q17" s="146"/>
      <c r="R17" s="144"/>
      <c r="S17" s="146"/>
      <c r="U17" s="144"/>
    </row>
    <row r="18" spans="1:21">
      <c r="A18" s="158">
        <v>1</v>
      </c>
      <c r="C18" s="144" t="s">
        <v>342</v>
      </c>
      <c r="D18" s="144"/>
      <c r="E18" s="159" t="s">
        <v>343</v>
      </c>
      <c r="F18" s="158"/>
      <c r="I18" s="25">
        <f>+'Attachment H'!I64</f>
        <v>2486171.48</v>
      </c>
      <c r="P18" s="146"/>
      <c r="Q18" s="146"/>
      <c r="R18" s="144"/>
      <c r="S18" s="146"/>
      <c r="U18" s="144"/>
    </row>
    <row r="19" spans="1:21">
      <c r="A19" s="158">
        <v>2</v>
      </c>
      <c r="C19" s="144" t="s">
        <v>344</v>
      </c>
      <c r="D19" s="144"/>
      <c r="E19" s="159" t="s">
        <v>345</v>
      </c>
      <c r="F19" s="158"/>
      <c r="I19" s="25">
        <f>+'Attachment H'!I80+'Attachment H'!I93+'Attachment H'!I95</f>
        <v>111447.3009856916</v>
      </c>
      <c r="P19" s="146"/>
      <c r="Q19" s="146"/>
      <c r="R19" s="144"/>
      <c r="S19" s="146"/>
      <c r="U19" s="144"/>
    </row>
    <row r="20" spans="1:21">
      <c r="A20" s="158"/>
      <c r="E20" s="159"/>
      <c r="F20" s="158"/>
      <c r="P20" s="146"/>
      <c r="Q20" s="146"/>
      <c r="R20" s="144"/>
      <c r="S20" s="146"/>
      <c r="U20" s="144"/>
    </row>
    <row r="21" spans="1:21">
      <c r="A21" s="158"/>
      <c r="C21" s="144" t="s">
        <v>346</v>
      </c>
      <c r="D21" s="144"/>
      <c r="E21" s="159"/>
      <c r="F21" s="158"/>
      <c r="I21" s="146"/>
      <c r="L21" s="146"/>
      <c r="M21" s="146"/>
      <c r="N21" s="146"/>
      <c r="O21" s="146"/>
      <c r="P21" s="146"/>
      <c r="Q21" s="146"/>
      <c r="R21" s="146"/>
      <c r="S21" s="146"/>
      <c r="U21" s="144"/>
    </row>
    <row r="22" spans="1:21">
      <c r="A22" s="158">
        <v>3</v>
      </c>
      <c r="C22" s="144" t="s">
        <v>347</v>
      </c>
      <c r="D22" s="144"/>
      <c r="E22" s="159" t="s">
        <v>348</v>
      </c>
      <c r="F22" s="158"/>
      <c r="I22" s="111">
        <f>+'Attachment H'!I134</f>
        <v>506610.65498666675</v>
      </c>
      <c r="P22" s="146"/>
      <c r="Q22" s="146"/>
      <c r="R22" s="146"/>
      <c r="S22" s="146"/>
      <c r="U22" s="144"/>
    </row>
    <row r="23" spans="1:21">
      <c r="A23" s="158">
        <v>4</v>
      </c>
      <c r="C23" s="144" t="s">
        <v>349</v>
      </c>
      <c r="D23" s="144"/>
      <c r="E23" s="159" t="s">
        <v>350</v>
      </c>
      <c r="F23" s="158"/>
      <c r="I23" s="22">
        <f>IF(I18=0,0,I22/I18)</f>
        <v>0.20377140477320041</v>
      </c>
      <c r="L23" s="160">
        <f>I23</f>
        <v>0.20377140477320041</v>
      </c>
      <c r="M23" s="161"/>
      <c r="N23" s="161"/>
      <c r="O23" s="161"/>
      <c r="P23" s="146"/>
      <c r="Q23" s="162"/>
      <c r="R23" s="163"/>
      <c r="S23" s="164"/>
      <c r="U23" s="144"/>
    </row>
    <row r="24" spans="1:21">
      <c r="A24" s="158"/>
      <c r="C24" s="144"/>
      <c r="D24" s="144"/>
      <c r="E24" s="159"/>
      <c r="F24" s="158"/>
      <c r="I24" s="165"/>
      <c r="L24" s="161"/>
      <c r="M24" s="161"/>
      <c r="N24" s="161"/>
      <c r="O24" s="161"/>
      <c r="P24" s="146"/>
      <c r="Q24" s="162"/>
      <c r="R24" s="163"/>
      <c r="S24" s="164"/>
      <c r="U24" s="144"/>
    </row>
    <row r="25" spans="1:21">
      <c r="A25" s="151"/>
      <c r="C25" s="144" t="s">
        <v>351</v>
      </c>
      <c r="D25" s="144"/>
      <c r="E25" s="166"/>
      <c r="F25" s="167"/>
      <c r="I25" s="146"/>
      <c r="L25" s="146"/>
      <c r="M25" s="146"/>
      <c r="N25" s="146"/>
      <c r="O25" s="146"/>
      <c r="P25" s="146"/>
      <c r="Q25" s="162"/>
      <c r="R25" s="163"/>
      <c r="S25" s="164"/>
      <c r="U25" s="144"/>
    </row>
    <row r="26" spans="1:21">
      <c r="A26" s="151" t="s">
        <v>352</v>
      </c>
      <c r="C26" s="144" t="s">
        <v>353</v>
      </c>
      <c r="D26" s="144"/>
      <c r="E26" s="159" t="s">
        <v>354</v>
      </c>
      <c r="F26" s="158"/>
      <c r="I26" s="111">
        <f>+'Attachment H'!I138+'Attachment H'!I139</f>
        <v>0</v>
      </c>
      <c r="P26" s="146"/>
      <c r="Q26" s="162"/>
      <c r="R26" s="163"/>
      <c r="S26" s="164"/>
      <c r="U26" s="144"/>
    </row>
    <row r="27" spans="1:21">
      <c r="A27" s="151" t="s">
        <v>355</v>
      </c>
      <c r="C27" s="144" t="s">
        <v>356</v>
      </c>
      <c r="D27" s="144"/>
      <c r="E27" s="159" t="s">
        <v>357</v>
      </c>
      <c r="F27" s="158"/>
      <c r="I27" s="22">
        <f>IF(I26=0,0,I26/I18)</f>
        <v>0</v>
      </c>
      <c r="J27" s="22"/>
      <c r="K27" s="22"/>
      <c r="L27" s="168">
        <f>I27</f>
        <v>0</v>
      </c>
      <c r="M27" s="161"/>
      <c r="N27" s="161"/>
      <c r="O27" s="161"/>
      <c r="P27" s="146"/>
      <c r="Q27" s="162"/>
      <c r="R27" s="163"/>
      <c r="S27" s="164"/>
      <c r="U27" s="144"/>
    </row>
    <row r="28" spans="1:21">
      <c r="A28" s="158"/>
      <c r="C28" s="144"/>
      <c r="D28" s="144"/>
      <c r="E28" s="159"/>
      <c r="F28" s="158"/>
      <c r="I28" s="22"/>
      <c r="J28" s="22"/>
      <c r="K28" s="22"/>
      <c r="L28" s="168"/>
      <c r="M28" s="161"/>
      <c r="N28" s="161"/>
      <c r="O28" s="161"/>
      <c r="P28" s="146"/>
      <c r="Q28" s="162"/>
      <c r="R28" s="163"/>
      <c r="S28" s="164"/>
      <c r="U28" s="144"/>
    </row>
    <row r="29" spans="1:21">
      <c r="A29" s="151"/>
      <c r="C29" s="144" t="s">
        <v>358</v>
      </c>
      <c r="D29" s="144"/>
      <c r="E29" s="166"/>
      <c r="F29" s="167"/>
      <c r="I29" s="22"/>
      <c r="J29" s="22"/>
      <c r="K29" s="22"/>
      <c r="L29" s="22"/>
      <c r="M29" s="146"/>
      <c r="N29" s="146"/>
      <c r="O29" s="146"/>
      <c r="P29" s="146"/>
      <c r="Q29" s="146"/>
      <c r="R29" s="146"/>
      <c r="S29" s="146"/>
      <c r="U29" s="144"/>
    </row>
    <row r="30" spans="1:21">
      <c r="A30" s="151" t="s">
        <v>359</v>
      </c>
      <c r="C30" s="144" t="s">
        <v>360</v>
      </c>
      <c r="D30" s="144"/>
      <c r="E30" s="159" t="s">
        <v>361</v>
      </c>
      <c r="F30" s="158"/>
      <c r="I30" s="22">
        <f>+'Attachment H'!I152</f>
        <v>2459.4036529005571</v>
      </c>
      <c r="J30" s="22"/>
      <c r="K30" s="22"/>
      <c r="L30" s="22"/>
      <c r="P30" s="146"/>
      <c r="Q30" s="155"/>
      <c r="R30" s="146"/>
      <c r="S30" s="158"/>
      <c r="T30" s="99"/>
      <c r="U30" s="144"/>
    </row>
    <row r="31" spans="1:21">
      <c r="A31" s="151" t="s">
        <v>362</v>
      </c>
      <c r="C31" s="144" t="s">
        <v>363</v>
      </c>
      <c r="D31" s="144"/>
      <c r="E31" s="159" t="s">
        <v>364</v>
      </c>
      <c r="F31" s="158"/>
      <c r="I31" s="22">
        <f>IF(I30=0,0,I30/I18)</f>
        <v>9.8923331422841234E-4</v>
      </c>
      <c r="J31" s="22"/>
      <c r="K31" s="22"/>
      <c r="L31" s="168">
        <f>I31</f>
        <v>9.8923331422841234E-4</v>
      </c>
      <c r="M31" s="161"/>
      <c r="N31" s="161"/>
      <c r="O31" s="161"/>
      <c r="P31" s="146"/>
      <c r="Q31" s="162"/>
      <c r="R31" s="146"/>
      <c r="S31" s="164"/>
      <c r="T31" s="99"/>
      <c r="U31" s="144"/>
    </row>
    <row r="32" spans="1:21">
      <c r="A32" s="151"/>
      <c r="C32" s="144"/>
      <c r="D32" s="144"/>
      <c r="E32" s="159"/>
      <c r="F32" s="158"/>
      <c r="I32" s="146"/>
      <c r="L32" s="146"/>
      <c r="M32" s="146"/>
      <c r="N32" s="146"/>
      <c r="O32" s="146"/>
      <c r="P32" s="146"/>
      <c r="U32" s="144"/>
    </row>
    <row r="33" spans="1:21">
      <c r="A33" s="151" t="s">
        <v>365</v>
      </c>
      <c r="C33" s="144" t="s">
        <v>366</v>
      </c>
      <c r="D33" s="144"/>
      <c r="E33" s="159" t="s">
        <v>367</v>
      </c>
      <c r="F33" s="158"/>
      <c r="I33" s="25">
        <f>-'Attachment H'!I19</f>
        <v>0</v>
      </c>
      <c r="L33" s="146"/>
      <c r="M33" s="146"/>
      <c r="N33" s="146"/>
      <c r="O33" s="146"/>
      <c r="P33" s="146"/>
      <c r="U33" s="144"/>
    </row>
    <row r="34" spans="1:21">
      <c r="A34" s="151" t="s">
        <v>368</v>
      </c>
      <c r="C34" s="144" t="s">
        <v>369</v>
      </c>
      <c r="D34" s="144"/>
      <c r="E34" s="159" t="s">
        <v>370</v>
      </c>
      <c r="F34" s="158"/>
      <c r="I34" s="60">
        <f>IF(L18=0,0,I33/I18)</f>
        <v>0</v>
      </c>
      <c r="L34" s="22">
        <f>+I34</f>
        <v>0</v>
      </c>
      <c r="M34" s="146"/>
      <c r="N34" s="146"/>
      <c r="O34" s="146"/>
      <c r="P34" s="146"/>
      <c r="U34" s="144"/>
    </row>
    <row r="35" spans="1:21">
      <c r="A35" s="151"/>
      <c r="C35" s="144"/>
      <c r="D35" s="144"/>
      <c r="E35" s="159"/>
      <c r="F35" s="158"/>
      <c r="I35" s="146"/>
      <c r="L35" s="146"/>
      <c r="M35" s="146"/>
      <c r="N35" s="146"/>
      <c r="O35" s="146"/>
      <c r="P35" s="146"/>
      <c r="U35" s="144"/>
    </row>
    <row r="36" spans="1:21">
      <c r="A36" s="169" t="s">
        <v>371</v>
      </c>
      <c r="B36" s="170"/>
      <c r="C36" s="156" t="s">
        <v>372</v>
      </c>
      <c r="D36" s="156"/>
      <c r="E36" s="171" t="s">
        <v>373</v>
      </c>
      <c r="F36" s="152"/>
      <c r="I36" s="163"/>
      <c r="L36" s="172">
        <f>L23+L27+L31+L34</f>
        <v>0.20476063808742881</v>
      </c>
      <c r="M36" s="173"/>
      <c r="N36" s="173"/>
      <c r="O36" s="173"/>
      <c r="P36" s="146"/>
      <c r="U36" s="144"/>
    </row>
    <row r="37" spans="1:21">
      <c r="A37" s="151"/>
      <c r="C37" s="144"/>
      <c r="D37" s="144"/>
      <c r="E37" s="159"/>
      <c r="F37" s="158"/>
      <c r="I37" s="146"/>
      <c r="L37" s="146"/>
      <c r="M37" s="146"/>
      <c r="N37" s="146"/>
      <c r="O37" s="146"/>
      <c r="P37" s="146"/>
      <c r="Q37" s="146"/>
      <c r="R37" s="146"/>
      <c r="S37" s="174"/>
      <c r="U37" s="144"/>
    </row>
    <row r="38" spans="1:21">
      <c r="A38" s="151"/>
      <c r="B38" s="175"/>
      <c r="C38" s="146" t="s">
        <v>374</v>
      </c>
      <c r="D38" s="146"/>
      <c r="E38" s="159"/>
      <c r="F38" s="158"/>
      <c r="I38" s="146"/>
      <c r="L38" s="146"/>
      <c r="M38" s="146"/>
      <c r="N38" s="146"/>
      <c r="O38" s="146"/>
      <c r="P38" s="176"/>
      <c r="Q38" s="175"/>
      <c r="T38" s="99"/>
      <c r="U38" s="146" t="s">
        <v>10</v>
      </c>
    </row>
    <row r="39" spans="1:21">
      <c r="A39" s="151" t="s">
        <v>375</v>
      </c>
      <c r="B39" s="175"/>
      <c r="C39" s="146" t="s">
        <v>376</v>
      </c>
      <c r="D39" s="146"/>
      <c r="E39" s="159" t="s">
        <v>377</v>
      </c>
      <c r="F39" s="158"/>
      <c r="I39" s="25">
        <f>+'Attachment H'!I167</f>
        <v>3654.706464960429</v>
      </c>
      <c r="L39" s="146"/>
      <c r="M39" s="146"/>
      <c r="N39" s="146"/>
      <c r="O39" s="146"/>
      <c r="P39" s="176"/>
      <c r="Q39" s="175"/>
      <c r="T39" s="99"/>
      <c r="U39" s="146"/>
    </row>
    <row r="40" spans="1:21">
      <c r="A40" s="151" t="s">
        <v>378</v>
      </c>
      <c r="B40" s="175"/>
      <c r="C40" s="146" t="s">
        <v>379</v>
      </c>
      <c r="D40" s="146"/>
      <c r="E40" s="159" t="s">
        <v>380</v>
      </c>
      <c r="F40" s="158"/>
      <c r="I40" s="22">
        <f>IF(I19=0,0,I39/I19)</f>
        <v>3.2793135703031932E-2</v>
      </c>
      <c r="L40" s="168">
        <f>I40</f>
        <v>3.2793135703031932E-2</v>
      </c>
      <c r="M40" s="161"/>
      <c r="N40" s="161"/>
      <c r="O40" s="161"/>
      <c r="P40" s="176"/>
      <c r="Q40" s="175"/>
      <c r="R40" s="146"/>
      <c r="S40" s="146"/>
      <c r="T40" s="99"/>
      <c r="U40" s="146"/>
    </row>
    <row r="41" spans="1:21">
      <c r="A41" s="151"/>
      <c r="C41" s="146"/>
      <c r="D41" s="146"/>
      <c r="E41" s="159"/>
      <c r="F41" s="158"/>
      <c r="I41" s="146"/>
      <c r="L41" s="146"/>
      <c r="M41" s="146"/>
      <c r="N41" s="146"/>
      <c r="O41" s="146"/>
      <c r="P41" s="146"/>
      <c r="R41" s="144"/>
      <c r="S41" s="146"/>
      <c r="U41" s="144"/>
    </row>
    <row r="42" spans="1:21">
      <c r="A42" s="151"/>
      <c r="C42" s="144" t="s">
        <v>198</v>
      </c>
      <c r="D42" s="144"/>
      <c r="E42" s="177"/>
      <c r="F42" s="178"/>
      <c r="P42" s="146"/>
      <c r="R42" s="146"/>
      <c r="S42" s="146"/>
      <c r="U42" s="144"/>
    </row>
    <row r="43" spans="1:21">
      <c r="A43" s="151" t="s">
        <v>381</v>
      </c>
      <c r="C43" s="144" t="s">
        <v>382</v>
      </c>
      <c r="D43" s="144"/>
      <c r="E43" s="159" t="s">
        <v>383</v>
      </c>
      <c r="F43" s="158"/>
      <c r="I43" s="25">
        <f>+'Attachment H'!I170</f>
        <v>13563.860659671056</v>
      </c>
      <c r="L43" s="146"/>
      <c r="M43" s="146"/>
      <c r="N43" s="146"/>
      <c r="O43" s="146"/>
      <c r="P43" s="146"/>
      <c r="R43" s="146"/>
      <c r="S43" s="146"/>
      <c r="U43" s="144"/>
    </row>
    <row r="44" spans="1:21">
      <c r="A44" s="151" t="s">
        <v>384</v>
      </c>
      <c r="B44" s="175"/>
      <c r="C44" s="146" t="s">
        <v>385</v>
      </c>
      <c r="D44" s="146"/>
      <c r="E44" s="159" t="s">
        <v>386</v>
      </c>
      <c r="F44" s="158"/>
      <c r="I44" s="22">
        <f>IF(I19=0,0,I43/I19)</f>
        <v>0.12170649750784436</v>
      </c>
      <c r="L44" s="168">
        <f>I44</f>
        <v>0.12170649750784436</v>
      </c>
      <c r="M44" s="161"/>
      <c r="N44" s="161"/>
      <c r="O44" s="161"/>
      <c r="P44" s="146"/>
      <c r="S44" s="179"/>
      <c r="T44" s="99"/>
      <c r="U44" s="146"/>
    </row>
    <row r="45" spans="1:21">
      <c r="A45" s="151"/>
      <c r="C45" s="144"/>
      <c r="D45" s="144"/>
      <c r="E45" s="159"/>
      <c r="F45" s="158"/>
      <c r="I45" s="146"/>
      <c r="L45" s="146"/>
      <c r="M45" s="146"/>
      <c r="N45" s="146"/>
      <c r="O45" s="146"/>
      <c r="P45" s="146"/>
      <c r="Q45" s="178"/>
      <c r="R45" s="146"/>
      <c r="S45" s="146"/>
      <c r="U45" s="144"/>
    </row>
    <row r="46" spans="1:21">
      <c r="A46" s="169" t="s">
        <v>387</v>
      </c>
      <c r="B46" s="170"/>
      <c r="C46" s="156" t="s">
        <v>388</v>
      </c>
      <c r="D46" s="156"/>
      <c r="E46" s="171" t="s">
        <v>389</v>
      </c>
      <c r="F46" s="152"/>
      <c r="I46" s="22">
        <f>+I44+I40</f>
        <v>0.15449963321087629</v>
      </c>
      <c r="L46" s="180">
        <f>L40+L44</f>
        <v>0.15449963321087629</v>
      </c>
      <c r="M46" s="173"/>
      <c r="N46" s="173"/>
      <c r="O46" s="173"/>
      <c r="P46" s="146"/>
      <c r="Q46" s="178"/>
      <c r="R46" s="146"/>
      <c r="S46" s="146"/>
      <c r="U46" s="144"/>
    </row>
    <row r="47" spans="1:21">
      <c r="P47" s="181"/>
      <c r="Q47" s="181"/>
      <c r="R47" s="146"/>
      <c r="S47" s="146"/>
      <c r="U47" s="144"/>
    </row>
    <row r="48" spans="1:21">
      <c r="P48" s="181"/>
      <c r="Q48" s="181"/>
      <c r="R48" s="146"/>
      <c r="S48" s="146"/>
      <c r="U48" s="144"/>
    </row>
    <row r="49" spans="1:21">
      <c r="A49" s="182"/>
      <c r="C49" s="151"/>
      <c r="D49" s="151"/>
      <c r="E49" s="167"/>
      <c r="F49" s="167"/>
      <c r="G49" s="146"/>
      <c r="J49" s="165"/>
      <c r="P49" s="146"/>
      <c r="Q49" s="162"/>
      <c r="R49" s="143"/>
      <c r="S49" s="146"/>
      <c r="T49" s="99"/>
      <c r="U49" s="146"/>
    </row>
    <row r="50" spans="1:21">
      <c r="A50" s="142"/>
      <c r="G50" s="146"/>
      <c r="P50" s="146"/>
      <c r="Q50" s="146"/>
      <c r="R50" s="146"/>
      <c r="S50" s="146"/>
      <c r="T50" s="99"/>
      <c r="U50" s="146" t="s">
        <v>10</v>
      </c>
    </row>
    <row r="51" spans="1:21">
      <c r="Q51" s="140"/>
    </row>
    <row r="52" spans="1:21">
      <c r="Q52" s="140"/>
    </row>
    <row r="54" spans="1:21">
      <c r="A54" s="142"/>
      <c r="G54" s="146"/>
      <c r="P54" s="146"/>
      <c r="Q54" s="140"/>
      <c r="R54" s="146"/>
      <c r="S54" s="144"/>
      <c r="U54" s="144"/>
    </row>
    <row r="55" spans="1:21">
      <c r="A55" s="142"/>
      <c r="C55" s="144"/>
      <c r="D55" s="144"/>
      <c r="G55" s="167" t="str">
        <f>+G5</f>
        <v>Attachment 1</v>
      </c>
      <c r="H55" s="167"/>
      <c r="P55" s="146"/>
      <c r="Q55" s="140"/>
      <c r="R55" s="146"/>
      <c r="S55" s="139" t="s">
        <v>390</v>
      </c>
      <c r="U55" s="144"/>
    </row>
    <row r="56" spans="1:21">
      <c r="A56" s="142"/>
      <c r="C56" s="144"/>
      <c r="D56" s="144"/>
      <c r="G56" s="167" t="str">
        <f>+G6</f>
        <v>Project Revenue Requirement Worksheet</v>
      </c>
      <c r="H56" s="167"/>
      <c r="L56" s="146"/>
      <c r="M56" s="146"/>
      <c r="N56" s="146"/>
      <c r="O56" s="146"/>
      <c r="P56" s="146"/>
      <c r="R56" s="146"/>
      <c r="S56" s="144"/>
      <c r="U56" s="144"/>
    </row>
    <row r="57" spans="1:21" ht="14.25" customHeight="1">
      <c r="A57" s="142"/>
      <c r="G57" s="50" t="str">
        <f>'Attachment H'!$D$5</f>
        <v>NextEra Energy Transmission MidAtlantic Indiana, Inc.</v>
      </c>
      <c r="P57" s="146"/>
      <c r="R57" s="146"/>
      <c r="S57" s="144"/>
      <c r="U57" s="144"/>
    </row>
    <row r="58" spans="1:21">
      <c r="A58" s="142"/>
      <c r="H58" s="167"/>
      <c r="P58" s="146"/>
      <c r="Q58" s="146"/>
      <c r="R58" s="146"/>
      <c r="S58" s="144"/>
      <c r="U58" s="144"/>
    </row>
    <row r="59" spans="1:21">
      <c r="A59" s="142"/>
      <c r="E59" s="144"/>
      <c r="F59" s="144"/>
      <c r="G59" s="144"/>
      <c r="H59" s="144"/>
      <c r="I59" s="144"/>
      <c r="J59" s="144"/>
      <c r="K59" s="144"/>
      <c r="L59" s="144"/>
      <c r="M59" s="144"/>
      <c r="N59" s="144"/>
      <c r="O59" s="144"/>
      <c r="P59" s="144"/>
      <c r="Q59" s="144"/>
      <c r="R59" s="146"/>
      <c r="S59" s="144"/>
      <c r="U59" s="144"/>
    </row>
    <row r="60" spans="1:21">
      <c r="A60" s="142"/>
      <c r="E60" s="156"/>
      <c r="F60" s="156"/>
      <c r="H60" s="144"/>
      <c r="I60" s="144"/>
      <c r="J60" s="144"/>
      <c r="K60" s="144"/>
      <c r="L60" s="144"/>
      <c r="M60" s="144"/>
      <c r="N60" s="144"/>
      <c r="O60" s="144"/>
      <c r="P60" s="146"/>
      <c r="Q60" s="146"/>
      <c r="R60" s="146"/>
      <c r="S60" s="144"/>
      <c r="U60" s="144"/>
    </row>
    <row r="61" spans="1:21">
      <c r="A61" s="142"/>
      <c r="E61" s="156"/>
      <c r="F61" s="156"/>
      <c r="H61" s="144"/>
      <c r="I61" s="144"/>
      <c r="J61" s="144"/>
      <c r="K61" s="144"/>
      <c r="L61" s="144"/>
      <c r="M61" s="144"/>
      <c r="N61" s="144"/>
      <c r="O61" s="144"/>
      <c r="P61" s="146"/>
      <c r="Q61" s="146"/>
      <c r="R61" s="146"/>
      <c r="S61" s="144"/>
      <c r="U61" s="144"/>
    </row>
    <row r="62" spans="1:21">
      <c r="A62" s="142"/>
      <c r="C62" s="183">
        <v>-1</v>
      </c>
      <c r="D62" s="183">
        <v>-2</v>
      </c>
      <c r="E62" s="183">
        <v>-3</v>
      </c>
      <c r="F62" s="183">
        <v>-4</v>
      </c>
      <c r="G62" s="183">
        <v>-5</v>
      </c>
      <c r="H62" s="183">
        <v>-6</v>
      </c>
      <c r="I62" s="183">
        <v>-7</v>
      </c>
      <c r="J62" s="183">
        <v>-8</v>
      </c>
      <c r="K62" s="183">
        <v>-9</v>
      </c>
      <c r="L62" s="183">
        <v>-10</v>
      </c>
      <c r="M62" s="183">
        <v>-11</v>
      </c>
      <c r="N62" s="183">
        <v>-12</v>
      </c>
      <c r="O62" s="183" t="s">
        <v>391</v>
      </c>
      <c r="P62" s="183">
        <v>-13</v>
      </c>
      <c r="Q62" s="184" t="s">
        <v>392</v>
      </c>
      <c r="R62" s="184" t="s">
        <v>393</v>
      </c>
      <c r="S62" s="184" t="s">
        <v>394</v>
      </c>
      <c r="U62" s="144"/>
    </row>
    <row r="63" spans="1:21" ht="53.25" customHeight="1">
      <c r="A63" s="185" t="s">
        <v>395</v>
      </c>
      <c r="B63" s="186"/>
      <c r="C63" s="187" t="s">
        <v>396</v>
      </c>
      <c r="D63" s="188" t="s">
        <v>397</v>
      </c>
      <c r="E63" s="189" t="s">
        <v>398</v>
      </c>
      <c r="F63" s="189" t="s">
        <v>372</v>
      </c>
      <c r="G63" s="190" t="s">
        <v>399</v>
      </c>
      <c r="H63" s="189" t="s">
        <v>400</v>
      </c>
      <c r="I63" s="189" t="s">
        <v>388</v>
      </c>
      <c r="J63" s="190" t="s">
        <v>401</v>
      </c>
      <c r="K63" s="189" t="s">
        <v>402</v>
      </c>
      <c r="L63" s="191" t="s">
        <v>403</v>
      </c>
      <c r="M63" s="191" t="s">
        <v>404</v>
      </c>
      <c r="N63" s="191" t="s">
        <v>405</v>
      </c>
      <c r="O63" s="191" t="s">
        <v>406</v>
      </c>
      <c r="P63" s="191" t="s">
        <v>407</v>
      </c>
      <c r="Q63" s="191" t="s">
        <v>408</v>
      </c>
      <c r="R63" s="191" t="s">
        <v>409</v>
      </c>
      <c r="S63" s="191" t="s">
        <v>410</v>
      </c>
      <c r="U63" s="144"/>
    </row>
    <row r="64" spans="1:21" ht="46.5" customHeight="1">
      <c r="A64" s="192"/>
      <c r="B64" s="193"/>
      <c r="C64" s="193"/>
      <c r="D64" s="193"/>
      <c r="E64" s="194" t="s">
        <v>411</v>
      </c>
      <c r="F64" s="194" t="s">
        <v>412</v>
      </c>
      <c r="G64" s="195" t="s">
        <v>413</v>
      </c>
      <c r="H64" s="194" t="s">
        <v>414</v>
      </c>
      <c r="I64" s="194" t="s">
        <v>415</v>
      </c>
      <c r="J64" s="195" t="s">
        <v>416</v>
      </c>
      <c r="K64" s="194" t="s">
        <v>417</v>
      </c>
      <c r="L64" s="195" t="s">
        <v>418</v>
      </c>
      <c r="M64" s="194" t="s">
        <v>419</v>
      </c>
      <c r="N64" s="196" t="s">
        <v>420</v>
      </c>
      <c r="O64" s="197" t="s">
        <v>421</v>
      </c>
      <c r="P64" s="198" t="s">
        <v>422</v>
      </c>
      <c r="Q64" s="197" t="s">
        <v>423</v>
      </c>
      <c r="R64" s="199" t="s">
        <v>158</v>
      </c>
      <c r="S64" s="197" t="s">
        <v>424</v>
      </c>
      <c r="U64" s="144"/>
    </row>
    <row r="65" spans="1:21">
      <c r="A65" s="200"/>
      <c r="B65" s="144"/>
      <c r="C65" s="144"/>
      <c r="D65" s="144"/>
      <c r="E65" s="144"/>
      <c r="F65" s="144"/>
      <c r="G65" s="201"/>
      <c r="H65" s="144"/>
      <c r="I65" s="144"/>
      <c r="J65" s="201"/>
      <c r="K65" s="144"/>
      <c r="L65" s="201"/>
      <c r="M65" s="202"/>
      <c r="N65" s="201"/>
      <c r="O65" s="201"/>
      <c r="P65" s="144"/>
      <c r="Q65" s="203"/>
      <c r="R65" s="146"/>
      <c r="S65" s="204"/>
      <c r="U65" s="144"/>
    </row>
    <row r="66" spans="1:21">
      <c r="A66" s="205" t="s">
        <v>425</v>
      </c>
      <c r="B66" s="206"/>
      <c r="C66" s="207" t="s">
        <v>426</v>
      </c>
      <c r="D66" s="208"/>
      <c r="E66" s="209">
        <f>+'4- Rate Base'!C24</f>
        <v>2486171.48</v>
      </c>
      <c r="F66" s="22">
        <f t="shared" ref="F66:F84" si="0">$L$36</f>
        <v>0.20476063808742881</v>
      </c>
      <c r="G66" s="210">
        <f t="shared" ref="G66:G84" si="1">E66*F66</f>
        <v>509070.05863956723</v>
      </c>
      <c r="H66" s="209">
        <f>+'4- Rate Base'!C24-'4- Rate Base'!I24</f>
        <v>111447.3009856916</v>
      </c>
      <c r="I66" s="22">
        <f>$L$46</f>
        <v>0.15449963321087629</v>
      </c>
      <c r="J66" s="211">
        <f>H66*I66</f>
        <v>17218.567124631485</v>
      </c>
      <c r="K66" s="56">
        <f>+'5-P3 Support'!M24</f>
        <v>57702.066041333324</v>
      </c>
      <c r="L66" s="211">
        <f>G66+J66+K66</f>
        <v>583990.69180553209</v>
      </c>
      <c r="M66" s="212">
        <v>0</v>
      </c>
      <c r="N66" s="211">
        <f>+'2-Incentive ROE'!K$40*'1-Project Rev Req'!M66/100</f>
        <v>0</v>
      </c>
      <c r="O66" s="211">
        <f>+L66+N66</f>
        <v>583990.69180553209</v>
      </c>
      <c r="P66" s="56">
        <v>0</v>
      </c>
      <c r="Q66" s="211">
        <f t="shared" ref="Q66:Q84" si="2">+L66+N66-P66</f>
        <v>583990.69180553209</v>
      </c>
      <c r="R66" s="56">
        <v>0</v>
      </c>
      <c r="S66" s="211">
        <f>+Q66+R66</f>
        <v>583990.69180553209</v>
      </c>
    </row>
    <row r="67" spans="1:21">
      <c r="A67" s="205" t="s">
        <v>427</v>
      </c>
      <c r="B67" s="206"/>
      <c r="C67" s="207"/>
      <c r="D67" s="208"/>
      <c r="E67" s="209">
        <v>0</v>
      </c>
      <c r="F67" s="22">
        <f t="shared" si="0"/>
        <v>0.20476063808742881</v>
      </c>
      <c r="G67" s="210">
        <f t="shared" si="1"/>
        <v>0</v>
      </c>
      <c r="H67" s="209">
        <f>+'4- Rate Base'!E24</f>
        <v>0</v>
      </c>
      <c r="I67" s="22">
        <f t="shared" ref="I67:I84" si="3">$L$46</f>
        <v>0.15449963321087629</v>
      </c>
      <c r="J67" s="211">
        <f t="shared" ref="J67:J84" si="4">H67*I67</f>
        <v>0</v>
      </c>
      <c r="K67" s="56">
        <v>0</v>
      </c>
      <c r="L67" s="211">
        <f t="shared" ref="L67:L84" si="5">G67+J67+K67</f>
        <v>0</v>
      </c>
      <c r="M67" s="212">
        <v>0</v>
      </c>
      <c r="N67" s="211">
        <f>+'2-Incentive ROE'!K$40*'1-Project Rev Req'!M67/100</f>
        <v>0</v>
      </c>
      <c r="O67" s="211">
        <f t="shared" ref="O67:O84" si="6">+L67+N67</f>
        <v>0</v>
      </c>
      <c r="P67" s="56">
        <v>0</v>
      </c>
      <c r="Q67" s="211">
        <f t="shared" si="2"/>
        <v>0</v>
      </c>
      <c r="R67" s="56">
        <v>0</v>
      </c>
      <c r="S67" s="211">
        <f>+Q67+R67</f>
        <v>0</v>
      </c>
    </row>
    <row r="68" spans="1:21">
      <c r="A68" s="205" t="s">
        <v>428</v>
      </c>
      <c r="B68" s="206"/>
      <c r="C68" s="207"/>
      <c r="D68" s="208"/>
      <c r="E68" s="209">
        <v>0</v>
      </c>
      <c r="F68" s="22">
        <f t="shared" si="0"/>
        <v>0.20476063808742881</v>
      </c>
      <c r="G68" s="210">
        <f t="shared" si="1"/>
        <v>0</v>
      </c>
      <c r="H68" s="209">
        <v>0</v>
      </c>
      <c r="I68" s="22">
        <f t="shared" si="3"/>
        <v>0.15449963321087629</v>
      </c>
      <c r="J68" s="211">
        <f>H68*I68</f>
        <v>0</v>
      </c>
      <c r="K68" s="56">
        <v>0</v>
      </c>
      <c r="L68" s="211">
        <f>G68+J68+K68</f>
        <v>0</v>
      </c>
      <c r="M68" s="212">
        <v>0</v>
      </c>
      <c r="N68" s="211">
        <f>+'2-Incentive ROE'!K$40*'1-Project Rev Req'!M68/100</f>
        <v>0</v>
      </c>
      <c r="O68" s="211">
        <f t="shared" si="6"/>
        <v>0</v>
      </c>
      <c r="P68" s="56">
        <v>0</v>
      </c>
      <c r="Q68" s="211">
        <f t="shared" si="2"/>
        <v>0</v>
      </c>
      <c r="R68" s="56">
        <v>0</v>
      </c>
      <c r="S68" s="211">
        <f>+Q68+R68</f>
        <v>0</v>
      </c>
    </row>
    <row r="69" spans="1:21">
      <c r="A69" s="205"/>
      <c r="B69" s="206"/>
      <c r="C69" s="207"/>
      <c r="D69" s="208"/>
      <c r="E69" s="209">
        <v>0</v>
      </c>
      <c r="F69" s="22">
        <f t="shared" si="0"/>
        <v>0.20476063808742881</v>
      </c>
      <c r="G69" s="210">
        <f t="shared" si="1"/>
        <v>0</v>
      </c>
      <c r="H69" s="209">
        <v>0</v>
      </c>
      <c r="I69" s="22">
        <f t="shared" si="3"/>
        <v>0.15449963321087629</v>
      </c>
      <c r="J69" s="211">
        <f t="shared" si="4"/>
        <v>0</v>
      </c>
      <c r="K69" s="56">
        <v>0</v>
      </c>
      <c r="L69" s="211">
        <f t="shared" si="5"/>
        <v>0</v>
      </c>
      <c r="M69" s="212">
        <v>0</v>
      </c>
      <c r="N69" s="211">
        <f>+'2-Incentive ROE'!K$40*'1-Project Rev Req'!M69/100</f>
        <v>0</v>
      </c>
      <c r="O69" s="211">
        <f t="shared" si="6"/>
        <v>0</v>
      </c>
      <c r="P69" s="56">
        <v>0</v>
      </c>
      <c r="Q69" s="211">
        <f t="shared" si="2"/>
        <v>0</v>
      </c>
      <c r="R69" s="56">
        <v>0</v>
      </c>
      <c r="S69" s="211">
        <f>+Q69+R69</f>
        <v>0</v>
      </c>
    </row>
    <row r="70" spans="1:21">
      <c r="A70" s="205"/>
      <c r="B70" s="206"/>
      <c r="C70" s="207"/>
      <c r="D70" s="208"/>
      <c r="E70" s="209">
        <v>0</v>
      </c>
      <c r="F70" s="22">
        <f t="shared" si="0"/>
        <v>0.20476063808742881</v>
      </c>
      <c r="G70" s="210">
        <f t="shared" si="1"/>
        <v>0</v>
      </c>
      <c r="H70" s="209">
        <v>0</v>
      </c>
      <c r="I70" s="22">
        <f t="shared" si="3"/>
        <v>0.15449963321087629</v>
      </c>
      <c r="J70" s="211">
        <f t="shared" si="4"/>
        <v>0</v>
      </c>
      <c r="K70" s="56">
        <v>0</v>
      </c>
      <c r="L70" s="211">
        <f t="shared" si="5"/>
        <v>0</v>
      </c>
      <c r="M70" s="212">
        <v>0</v>
      </c>
      <c r="N70" s="211">
        <f>+'2-Incentive ROE'!K$40*'1-Project Rev Req'!M70/100</f>
        <v>0</v>
      </c>
      <c r="O70" s="211">
        <f t="shared" si="6"/>
        <v>0</v>
      </c>
      <c r="P70" s="56">
        <v>0</v>
      </c>
      <c r="Q70" s="211">
        <f t="shared" si="2"/>
        <v>0</v>
      </c>
      <c r="R70" s="56">
        <v>0</v>
      </c>
      <c r="S70" s="211">
        <f>+Q70+R70</f>
        <v>0</v>
      </c>
    </row>
    <row r="71" spans="1:21">
      <c r="A71" s="205"/>
      <c r="B71" s="206"/>
      <c r="C71" s="207"/>
      <c r="D71" s="208"/>
      <c r="E71" s="209">
        <v>0</v>
      </c>
      <c r="F71" s="22">
        <f t="shared" si="0"/>
        <v>0.20476063808742881</v>
      </c>
      <c r="G71" s="210">
        <f t="shared" si="1"/>
        <v>0</v>
      </c>
      <c r="H71" s="209">
        <v>0</v>
      </c>
      <c r="I71" s="22">
        <f t="shared" si="3"/>
        <v>0.15449963321087629</v>
      </c>
      <c r="J71" s="211">
        <f t="shared" si="4"/>
        <v>0</v>
      </c>
      <c r="K71" s="56">
        <v>0</v>
      </c>
      <c r="L71" s="211">
        <f t="shared" si="5"/>
        <v>0</v>
      </c>
      <c r="M71" s="212">
        <v>0</v>
      </c>
      <c r="N71" s="211">
        <f>+'2-Incentive ROE'!K$40*'1-Project Rev Req'!M71/100</f>
        <v>0</v>
      </c>
      <c r="O71" s="211">
        <f t="shared" si="6"/>
        <v>0</v>
      </c>
      <c r="P71" s="56">
        <v>0</v>
      </c>
      <c r="Q71" s="211">
        <f t="shared" si="2"/>
        <v>0</v>
      </c>
      <c r="R71" s="56">
        <v>0</v>
      </c>
      <c r="S71" s="211">
        <f t="shared" ref="S71:S85" si="7">L71+R71</f>
        <v>0</v>
      </c>
    </row>
    <row r="72" spans="1:21">
      <c r="A72" s="205"/>
      <c r="B72" s="206"/>
      <c r="C72" s="207"/>
      <c r="D72" s="208"/>
      <c r="E72" s="209">
        <v>0</v>
      </c>
      <c r="F72" s="22">
        <f t="shared" si="0"/>
        <v>0.20476063808742881</v>
      </c>
      <c r="G72" s="210">
        <f t="shared" si="1"/>
        <v>0</v>
      </c>
      <c r="H72" s="209">
        <v>0</v>
      </c>
      <c r="I72" s="22">
        <f t="shared" si="3"/>
        <v>0.15449963321087629</v>
      </c>
      <c r="J72" s="211">
        <f t="shared" si="4"/>
        <v>0</v>
      </c>
      <c r="K72" s="56">
        <v>0</v>
      </c>
      <c r="L72" s="211">
        <f t="shared" si="5"/>
        <v>0</v>
      </c>
      <c r="M72" s="212">
        <v>0</v>
      </c>
      <c r="N72" s="211">
        <f>+'2-Incentive ROE'!K$40*'1-Project Rev Req'!M72/100</f>
        <v>0</v>
      </c>
      <c r="O72" s="211">
        <f t="shared" si="6"/>
        <v>0</v>
      </c>
      <c r="P72" s="56">
        <v>0</v>
      </c>
      <c r="Q72" s="211">
        <f t="shared" si="2"/>
        <v>0</v>
      </c>
      <c r="R72" s="56">
        <v>0</v>
      </c>
      <c r="S72" s="211">
        <f t="shared" si="7"/>
        <v>0</v>
      </c>
    </row>
    <row r="73" spans="1:21">
      <c r="A73" s="205"/>
      <c r="B73" s="206"/>
      <c r="C73" s="207"/>
      <c r="D73" s="213"/>
      <c r="E73" s="209">
        <v>0</v>
      </c>
      <c r="F73" s="22">
        <f t="shared" si="0"/>
        <v>0.20476063808742881</v>
      </c>
      <c r="G73" s="210">
        <f t="shared" si="1"/>
        <v>0</v>
      </c>
      <c r="H73" s="209">
        <v>0</v>
      </c>
      <c r="I73" s="22">
        <f t="shared" si="3"/>
        <v>0.15449963321087629</v>
      </c>
      <c r="J73" s="211">
        <f t="shared" si="4"/>
        <v>0</v>
      </c>
      <c r="K73" s="56">
        <v>0</v>
      </c>
      <c r="L73" s="211">
        <f t="shared" si="5"/>
        <v>0</v>
      </c>
      <c r="M73" s="212">
        <v>0</v>
      </c>
      <c r="N73" s="211">
        <f>+'2-Incentive ROE'!K$40*'1-Project Rev Req'!M73/100</f>
        <v>0</v>
      </c>
      <c r="O73" s="211">
        <f t="shared" si="6"/>
        <v>0</v>
      </c>
      <c r="P73" s="56">
        <v>0</v>
      </c>
      <c r="Q73" s="211">
        <f t="shared" si="2"/>
        <v>0</v>
      </c>
      <c r="R73" s="56">
        <v>0</v>
      </c>
      <c r="S73" s="211">
        <f t="shared" si="7"/>
        <v>0</v>
      </c>
    </row>
    <row r="74" spans="1:21">
      <c r="A74" s="205"/>
      <c r="B74" s="206"/>
      <c r="C74" s="207"/>
      <c r="D74" s="208"/>
      <c r="E74" s="209">
        <v>0</v>
      </c>
      <c r="F74" s="22">
        <f t="shared" si="0"/>
        <v>0.20476063808742881</v>
      </c>
      <c r="G74" s="210">
        <f t="shared" si="1"/>
        <v>0</v>
      </c>
      <c r="H74" s="209">
        <v>0</v>
      </c>
      <c r="I74" s="22">
        <f t="shared" si="3"/>
        <v>0.15449963321087629</v>
      </c>
      <c r="J74" s="211">
        <f t="shared" si="4"/>
        <v>0</v>
      </c>
      <c r="K74" s="56">
        <v>0</v>
      </c>
      <c r="L74" s="211">
        <f t="shared" si="5"/>
        <v>0</v>
      </c>
      <c r="M74" s="212">
        <v>0</v>
      </c>
      <c r="N74" s="211">
        <f>+'2-Incentive ROE'!K$40*'1-Project Rev Req'!M74/100</f>
        <v>0</v>
      </c>
      <c r="O74" s="211">
        <f t="shared" si="6"/>
        <v>0</v>
      </c>
      <c r="P74" s="56">
        <v>0</v>
      </c>
      <c r="Q74" s="211">
        <f t="shared" si="2"/>
        <v>0</v>
      </c>
      <c r="R74" s="56">
        <v>0</v>
      </c>
      <c r="S74" s="211">
        <f t="shared" si="7"/>
        <v>0</v>
      </c>
    </row>
    <row r="75" spans="1:21">
      <c r="A75" s="205"/>
      <c r="B75" s="206"/>
      <c r="C75" s="207"/>
      <c r="D75" s="208"/>
      <c r="E75" s="209">
        <v>0</v>
      </c>
      <c r="F75" s="22">
        <f t="shared" si="0"/>
        <v>0.20476063808742881</v>
      </c>
      <c r="G75" s="210">
        <f t="shared" si="1"/>
        <v>0</v>
      </c>
      <c r="H75" s="209">
        <v>0</v>
      </c>
      <c r="I75" s="22">
        <f t="shared" si="3"/>
        <v>0.15449963321087629</v>
      </c>
      <c r="J75" s="211">
        <f t="shared" si="4"/>
        <v>0</v>
      </c>
      <c r="K75" s="56">
        <v>0</v>
      </c>
      <c r="L75" s="211">
        <f t="shared" si="5"/>
        <v>0</v>
      </c>
      <c r="M75" s="212">
        <v>0</v>
      </c>
      <c r="N75" s="211">
        <f>+'2-Incentive ROE'!K$40*'1-Project Rev Req'!M75/100</f>
        <v>0</v>
      </c>
      <c r="O75" s="211">
        <f t="shared" si="6"/>
        <v>0</v>
      </c>
      <c r="P75" s="56">
        <v>0</v>
      </c>
      <c r="Q75" s="211">
        <f t="shared" si="2"/>
        <v>0</v>
      </c>
      <c r="R75" s="56">
        <v>0</v>
      </c>
      <c r="S75" s="211">
        <f t="shared" si="7"/>
        <v>0</v>
      </c>
    </row>
    <row r="76" spans="1:21">
      <c r="A76" s="205"/>
      <c r="B76" s="206"/>
      <c r="C76" s="207"/>
      <c r="D76" s="208"/>
      <c r="E76" s="209">
        <v>0</v>
      </c>
      <c r="F76" s="22">
        <f t="shared" si="0"/>
        <v>0.20476063808742881</v>
      </c>
      <c r="G76" s="210">
        <f t="shared" si="1"/>
        <v>0</v>
      </c>
      <c r="H76" s="209">
        <v>0</v>
      </c>
      <c r="I76" s="22">
        <f t="shared" si="3"/>
        <v>0.15449963321087629</v>
      </c>
      <c r="J76" s="211">
        <f t="shared" si="4"/>
        <v>0</v>
      </c>
      <c r="K76" s="56">
        <v>0</v>
      </c>
      <c r="L76" s="211">
        <f t="shared" si="5"/>
        <v>0</v>
      </c>
      <c r="M76" s="212">
        <v>0</v>
      </c>
      <c r="N76" s="211">
        <f>+'2-Incentive ROE'!K$40*'1-Project Rev Req'!M76/100</f>
        <v>0</v>
      </c>
      <c r="O76" s="211">
        <f t="shared" si="6"/>
        <v>0</v>
      </c>
      <c r="P76" s="56">
        <v>0</v>
      </c>
      <c r="Q76" s="211">
        <f t="shared" si="2"/>
        <v>0</v>
      </c>
      <c r="R76" s="56">
        <v>0</v>
      </c>
      <c r="S76" s="211">
        <f t="shared" si="7"/>
        <v>0</v>
      </c>
    </row>
    <row r="77" spans="1:21">
      <c r="A77" s="205"/>
      <c r="B77" s="206"/>
      <c r="C77" s="207"/>
      <c r="D77" s="208"/>
      <c r="E77" s="209">
        <v>0</v>
      </c>
      <c r="F77" s="22">
        <f t="shared" si="0"/>
        <v>0.20476063808742881</v>
      </c>
      <c r="G77" s="210">
        <f t="shared" si="1"/>
        <v>0</v>
      </c>
      <c r="H77" s="209">
        <v>0</v>
      </c>
      <c r="I77" s="22">
        <f t="shared" si="3"/>
        <v>0.15449963321087629</v>
      </c>
      <c r="J77" s="211">
        <f t="shared" si="4"/>
        <v>0</v>
      </c>
      <c r="K77" s="56">
        <v>0</v>
      </c>
      <c r="L77" s="211">
        <f t="shared" si="5"/>
        <v>0</v>
      </c>
      <c r="M77" s="212">
        <v>0</v>
      </c>
      <c r="N77" s="211">
        <f>+'2-Incentive ROE'!K$40*'1-Project Rev Req'!M77/100</f>
        <v>0</v>
      </c>
      <c r="O77" s="211">
        <f t="shared" si="6"/>
        <v>0</v>
      </c>
      <c r="P77" s="56">
        <v>0</v>
      </c>
      <c r="Q77" s="211">
        <f t="shared" si="2"/>
        <v>0</v>
      </c>
      <c r="R77" s="56">
        <v>0</v>
      </c>
      <c r="S77" s="211">
        <f t="shared" si="7"/>
        <v>0</v>
      </c>
    </row>
    <row r="78" spans="1:21">
      <c r="A78" s="205"/>
      <c r="B78" s="206"/>
      <c r="C78" s="207"/>
      <c r="D78" s="208"/>
      <c r="E78" s="209">
        <v>0</v>
      </c>
      <c r="F78" s="22">
        <f t="shared" si="0"/>
        <v>0.20476063808742881</v>
      </c>
      <c r="G78" s="210">
        <f t="shared" si="1"/>
        <v>0</v>
      </c>
      <c r="H78" s="209">
        <v>0</v>
      </c>
      <c r="I78" s="22">
        <f t="shared" si="3"/>
        <v>0.15449963321087629</v>
      </c>
      <c r="J78" s="211">
        <f t="shared" si="4"/>
        <v>0</v>
      </c>
      <c r="K78" s="56">
        <v>0</v>
      </c>
      <c r="L78" s="211">
        <f t="shared" si="5"/>
        <v>0</v>
      </c>
      <c r="M78" s="212">
        <v>0</v>
      </c>
      <c r="N78" s="211">
        <f>+'2-Incentive ROE'!K$40*'1-Project Rev Req'!M78/100</f>
        <v>0</v>
      </c>
      <c r="O78" s="211">
        <f t="shared" si="6"/>
        <v>0</v>
      </c>
      <c r="P78" s="56">
        <v>0</v>
      </c>
      <c r="Q78" s="211">
        <f t="shared" si="2"/>
        <v>0</v>
      </c>
      <c r="R78" s="56">
        <v>0</v>
      </c>
      <c r="S78" s="211">
        <f t="shared" si="7"/>
        <v>0</v>
      </c>
    </row>
    <row r="79" spans="1:21">
      <c r="A79" s="205"/>
      <c r="B79" s="206"/>
      <c r="C79" s="207"/>
      <c r="D79" s="208"/>
      <c r="E79" s="209">
        <v>0</v>
      </c>
      <c r="F79" s="22">
        <f t="shared" si="0"/>
        <v>0.20476063808742881</v>
      </c>
      <c r="G79" s="210">
        <f t="shared" si="1"/>
        <v>0</v>
      </c>
      <c r="H79" s="209">
        <v>0</v>
      </c>
      <c r="I79" s="22">
        <f t="shared" si="3"/>
        <v>0.15449963321087629</v>
      </c>
      <c r="J79" s="211">
        <f t="shared" si="4"/>
        <v>0</v>
      </c>
      <c r="K79" s="56">
        <v>0</v>
      </c>
      <c r="L79" s="211">
        <f t="shared" si="5"/>
        <v>0</v>
      </c>
      <c r="M79" s="212">
        <v>0</v>
      </c>
      <c r="N79" s="211">
        <f>+'2-Incentive ROE'!K$40*'1-Project Rev Req'!M79/100</f>
        <v>0</v>
      </c>
      <c r="O79" s="211">
        <f t="shared" si="6"/>
        <v>0</v>
      </c>
      <c r="P79" s="56">
        <v>0</v>
      </c>
      <c r="Q79" s="211">
        <f t="shared" si="2"/>
        <v>0</v>
      </c>
      <c r="R79" s="56">
        <v>0</v>
      </c>
      <c r="S79" s="211">
        <f t="shared" si="7"/>
        <v>0</v>
      </c>
    </row>
    <row r="80" spans="1:21">
      <c r="A80" s="205"/>
      <c r="B80" s="206"/>
      <c r="C80" s="207"/>
      <c r="D80" s="208"/>
      <c r="E80" s="209">
        <v>0</v>
      </c>
      <c r="F80" s="22">
        <f t="shared" si="0"/>
        <v>0.20476063808742881</v>
      </c>
      <c r="G80" s="210">
        <f t="shared" si="1"/>
        <v>0</v>
      </c>
      <c r="H80" s="209">
        <v>0</v>
      </c>
      <c r="I80" s="22">
        <f t="shared" si="3"/>
        <v>0.15449963321087629</v>
      </c>
      <c r="J80" s="211">
        <f t="shared" si="4"/>
        <v>0</v>
      </c>
      <c r="K80" s="56">
        <v>0</v>
      </c>
      <c r="L80" s="211">
        <f t="shared" si="5"/>
        <v>0</v>
      </c>
      <c r="M80" s="212">
        <v>0</v>
      </c>
      <c r="N80" s="211">
        <f>+'2-Incentive ROE'!K$40*'1-Project Rev Req'!M80/100</f>
        <v>0</v>
      </c>
      <c r="O80" s="211">
        <f t="shared" si="6"/>
        <v>0</v>
      </c>
      <c r="P80" s="56">
        <v>0</v>
      </c>
      <c r="Q80" s="211">
        <f t="shared" si="2"/>
        <v>0</v>
      </c>
      <c r="R80" s="56">
        <v>0</v>
      </c>
      <c r="S80" s="211">
        <f t="shared" si="7"/>
        <v>0</v>
      </c>
    </row>
    <row r="81" spans="1:20">
      <c r="A81" s="214"/>
      <c r="C81" s="215"/>
      <c r="D81" s="215"/>
      <c r="E81" s="209">
        <v>0</v>
      </c>
      <c r="F81" s="22">
        <f t="shared" si="0"/>
        <v>0.20476063808742881</v>
      </c>
      <c r="G81" s="210">
        <f t="shared" si="1"/>
        <v>0</v>
      </c>
      <c r="H81" s="209">
        <v>0</v>
      </c>
      <c r="I81" s="22">
        <f t="shared" si="3"/>
        <v>0.15449963321087629</v>
      </c>
      <c r="J81" s="211">
        <f t="shared" si="4"/>
        <v>0</v>
      </c>
      <c r="K81" s="56">
        <v>0</v>
      </c>
      <c r="L81" s="211">
        <f t="shared" si="5"/>
        <v>0</v>
      </c>
      <c r="M81" s="212">
        <v>0</v>
      </c>
      <c r="N81" s="211">
        <f>+'2-Incentive ROE'!K$40*'1-Project Rev Req'!M81/100</f>
        <v>0</v>
      </c>
      <c r="O81" s="211">
        <f t="shared" si="6"/>
        <v>0</v>
      </c>
      <c r="P81" s="56">
        <v>0</v>
      </c>
      <c r="Q81" s="211">
        <f t="shared" si="2"/>
        <v>0</v>
      </c>
      <c r="R81" s="56">
        <v>0</v>
      </c>
      <c r="S81" s="211">
        <f t="shared" si="7"/>
        <v>0</v>
      </c>
    </row>
    <row r="82" spans="1:20">
      <c r="A82" s="214"/>
      <c r="C82" s="215"/>
      <c r="D82" s="215"/>
      <c r="E82" s="209">
        <v>0</v>
      </c>
      <c r="F82" s="22">
        <f t="shared" si="0"/>
        <v>0.20476063808742881</v>
      </c>
      <c r="G82" s="210">
        <f t="shared" si="1"/>
        <v>0</v>
      </c>
      <c r="H82" s="209">
        <v>0</v>
      </c>
      <c r="I82" s="22">
        <f t="shared" si="3"/>
        <v>0.15449963321087629</v>
      </c>
      <c r="J82" s="211">
        <f t="shared" si="4"/>
        <v>0</v>
      </c>
      <c r="K82" s="56">
        <v>0</v>
      </c>
      <c r="L82" s="211">
        <f t="shared" si="5"/>
        <v>0</v>
      </c>
      <c r="M82" s="212">
        <v>0</v>
      </c>
      <c r="N82" s="211">
        <f>+'2-Incentive ROE'!K$40*'1-Project Rev Req'!M82/100</f>
        <v>0</v>
      </c>
      <c r="O82" s="211">
        <f t="shared" si="6"/>
        <v>0</v>
      </c>
      <c r="P82" s="56">
        <v>0</v>
      </c>
      <c r="Q82" s="211">
        <f t="shared" si="2"/>
        <v>0</v>
      </c>
      <c r="R82" s="56">
        <v>0</v>
      </c>
      <c r="S82" s="211">
        <f t="shared" si="7"/>
        <v>0</v>
      </c>
    </row>
    <row r="83" spans="1:20">
      <c r="A83" s="214"/>
      <c r="C83" s="215"/>
      <c r="D83" s="215"/>
      <c r="E83" s="209">
        <v>0</v>
      </c>
      <c r="F83" s="22">
        <f t="shared" si="0"/>
        <v>0.20476063808742881</v>
      </c>
      <c r="G83" s="210">
        <f t="shared" si="1"/>
        <v>0</v>
      </c>
      <c r="H83" s="209">
        <v>0</v>
      </c>
      <c r="I83" s="22">
        <f t="shared" si="3"/>
        <v>0.15449963321087629</v>
      </c>
      <c r="J83" s="211">
        <f t="shared" si="4"/>
        <v>0</v>
      </c>
      <c r="K83" s="56">
        <v>0</v>
      </c>
      <c r="L83" s="211">
        <f t="shared" si="5"/>
        <v>0</v>
      </c>
      <c r="M83" s="212">
        <v>0</v>
      </c>
      <c r="N83" s="211">
        <f>+'2-Incentive ROE'!K$40*'1-Project Rev Req'!M83/100</f>
        <v>0</v>
      </c>
      <c r="O83" s="211">
        <f t="shared" si="6"/>
        <v>0</v>
      </c>
      <c r="P83" s="56">
        <v>0</v>
      </c>
      <c r="Q83" s="211">
        <f t="shared" si="2"/>
        <v>0</v>
      </c>
      <c r="R83" s="56">
        <v>0</v>
      </c>
      <c r="S83" s="211">
        <f t="shared" si="7"/>
        <v>0</v>
      </c>
    </row>
    <row r="84" spans="1:20">
      <c r="A84" s="214"/>
      <c r="C84" s="215"/>
      <c r="D84" s="215"/>
      <c r="E84" s="209">
        <v>0</v>
      </c>
      <c r="F84" s="22">
        <f t="shared" si="0"/>
        <v>0.20476063808742881</v>
      </c>
      <c r="G84" s="210">
        <f t="shared" si="1"/>
        <v>0</v>
      </c>
      <c r="H84" s="209">
        <v>0</v>
      </c>
      <c r="I84" s="22">
        <f t="shared" si="3"/>
        <v>0.15449963321087629</v>
      </c>
      <c r="J84" s="211">
        <f t="shared" si="4"/>
        <v>0</v>
      </c>
      <c r="K84" s="56">
        <v>0</v>
      </c>
      <c r="L84" s="211">
        <f t="shared" si="5"/>
        <v>0</v>
      </c>
      <c r="M84" s="212">
        <v>0</v>
      </c>
      <c r="N84" s="211">
        <f>+'2-Incentive ROE'!K$40*'1-Project Rev Req'!M84/100</f>
        <v>0</v>
      </c>
      <c r="O84" s="211">
        <f t="shared" si="6"/>
        <v>0</v>
      </c>
      <c r="P84" s="56">
        <v>0</v>
      </c>
      <c r="Q84" s="211">
        <f t="shared" si="2"/>
        <v>0</v>
      </c>
      <c r="R84" s="56">
        <v>0</v>
      </c>
      <c r="S84" s="211">
        <f t="shared" si="7"/>
        <v>0</v>
      </c>
    </row>
    <row r="85" spans="1:20">
      <c r="A85" s="216"/>
      <c r="B85" s="217"/>
      <c r="C85" s="217"/>
      <c r="D85" s="217"/>
      <c r="E85" s="217"/>
      <c r="F85" s="217"/>
      <c r="G85" s="218"/>
      <c r="H85" s="217"/>
      <c r="I85" s="217"/>
      <c r="J85" s="219"/>
      <c r="K85" s="220"/>
      <c r="L85" s="219"/>
      <c r="M85" s="221"/>
      <c r="N85" s="222"/>
      <c r="O85" s="222"/>
      <c r="P85" s="223"/>
      <c r="Q85" s="222"/>
      <c r="R85" s="220"/>
      <c r="S85" s="219">
        <f t="shared" si="7"/>
        <v>0</v>
      </c>
    </row>
    <row r="86" spans="1:20">
      <c r="A86" s="151" t="s">
        <v>387</v>
      </c>
      <c r="B86" s="175"/>
      <c r="C86" s="144" t="s">
        <v>429</v>
      </c>
      <c r="D86" s="144"/>
      <c r="E86" s="99"/>
      <c r="F86" s="167"/>
      <c r="G86" s="146"/>
      <c r="H86" s="99"/>
      <c r="I86" s="146"/>
      <c r="J86" s="25"/>
      <c r="K86" s="25"/>
      <c r="L86" s="25"/>
      <c r="M86" s="25"/>
      <c r="N86" s="25"/>
      <c r="O86" s="25"/>
      <c r="P86" s="25">
        <f>SUM(P66:P85)</f>
        <v>0</v>
      </c>
      <c r="Q86" s="25"/>
      <c r="R86" s="25"/>
      <c r="S86" s="25">
        <f>SUM(S66:S85)</f>
        <v>583990.69180553209</v>
      </c>
    </row>
    <row r="87" spans="1:20">
      <c r="E87" s="25"/>
      <c r="F87" s="25"/>
      <c r="G87" s="25"/>
      <c r="H87" s="25"/>
      <c r="I87" s="25"/>
      <c r="J87" s="25"/>
      <c r="K87" s="25"/>
      <c r="L87" s="22"/>
    </row>
    <row r="88" spans="1:20">
      <c r="A88" s="224"/>
      <c r="E88" s="25"/>
      <c r="F88" s="25"/>
      <c r="G88" s="25"/>
      <c r="H88" s="25"/>
      <c r="I88" s="25"/>
      <c r="J88" s="25"/>
      <c r="K88" s="25"/>
      <c r="L88" s="22"/>
      <c r="M88" s="179"/>
      <c r="N88" s="179"/>
      <c r="O88" s="179"/>
      <c r="T88" s="225">
        <f>+'Attachment H'!I172</f>
        <v>583990.69180553209</v>
      </c>
    </row>
    <row r="89" spans="1:20">
      <c r="K89" s="175"/>
      <c r="L89" s="175"/>
      <c r="M89" s="175"/>
      <c r="N89" s="175"/>
      <c r="O89" s="175"/>
      <c r="T89" s="225">
        <f>+S86</f>
        <v>583990.69180553209</v>
      </c>
    </row>
    <row r="90" spans="1:20">
      <c r="K90" s="175"/>
      <c r="L90" s="175"/>
      <c r="M90" s="175"/>
      <c r="N90" s="175"/>
      <c r="O90" s="175"/>
      <c r="T90" s="225">
        <f>+T88-T89</f>
        <v>0</v>
      </c>
    </row>
    <row r="91" spans="1:20">
      <c r="A91" s="139" t="s">
        <v>279</v>
      </c>
      <c r="T91" s="225"/>
    </row>
    <row r="92" spans="1:20" ht="13.5" thickBot="1">
      <c r="A92" s="226" t="s">
        <v>280</v>
      </c>
      <c r="T92" s="225"/>
    </row>
    <row r="93" spans="1:20">
      <c r="A93" s="227" t="s">
        <v>430</v>
      </c>
      <c r="C93" s="547" t="s">
        <v>431</v>
      </c>
      <c r="D93" s="547"/>
      <c r="E93" s="547"/>
      <c r="F93" s="547"/>
      <c r="G93" s="547"/>
      <c r="H93" s="547"/>
      <c r="I93" s="547"/>
      <c r="J93" s="547"/>
      <c r="K93" s="547"/>
      <c r="L93" s="547"/>
      <c r="M93" s="547"/>
      <c r="N93" s="547"/>
      <c r="O93" s="547"/>
      <c r="P93" s="547"/>
      <c r="Q93" s="547"/>
      <c r="T93" s="225"/>
    </row>
    <row r="94" spans="1:20">
      <c r="A94" s="227" t="s">
        <v>432</v>
      </c>
      <c r="C94" s="547" t="s">
        <v>433</v>
      </c>
      <c r="D94" s="547"/>
      <c r="E94" s="547"/>
      <c r="F94" s="547"/>
      <c r="G94" s="547"/>
      <c r="H94" s="547"/>
      <c r="I94" s="547"/>
      <c r="J94" s="547"/>
      <c r="K94" s="547"/>
      <c r="L94" s="547"/>
      <c r="M94" s="547"/>
      <c r="N94" s="547"/>
      <c r="O94" s="547"/>
      <c r="P94" s="547"/>
      <c r="Q94" s="547"/>
    </row>
    <row r="95" spans="1:20">
      <c r="A95" s="227" t="s">
        <v>285</v>
      </c>
      <c r="C95" s="548" t="s">
        <v>434</v>
      </c>
      <c r="D95" s="548"/>
      <c r="E95" s="548"/>
      <c r="F95" s="548"/>
      <c r="G95" s="548"/>
      <c r="H95" s="548"/>
      <c r="I95" s="548"/>
      <c r="J95" s="548"/>
      <c r="K95" s="548"/>
      <c r="L95" s="548"/>
      <c r="M95" s="548"/>
      <c r="N95" s="548"/>
      <c r="O95" s="548"/>
      <c r="P95" s="548"/>
      <c r="Q95" s="548"/>
    </row>
    <row r="96" spans="1:20">
      <c r="C96" s="139" t="s">
        <v>435</v>
      </c>
    </row>
    <row r="97" spans="1:17">
      <c r="A97" s="227" t="s">
        <v>287</v>
      </c>
      <c r="C97" s="548" t="s">
        <v>436</v>
      </c>
      <c r="D97" s="548"/>
      <c r="E97" s="548"/>
      <c r="F97" s="548"/>
      <c r="G97" s="548"/>
      <c r="H97" s="548"/>
      <c r="I97" s="548"/>
      <c r="J97" s="548"/>
      <c r="K97" s="548"/>
      <c r="L97" s="548"/>
      <c r="M97" s="548"/>
      <c r="N97" s="548"/>
      <c r="O97" s="548"/>
      <c r="P97" s="548"/>
      <c r="Q97" s="548"/>
    </row>
    <row r="98" spans="1:17">
      <c r="A98" s="167" t="s">
        <v>289</v>
      </c>
      <c r="C98" s="545" t="s">
        <v>437</v>
      </c>
      <c r="D98" s="545"/>
      <c r="E98" s="545"/>
      <c r="F98" s="545"/>
      <c r="G98" s="545"/>
      <c r="H98" s="545"/>
      <c r="I98" s="545"/>
      <c r="J98" s="545"/>
      <c r="K98" s="545"/>
      <c r="L98" s="545"/>
      <c r="M98" s="545"/>
      <c r="N98" s="545"/>
      <c r="O98" s="545"/>
      <c r="P98" s="545"/>
      <c r="Q98" s="545"/>
    </row>
    <row r="99" spans="1:17">
      <c r="A99" s="167" t="s">
        <v>291</v>
      </c>
      <c r="C99" s="545" t="s">
        <v>438</v>
      </c>
      <c r="D99" s="545"/>
      <c r="E99" s="545"/>
      <c r="F99" s="545"/>
      <c r="G99" s="545"/>
      <c r="H99" s="545"/>
      <c r="I99" s="545"/>
      <c r="J99" s="545"/>
      <c r="K99" s="545"/>
      <c r="L99" s="545"/>
      <c r="M99" s="545"/>
      <c r="N99" s="545"/>
      <c r="O99" s="545"/>
      <c r="P99" s="545"/>
      <c r="Q99" s="545"/>
    </row>
    <row r="100" spans="1:17">
      <c r="A100" s="167" t="s">
        <v>293</v>
      </c>
      <c r="C100" s="545" t="s">
        <v>439</v>
      </c>
      <c r="D100" s="545"/>
      <c r="E100" s="545"/>
      <c r="F100" s="545"/>
      <c r="G100" s="545"/>
      <c r="H100" s="545"/>
      <c r="I100" s="545"/>
      <c r="J100" s="545"/>
      <c r="K100" s="545"/>
      <c r="L100" s="545"/>
      <c r="M100" s="545"/>
      <c r="N100" s="545"/>
      <c r="O100" s="545"/>
      <c r="P100" s="545"/>
      <c r="Q100" s="545"/>
    </row>
    <row r="101" spans="1:17">
      <c r="A101" s="167" t="s">
        <v>301</v>
      </c>
      <c r="C101" s="545" t="s">
        <v>440</v>
      </c>
      <c r="D101" s="545"/>
      <c r="E101" s="545"/>
      <c r="F101" s="545"/>
      <c r="G101" s="545"/>
      <c r="H101" s="545"/>
      <c r="I101" s="545"/>
      <c r="J101" s="545"/>
      <c r="K101" s="545"/>
      <c r="L101" s="545"/>
      <c r="M101" s="545"/>
      <c r="N101" s="545"/>
      <c r="O101" s="545"/>
      <c r="P101" s="545"/>
      <c r="Q101" s="545"/>
    </row>
    <row r="102" spans="1:17">
      <c r="A102" s="167" t="s">
        <v>303</v>
      </c>
      <c r="C102" s="139" t="s">
        <v>441</v>
      </c>
    </row>
    <row r="103" spans="1:17">
      <c r="A103" s="151" t="s">
        <v>305</v>
      </c>
      <c r="C103" s="228" t="s">
        <v>442</v>
      </c>
      <c r="D103" s="228"/>
      <c r="E103" s="228"/>
      <c r="F103" s="228"/>
      <c r="G103" s="228"/>
      <c r="H103" s="228"/>
      <c r="I103" s="228"/>
      <c r="J103" s="228"/>
      <c r="K103" s="228"/>
      <c r="L103" s="228"/>
      <c r="M103" s="228"/>
      <c r="N103" s="228"/>
      <c r="O103" s="228"/>
      <c r="P103" s="146"/>
      <c r="Q103" s="143"/>
    </row>
    <row r="104" spans="1:17">
      <c r="A104" s="151" t="s">
        <v>307</v>
      </c>
      <c r="C104" s="139" t="s">
        <v>443</v>
      </c>
      <c r="D104" s="151"/>
      <c r="E104" s="167"/>
      <c r="F104" s="167"/>
      <c r="G104" s="146"/>
      <c r="J104" s="165"/>
      <c r="P104" s="146"/>
      <c r="Q104" s="162"/>
    </row>
    <row r="105" spans="1:17">
      <c r="A105" s="167" t="s">
        <v>311</v>
      </c>
      <c r="C105" s="3" t="s">
        <v>444</v>
      </c>
    </row>
    <row r="106" spans="1:17">
      <c r="A106" s="167" t="s">
        <v>445</v>
      </c>
      <c r="C106" s="139" t="s">
        <v>446</v>
      </c>
    </row>
    <row r="107" spans="1:17">
      <c r="A107" s="167" t="s">
        <v>315</v>
      </c>
      <c r="C107" s="139" t="s">
        <v>447</v>
      </c>
    </row>
    <row r="108" spans="1:17">
      <c r="C108" s="139" t="s">
        <v>448</v>
      </c>
    </row>
    <row r="109" spans="1:17" ht="15.75">
      <c r="C109" s="546"/>
      <c r="D109" s="546"/>
      <c r="E109" s="546"/>
      <c r="F109" s="546"/>
      <c r="G109" s="546"/>
    </row>
  </sheetData>
  <mergeCells count="9">
    <mergeCell ref="C100:Q100"/>
    <mergeCell ref="C101:Q101"/>
    <mergeCell ref="C109:G109"/>
    <mergeCell ref="C93:Q93"/>
    <mergeCell ref="C94:Q94"/>
    <mergeCell ref="C95:Q95"/>
    <mergeCell ref="C97:Q97"/>
    <mergeCell ref="C98:Q98"/>
    <mergeCell ref="C99:Q99"/>
  </mergeCells>
  <pageMargins left="0.25" right="0.25" top="0.75" bottom="0.75" header="0.3" footer="0.3"/>
  <pageSetup scale="41" fitToWidth="2" fitToHeight="2" orientation="landscape" verticalDpi="300" r:id="rId1"/>
  <rowBreaks count="1" manualBreakCount="1">
    <brk id="50" max="18"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EAE61-5FB3-4242-8176-52A4D4BCA83A}">
  <dimension ref="A1:K68"/>
  <sheetViews>
    <sheetView zoomScale="70" zoomScaleNormal="70" zoomScaleSheetLayoutView="75" workbookViewId="0">
      <selection activeCell="K108" sqref="K108"/>
    </sheetView>
  </sheetViews>
  <sheetFormatPr defaultRowHeight="15.75"/>
  <cols>
    <col min="1" max="1" width="5.5546875" style="229" customWidth="1"/>
    <col min="2" max="2" width="21.5546875" style="230" customWidth="1"/>
    <col min="3" max="3" width="32.44140625" style="230" customWidth="1"/>
    <col min="4" max="4" width="25.21875" style="230" customWidth="1"/>
    <col min="5" max="5" width="9.77734375" style="230" customWidth="1"/>
    <col min="6" max="6" width="6.5546875" style="230" customWidth="1"/>
    <col min="7" max="7" width="9" style="230" bestFit="1" customWidth="1"/>
    <col min="8" max="8" width="5.77734375" style="230" bestFit="1" customWidth="1"/>
    <col min="9" max="9" width="12.21875" style="230" customWidth="1"/>
    <col min="10" max="10" width="24.109375" style="241" bestFit="1" customWidth="1"/>
    <col min="11" max="11" width="12.5546875" customWidth="1"/>
  </cols>
  <sheetData>
    <row r="1" spans="1:11">
      <c r="C1" s="231"/>
      <c r="D1" s="231"/>
      <c r="E1" s="231"/>
      <c r="F1" s="232"/>
      <c r="G1" s="231"/>
      <c r="H1" s="231"/>
      <c r="I1" s="231"/>
      <c r="J1" s="233"/>
    </row>
    <row r="2" spans="1:11">
      <c r="B2" s="229"/>
      <c r="C2" s="231"/>
      <c r="D2" s="231"/>
      <c r="E2" s="231"/>
      <c r="F2" s="232"/>
      <c r="G2" s="231"/>
      <c r="H2" s="231"/>
      <c r="I2" s="231"/>
      <c r="J2" s="233"/>
    </row>
    <row r="3" spans="1:11">
      <c r="C3" s="231"/>
      <c r="D3" s="234" t="s">
        <v>10</v>
      </c>
      <c r="E3" s="234"/>
      <c r="F3" s="232" t="s">
        <v>449</v>
      </c>
      <c r="H3" s="234"/>
      <c r="I3" s="234"/>
      <c r="J3" s="231"/>
      <c r="K3" s="235" t="s">
        <v>450</v>
      </c>
    </row>
    <row r="4" spans="1:11">
      <c r="B4" s="236"/>
      <c r="C4" s="236"/>
      <c r="D4" s="236"/>
      <c r="E4" s="236"/>
      <c r="F4" s="237" t="s">
        <v>451</v>
      </c>
      <c r="H4" s="236"/>
      <c r="I4" s="236"/>
      <c r="J4" s="236"/>
      <c r="K4" s="238"/>
    </row>
    <row r="5" spans="1:11">
      <c r="B5" s="236"/>
      <c r="C5" s="236"/>
      <c r="D5" s="236"/>
      <c r="F5" s="239" t="str">
        <f>'Attachment H'!$D$5</f>
        <v>NextEra Energy Transmission MidAtlantic Indiana, Inc.</v>
      </c>
      <c r="H5" s="236"/>
      <c r="I5" s="236"/>
      <c r="J5" s="236"/>
      <c r="K5" s="236"/>
    </row>
    <row r="7" spans="1:11">
      <c r="A7" s="229">
        <v>1</v>
      </c>
      <c r="B7" s="230" t="s">
        <v>452</v>
      </c>
      <c r="C7" s="230" t="s">
        <v>453</v>
      </c>
      <c r="J7" s="230"/>
      <c r="K7" s="240">
        <f>+'Attachment H'!I106</f>
        <v>179511.12572354494</v>
      </c>
    </row>
    <row r="8" spans="1:11">
      <c r="J8" s="230"/>
      <c r="K8" s="241"/>
    </row>
    <row r="9" spans="1:11" ht="16.5" thickBot="1">
      <c r="A9" s="242">
        <f>+A7+1</f>
        <v>2</v>
      </c>
      <c r="B9" s="243" t="s">
        <v>454</v>
      </c>
      <c r="C9" s="244"/>
      <c r="D9" s="244"/>
      <c r="E9" s="244"/>
      <c r="F9" s="244"/>
      <c r="G9" s="244"/>
      <c r="H9" s="244"/>
      <c r="I9" s="244"/>
      <c r="J9" s="245" t="s">
        <v>219</v>
      </c>
      <c r="K9" s="241"/>
    </row>
    <row r="10" spans="1:11">
      <c r="A10" s="242"/>
      <c r="B10" s="246"/>
      <c r="C10" s="244"/>
      <c r="D10" s="244"/>
      <c r="E10" s="244"/>
      <c r="F10" s="244"/>
      <c r="G10" s="244"/>
      <c r="H10" s="247" t="s">
        <v>247</v>
      </c>
      <c r="I10" s="244"/>
      <c r="J10" s="244"/>
      <c r="K10" s="241"/>
    </row>
    <row r="11" spans="1:11" ht="16.5" thickBot="1">
      <c r="A11" s="242"/>
      <c r="B11" s="246"/>
      <c r="C11" s="244"/>
      <c r="D11" s="244"/>
      <c r="E11" s="248" t="s">
        <v>219</v>
      </c>
      <c r="F11" s="248" t="s">
        <v>248</v>
      </c>
      <c r="G11" s="244"/>
      <c r="H11" s="248"/>
      <c r="I11" s="244"/>
      <c r="J11" s="248" t="s">
        <v>249</v>
      </c>
      <c r="K11" s="241"/>
    </row>
    <row r="12" spans="1:11">
      <c r="A12" s="242">
        <f>+A9+1</f>
        <v>3</v>
      </c>
      <c r="B12" s="243" t="s">
        <v>250</v>
      </c>
      <c r="C12" s="249" t="s">
        <v>455</v>
      </c>
      <c r="D12" s="249"/>
      <c r="E12" s="250">
        <v>0</v>
      </c>
      <c r="F12" s="251">
        <v>0</v>
      </c>
      <c r="G12" s="252"/>
      <c r="H12" s="251">
        <v>0</v>
      </c>
      <c r="I12" s="252"/>
      <c r="J12" s="252">
        <f>F12*H12</f>
        <v>0</v>
      </c>
      <c r="K12" s="241"/>
    </row>
    <row r="13" spans="1:11">
      <c r="A13" s="242">
        <f>+A12+1</f>
        <v>4</v>
      </c>
      <c r="B13" s="243" t="s">
        <v>456</v>
      </c>
      <c r="C13" s="249" t="s">
        <v>455</v>
      </c>
      <c r="D13" s="249"/>
      <c r="E13" s="250">
        <v>0</v>
      </c>
      <c r="F13" s="251">
        <v>0</v>
      </c>
      <c r="G13" s="252"/>
      <c r="H13" s="252">
        <v>0</v>
      </c>
      <c r="I13" s="252"/>
      <c r="J13" s="252">
        <f>F13*H13</f>
        <v>0</v>
      </c>
      <c r="K13" s="241"/>
    </row>
    <row r="14" spans="1:11" ht="32.25" thickBot="1">
      <c r="A14" s="242">
        <f>+A13+1</f>
        <v>5</v>
      </c>
      <c r="B14" s="243" t="s">
        <v>255</v>
      </c>
      <c r="C14" s="249" t="s">
        <v>457</v>
      </c>
      <c r="D14" s="253" t="s">
        <v>458</v>
      </c>
      <c r="E14" s="254">
        <v>0</v>
      </c>
      <c r="F14" s="251">
        <v>0</v>
      </c>
      <c r="G14" s="252"/>
      <c r="H14" s="255">
        <f>+'Attachment H'!G212+0.01</f>
        <v>0.111</v>
      </c>
      <c r="I14" s="252"/>
      <c r="J14" s="256">
        <f>F14*H14</f>
        <v>0</v>
      </c>
      <c r="K14" s="241"/>
    </row>
    <row r="15" spans="1:11">
      <c r="A15" s="242">
        <f>+A14+1</f>
        <v>6</v>
      </c>
      <c r="B15" s="246" t="s">
        <v>459</v>
      </c>
      <c r="C15" s="249"/>
      <c r="D15" s="249"/>
      <c r="E15" s="257">
        <f>SUM(E12:E14)</f>
        <v>0</v>
      </c>
      <c r="F15" s="252" t="s">
        <v>10</v>
      </c>
      <c r="G15" s="252"/>
      <c r="H15" s="252"/>
      <c r="I15" s="252"/>
      <c r="J15" s="252">
        <f>SUM(J12:J14)</f>
        <v>0</v>
      </c>
      <c r="K15" s="241"/>
    </row>
    <row r="16" spans="1:11">
      <c r="A16" s="242">
        <f t="shared" ref="A16:A40" si="0">+A15+1</f>
        <v>7</v>
      </c>
      <c r="B16" s="246" t="s">
        <v>460</v>
      </c>
      <c r="C16" s="249"/>
      <c r="D16" s="249"/>
      <c r="E16" s="257"/>
      <c r="F16" s="244"/>
      <c r="G16" s="244"/>
      <c r="H16" s="244"/>
      <c r="I16" s="244"/>
      <c r="J16" s="252"/>
      <c r="K16" s="252">
        <f>+J15*K7</f>
        <v>0</v>
      </c>
    </row>
    <row r="17" spans="1:11">
      <c r="A17" s="242"/>
      <c r="J17" s="230"/>
      <c r="K17" s="241"/>
    </row>
    <row r="18" spans="1:11">
      <c r="A18" s="242">
        <f>+A16+1</f>
        <v>8</v>
      </c>
      <c r="B18" s="246" t="s">
        <v>175</v>
      </c>
      <c r="C18" s="244"/>
      <c r="D18" s="244"/>
      <c r="E18" s="244"/>
      <c r="F18" s="244"/>
      <c r="G18" s="249"/>
      <c r="H18" s="258"/>
      <c r="I18" s="244"/>
      <c r="J18" s="249"/>
      <c r="K18" s="241"/>
    </row>
    <row r="19" spans="1:11">
      <c r="A19" s="242">
        <f t="shared" si="0"/>
        <v>9</v>
      </c>
      <c r="B19" s="259" t="s">
        <v>461</v>
      </c>
      <c r="C19" s="244"/>
      <c r="D19" s="11"/>
      <c r="E19" s="260">
        <f>IF('Attachment H'!D252&gt;0,1-(((1-'Attachment H'!D253)*(1-'Attachment H'!D252))/(1-'Attachment H'!D252*'Attachment H'!D253*'Attachment H'!D254)),0)</f>
        <v>0.251475</v>
      </c>
      <c r="F19" s="260"/>
      <c r="G19" s="249"/>
      <c r="H19" s="258"/>
      <c r="I19" s="244"/>
      <c r="J19" s="249"/>
      <c r="K19" s="241"/>
    </row>
    <row r="20" spans="1:11">
      <c r="A20" s="242">
        <f t="shared" si="0"/>
        <v>10</v>
      </c>
      <c r="B20" s="249" t="s">
        <v>178</v>
      </c>
      <c r="C20" s="244"/>
      <c r="D20" s="11"/>
      <c r="E20" s="260">
        <f>IF(J15&gt;0,(E19/(1-E19))*(1-J12/J15),0)</f>
        <v>0</v>
      </c>
      <c r="F20" s="244"/>
      <c r="G20" s="249"/>
      <c r="H20" s="258"/>
      <c r="I20" s="244"/>
      <c r="J20" s="249"/>
      <c r="K20" s="241"/>
    </row>
    <row r="21" spans="1:11">
      <c r="A21" s="242">
        <f t="shared" si="0"/>
        <v>11</v>
      </c>
      <c r="B21" s="244" t="s">
        <v>462</v>
      </c>
      <c r="C21" s="244"/>
      <c r="D21" s="11"/>
      <c r="E21" s="244"/>
      <c r="F21" s="244"/>
      <c r="G21" s="249"/>
      <c r="H21" s="258"/>
      <c r="I21" s="244"/>
      <c r="J21" s="249"/>
      <c r="K21" s="241"/>
    </row>
    <row r="22" spans="1:11">
      <c r="A22" s="242">
        <f t="shared" si="0"/>
        <v>12</v>
      </c>
      <c r="B22" s="246" t="s">
        <v>463</v>
      </c>
      <c r="C22" s="244"/>
      <c r="D22" s="244"/>
      <c r="E22" s="244"/>
      <c r="F22" s="244"/>
      <c r="G22" s="249"/>
      <c r="H22" s="258"/>
      <c r="I22" s="244"/>
      <c r="J22" s="249"/>
      <c r="K22" s="241"/>
    </row>
    <row r="23" spans="1:11">
      <c r="A23" s="242">
        <f t="shared" si="0"/>
        <v>13</v>
      </c>
      <c r="B23" s="259" t="str">
        <f>"      1 / (1 - T)  =  (from line "&amp;A19&amp;")"</f>
        <v xml:space="preserve">      1 / (1 - T)  =  (from line 9)</v>
      </c>
      <c r="C23" s="244"/>
      <c r="D23" s="244"/>
      <c r="E23" s="260">
        <f>IF(E19&gt;0,1/(1-E19),0)</f>
        <v>1.335960722754751</v>
      </c>
      <c r="F23" s="244"/>
      <c r="G23" s="249"/>
      <c r="H23" s="258"/>
      <c r="I23" s="244"/>
      <c r="J23" s="249"/>
      <c r="K23" s="241"/>
    </row>
    <row r="24" spans="1:11">
      <c r="A24" s="242">
        <f t="shared" si="0"/>
        <v>14</v>
      </c>
      <c r="B24" s="246" t="s">
        <v>464</v>
      </c>
      <c r="C24" s="244"/>
      <c r="D24" s="244" t="s">
        <v>465</v>
      </c>
      <c r="E24" s="261">
        <f>+'Attachment H'!D160</f>
        <v>0</v>
      </c>
      <c r="F24" s="244"/>
      <c r="G24" s="249"/>
      <c r="H24" s="258"/>
      <c r="I24" s="244"/>
      <c r="J24" s="249"/>
      <c r="K24" s="241"/>
    </row>
    <row r="25" spans="1:11">
      <c r="A25" s="242">
        <f t="shared" si="0"/>
        <v>15</v>
      </c>
      <c r="B25" s="246" t="s">
        <v>466</v>
      </c>
      <c r="C25" s="244"/>
      <c r="D25" s="244" t="s">
        <v>467</v>
      </c>
      <c r="E25" s="261">
        <f>+'Attachment H'!D161</f>
        <v>0</v>
      </c>
      <c r="F25" s="244"/>
      <c r="G25" s="249"/>
      <c r="H25" s="240"/>
      <c r="I25" s="244"/>
      <c r="J25" s="249"/>
      <c r="K25" s="241"/>
    </row>
    <row r="26" spans="1:11">
      <c r="A26" s="242">
        <f t="shared" si="0"/>
        <v>16</v>
      </c>
      <c r="B26" s="246" t="s">
        <v>468</v>
      </c>
      <c r="C26" s="244"/>
      <c r="D26" s="244" t="s">
        <v>469</v>
      </c>
      <c r="E26" s="261">
        <f>+'Attachment H'!D162</f>
        <v>0</v>
      </c>
      <c r="F26" s="244"/>
      <c r="G26" s="249"/>
      <c r="H26" s="258"/>
      <c r="I26" s="244"/>
      <c r="J26" s="249"/>
      <c r="K26" s="241"/>
    </row>
    <row r="27" spans="1:11">
      <c r="A27" s="242">
        <f t="shared" si="0"/>
        <v>17</v>
      </c>
      <c r="B27" s="259" t="str">
        <f>"Income Tax Calculation = line "&amp;A20&amp;" * line "&amp;A16&amp;""</f>
        <v>Income Tax Calculation = line 10 * line 7</v>
      </c>
      <c r="C27" s="262"/>
      <c r="E27" s="261">
        <f>+E20*K33</f>
        <v>0</v>
      </c>
      <c r="F27" s="263"/>
      <c r="G27" s="263" t="s">
        <v>49</v>
      </c>
      <c r="H27" s="264"/>
      <c r="I27" s="263"/>
      <c r="J27" s="261">
        <f>+E20*K16</f>
        <v>0</v>
      </c>
      <c r="K27" s="241"/>
    </row>
    <row r="28" spans="1:11">
      <c r="A28" s="242">
        <f t="shared" si="0"/>
        <v>18</v>
      </c>
      <c r="B28" s="249" t="str">
        <f>"ITC adjustment (line "&amp;A23&amp;" * line "&amp;A24&amp;")"</f>
        <v>ITC adjustment (line 13 * line 14)</v>
      </c>
      <c r="C28" s="262"/>
      <c r="D28" s="262"/>
      <c r="E28" s="261">
        <f>+E$23*E24</f>
        <v>0</v>
      </c>
      <c r="F28" s="263"/>
      <c r="G28" s="265" t="s">
        <v>82</v>
      </c>
      <c r="H28" s="252">
        <f>+'Attachment H'!G84</f>
        <v>1</v>
      </c>
      <c r="I28" s="263"/>
      <c r="J28" s="261">
        <f>+E28*H28</f>
        <v>0</v>
      </c>
      <c r="K28" s="241"/>
    </row>
    <row r="29" spans="1:11">
      <c r="A29" s="242">
        <f t="shared" si="0"/>
        <v>19</v>
      </c>
      <c r="B29" s="249" t="str">
        <f>"Excess Deferred Income Tax Adjustment (line "&amp;A23&amp;" * line "&amp;A25&amp;")"</f>
        <v>Excess Deferred Income Tax Adjustment (line 13 * line 15)</v>
      </c>
      <c r="C29" s="262"/>
      <c r="D29" s="262"/>
      <c r="E29" s="261">
        <f>+E$23*E25</f>
        <v>0</v>
      </c>
      <c r="F29" s="263"/>
      <c r="G29" s="265" t="s">
        <v>82</v>
      </c>
      <c r="H29" s="252">
        <f>H28</f>
        <v>1</v>
      </c>
      <c r="I29" s="263"/>
      <c r="J29" s="261">
        <f>+E29*H29</f>
        <v>0</v>
      </c>
      <c r="K29" s="241"/>
    </row>
    <row r="30" spans="1:11">
      <c r="A30" s="242">
        <f t="shared" si="0"/>
        <v>20</v>
      </c>
      <c r="B30" s="249" t="str">
        <f>"Permanent Differences Tax Adjustment (line "&amp;A23&amp;" * "&amp;A26&amp;")"</f>
        <v>Permanent Differences Tax Adjustment (line 13 * 16)</v>
      </c>
      <c r="C30" s="262"/>
      <c r="D30" s="262"/>
      <c r="E30" s="266">
        <f>+E$23*E26</f>
        <v>0</v>
      </c>
      <c r="F30" s="263"/>
      <c r="G30" s="265" t="s">
        <v>82</v>
      </c>
      <c r="H30" s="252">
        <f>H29</f>
        <v>1</v>
      </c>
      <c r="I30" s="263"/>
      <c r="J30" s="266">
        <f>+E30*H30</f>
        <v>0</v>
      </c>
      <c r="K30" s="241"/>
    </row>
    <row r="31" spans="1:11">
      <c r="A31" s="242">
        <f t="shared" si="0"/>
        <v>21</v>
      </c>
      <c r="B31" s="267" t="str">
        <f>"Total Income Taxes (sum lines "&amp;A27&amp;" - "&amp;A30&amp;")"</f>
        <v>Total Income Taxes (sum lines 17 - 20)</v>
      </c>
      <c r="C31" s="249"/>
      <c r="D31" s="249"/>
      <c r="E31" s="261">
        <f>SUM(E27:E30)</f>
        <v>0</v>
      </c>
      <c r="F31" s="263"/>
      <c r="G31" s="263" t="s">
        <v>10</v>
      </c>
      <c r="H31" s="264" t="s">
        <v>10</v>
      </c>
      <c r="I31" s="263"/>
      <c r="J31" s="261">
        <f>SUM(J27:J30)</f>
        <v>0</v>
      </c>
      <c r="K31" s="252">
        <f>+J31</f>
        <v>0</v>
      </c>
    </row>
    <row r="32" spans="1:11">
      <c r="A32" s="242"/>
      <c r="J32" s="230"/>
      <c r="K32" s="241"/>
    </row>
    <row r="33" spans="1:11">
      <c r="A33" s="242">
        <f>+A31+1</f>
        <v>22</v>
      </c>
      <c r="B33" s="249" t="s">
        <v>470</v>
      </c>
      <c r="D33" s="230" t="s">
        <v>471</v>
      </c>
      <c r="J33" s="230"/>
      <c r="K33" s="252">
        <f>+K31+K16</f>
        <v>0</v>
      </c>
    </row>
    <row r="34" spans="1:11">
      <c r="A34" s="242"/>
      <c r="J34" s="230"/>
      <c r="K34" s="241"/>
    </row>
    <row r="35" spans="1:11">
      <c r="A35" s="242">
        <f>+A33+1</f>
        <v>23</v>
      </c>
      <c r="B35" s="230" t="s">
        <v>472</v>
      </c>
      <c r="J35" s="230"/>
      <c r="K35" s="252">
        <f>+'Attachment H'!I170</f>
        <v>13563.860659671056</v>
      </c>
    </row>
    <row r="36" spans="1:11">
      <c r="A36" s="242">
        <f t="shared" si="0"/>
        <v>24</v>
      </c>
      <c r="B36" s="230" t="s">
        <v>473</v>
      </c>
      <c r="J36" s="230"/>
      <c r="K36" s="252">
        <f>+'Attachment H'!I167</f>
        <v>3654.706464960429</v>
      </c>
    </row>
    <row r="37" spans="1:11">
      <c r="A37" s="242">
        <f t="shared" si="0"/>
        <v>25</v>
      </c>
      <c r="B37" s="249" t="s">
        <v>474</v>
      </c>
      <c r="D37" s="230" t="s">
        <v>475</v>
      </c>
      <c r="J37" s="230"/>
      <c r="K37" s="268">
        <f>SUM(K35:K36)</f>
        <v>17218.567124631485</v>
      </c>
    </row>
    <row r="38" spans="1:11">
      <c r="A38" s="242">
        <f t="shared" si="0"/>
        <v>26</v>
      </c>
      <c r="B38" s="249" t="s">
        <v>476</v>
      </c>
      <c r="D38" s="230" t="s">
        <v>477</v>
      </c>
      <c r="J38" s="230"/>
      <c r="K38" s="252">
        <f>+K33-K37</f>
        <v>-17218.567124631485</v>
      </c>
    </row>
    <row r="39" spans="1:11">
      <c r="A39" s="242">
        <f t="shared" si="0"/>
        <v>27</v>
      </c>
      <c r="B39" s="230" t="s">
        <v>478</v>
      </c>
      <c r="J39" s="230"/>
      <c r="K39" s="269">
        <f>+K7</f>
        <v>179511.12572354494</v>
      </c>
    </row>
    <row r="40" spans="1:11">
      <c r="A40" s="242">
        <f t="shared" si="0"/>
        <v>28</v>
      </c>
      <c r="B40" s="230" t="s">
        <v>479</v>
      </c>
      <c r="E40" s="230" t="s">
        <v>480</v>
      </c>
      <c r="J40" s="230"/>
      <c r="K40" s="270">
        <f>IF(K39=0,0,K38/K39)</f>
        <v>-9.5919219798937916E-2</v>
      </c>
    </row>
    <row r="41" spans="1:11">
      <c r="J41" s="230"/>
      <c r="K41" s="241"/>
    </row>
    <row r="42" spans="1:11">
      <c r="A42" s="229" t="s">
        <v>481</v>
      </c>
      <c r="J42" s="230"/>
      <c r="K42" s="241"/>
    </row>
    <row r="43" spans="1:11">
      <c r="A43" s="271" t="s">
        <v>430</v>
      </c>
      <c r="B43" s="240" t="s">
        <v>482</v>
      </c>
      <c r="J43" s="230"/>
      <c r="K43" s="241"/>
    </row>
    <row r="44" spans="1:11">
      <c r="A44" s="271"/>
      <c r="B44" s="230" t="s">
        <v>483</v>
      </c>
      <c r="J44" s="230"/>
      <c r="K44" s="241"/>
    </row>
    <row r="45" spans="1:11">
      <c r="A45" s="271"/>
      <c r="B45" s="230" t="s">
        <v>484</v>
      </c>
      <c r="J45" s="230"/>
      <c r="K45" s="241"/>
    </row>
    <row r="46" spans="1:11">
      <c r="A46" s="271"/>
      <c r="B46" s="230" t="s">
        <v>485</v>
      </c>
      <c r="J46" s="230"/>
      <c r="K46" s="241"/>
    </row>
    <row r="47" spans="1:11">
      <c r="A47" s="271" t="s">
        <v>432</v>
      </c>
      <c r="B47" s="230" t="s">
        <v>486</v>
      </c>
      <c r="J47" s="230"/>
      <c r="K47" s="241"/>
    </row>
    <row r="48" spans="1:11">
      <c r="B48" s="230" t="s">
        <v>487</v>
      </c>
      <c r="J48" s="230"/>
      <c r="K48" s="241"/>
    </row>
    <row r="68" ht="24" customHeight="1"/>
  </sheetData>
  <pageMargins left="0.7" right="0.7" top="0.75" bottom="0.75" header="0.3" footer="0.3"/>
  <pageSetup scale="62"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12FB4-73FA-44EB-8D2D-9B1D68795F82}">
  <sheetPr>
    <pageSetUpPr fitToPage="1"/>
  </sheetPr>
  <dimension ref="A1:M68"/>
  <sheetViews>
    <sheetView zoomScaleNormal="100" zoomScaleSheetLayoutView="75" workbookViewId="0">
      <selection activeCell="K108" sqref="K108"/>
    </sheetView>
  </sheetViews>
  <sheetFormatPr defaultColWidth="8.77734375" defaultRowHeight="12.75"/>
  <cols>
    <col min="1" max="1" width="6" style="139" customWidth="1"/>
    <col min="2" max="2" width="27.109375" style="139" customWidth="1"/>
    <col min="3" max="3" width="11.21875" style="139" customWidth="1"/>
    <col min="4" max="4" width="18.77734375" style="139" customWidth="1"/>
    <col min="5" max="5" width="14.109375" style="139" customWidth="1"/>
    <col min="6" max="6" width="15.21875" style="139" customWidth="1"/>
    <col min="7" max="7" width="18.21875" style="139" customWidth="1"/>
    <col min="8" max="8" width="14.44140625" style="139" customWidth="1"/>
    <col min="9" max="9" width="18.5546875" style="139" customWidth="1"/>
    <col min="10" max="10" width="13.77734375" style="139" customWidth="1"/>
    <col min="11" max="11" width="14.44140625" style="139" customWidth="1"/>
    <col min="12" max="12" width="13.5546875" style="139" customWidth="1"/>
    <col min="13" max="16384" width="8.77734375" style="139"/>
  </cols>
  <sheetData>
    <row r="1" spans="1:13">
      <c r="J1" s="141" t="s">
        <v>450</v>
      </c>
    </row>
    <row r="5" spans="1:13">
      <c r="A5" s="272"/>
      <c r="D5" s="141"/>
      <c r="E5" s="142" t="s">
        <v>488</v>
      </c>
      <c r="F5" s="141"/>
      <c r="G5" s="141"/>
      <c r="I5" s="141"/>
      <c r="J5" s="141"/>
      <c r="K5" s="141"/>
      <c r="L5" s="141"/>
    </row>
    <row r="6" spans="1:13">
      <c r="A6" s="272"/>
      <c r="D6" s="141"/>
      <c r="E6" s="273" t="s">
        <v>489</v>
      </c>
      <c r="F6" s="146"/>
      <c r="G6" s="146"/>
      <c r="I6" s="146"/>
      <c r="J6" s="146"/>
      <c r="K6" s="146"/>
      <c r="L6" s="141"/>
    </row>
    <row r="7" spans="1:13">
      <c r="A7" s="272"/>
      <c r="C7" s="144"/>
      <c r="D7" s="144"/>
      <c r="E7" s="50" t="str">
        <f>'Attachment H'!$D$5</f>
        <v>NextEra Energy Transmission MidAtlantic Indiana, Inc.</v>
      </c>
      <c r="F7" s="144"/>
      <c r="G7" s="144"/>
      <c r="I7" s="144"/>
      <c r="J7" s="144"/>
      <c r="K7" s="144"/>
      <c r="L7" s="144"/>
    </row>
    <row r="8" spans="1:13" s="275" customFormat="1">
      <c r="A8" s="274"/>
      <c r="B8" s="139"/>
      <c r="C8" s="139"/>
      <c r="D8" s="139"/>
      <c r="E8" s="156"/>
      <c r="F8" s="156"/>
      <c r="G8" s="156"/>
      <c r="H8" s="139"/>
      <c r="I8" s="144"/>
      <c r="J8" s="144"/>
      <c r="K8" s="144"/>
      <c r="L8" s="144"/>
    </row>
    <row r="9" spans="1:13" s="275" customFormat="1">
      <c r="A9" s="272"/>
      <c r="B9" s="3"/>
      <c r="C9" s="3"/>
      <c r="D9" s="3"/>
      <c r="E9" s="3"/>
      <c r="F9" s="3"/>
      <c r="G9" s="3"/>
      <c r="H9" s="3"/>
      <c r="I9" s="3"/>
      <c r="J9" s="3"/>
      <c r="K9" s="276"/>
      <c r="L9" s="3"/>
    </row>
    <row r="10" spans="1:13" s="275" customFormat="1">
      <c r="A10" s="272"/>
      <c r="B10" s="3"/>
      <c r="C10" s="3"/>
      <c r="D10" s="549" t="s">
        <v>490</v>
      </c>
      <c r="E10" s="550"/>
      <c r="F10" s="277"/>
      <c r="G10" s="278" t="s">
        <v>491</v>
      </c>
      <c r="H10" s="277"/>
      <c r="I10" s="279"/>
      <c r="J10" s="279"/>
      <c r="K10" s="280"/>
    </row>
    <row r="11" spans="1:13" s="275" customFormat="1" ht="15.75">
      <c r="A11" s="272">
        <v>1</v>
      </c>
      <c r="B11" s="3" t="s">
        <v>492</v>
      </c>
      <c r="C11" s="3"/>
      <c r="D11" s="551" t="s">
        <v>493</v>
      </c>
      <c r="E11" s="552"/>
      <c r="F11" s="281" t="s">
        <v>494</v>
      </c>
      <c r="G11" s="282" t="s">
        <v>495</v>
      </c>
      <c r="H11" s="281" t="s">
        <v>496</v>
      </c>
      <c r="I11" s="283"/>
      <c r="J11" s="283"/>
      <c r="K11" s="284"/>
    </row>
    <row r="12" spans="1:13" s="275" customFormat="1">
      <c r="A12" s="272">
        <v>2</v>
      </c>
      <c r="B12" s="285">
        <v>2020</v>
      </c>
      <c r="C12" s="3"/>
      <c r="D12" s="286"/>
      <c r="E12" s="286"/>
      <c r="F12" s="287">
        <v>0</v>
      </c>
      <c r="G12" s="288"/>
      <c r="H12" s="286"/>
      <c r="I12" s="286"/>
      <c r="J12" s="286"/>
      <c r="K12" s="277"/>
    </row>
    <row r="13" spans="1:13" s="275" customFormat="1">
      <c r="B13" s="289" t="s">
        <v>430</v>
      </c>
      <c r="C13" s="289" t="s">
        <v>432</v>
      </c>
      <c r="D13" s="282" t="s">
        <v>285</v>
      </c>
      <c r="E13" s="282" t="s">
        <v>287</v>
      </c>
      <c r="F13" s="278" t="s">
        <v>289</v>
      </c>
      <c r="G13" s="289" t="s">
        <v>291</v>
      </c>
      <c r="H13" s="290" t="s">
        <v>293</v>
      </c>
      <c r="I13" s="290" t="s">
        <v>301</v>
      </c>
      <c r="J13" s="290" t="s">
        <v>303</v>
      </c>
      <c r="K13" s="291" t="s">
        <v>305</v>
      </c>
      <c r="M13" s="276"/>
    </row>
    <row r="14" spans="1:13" s="275" customFormat="1">
      <c r="A14" s="272"/>
      <c r="B14" s="286"/>
      <c r="C14" s="278"/>
      <c r="D14" s="278"/>
      <c r="E14" s="292" t="s">
        <v>497</v>
      </c>
      <c r="F14" s="278"/>
      <c r="G14" s="278"/>
      <c r="H14" s="286"/>
      <c r="I14" s="278"/>
      <c r="J14" s="286"/>
      <c r="K14" s="286"/>
    </row>
    <row r="15" spans="1:13" s="275" customFormat="1">
      <c r="A15" s="272"/>
      <c r="B15" s="288"/>
      <c r="C15" s="290"/>
      <c r="D15" s="290" t="s">
        <v>498</v>
      </c>
      <c r="E15" s="291" t="s">
        <v>21</v>
      </c>
      <c r="F15" s="290" t="s">
        <v>499</v>
      </c>
      <c r="G15" s="290" t="s">
        <v>500</v>
      </c>
      <c r="H15" s="290" t="s">
        <v>501</v>
      </c>
      <c r="I15" s="290"/>
      <c r="J15" s="290" t="s">
        <v>502</v>
      </c>
      <c r="K15" s="290"/>
    </row>
    <row r="16" spans="1:13" s="275" customFormat="1">
      <c r="A16" s="272"/>
      <c r="B16" s="290" t="s">
        <v>503</v>
      </c>
      <c r="C16" s="290"/>
      <c r="D16" s="290" t="s">
        <v>504</v>
      </c>
      <c r="E16" s="291" t="s">
        <v>505</v>
      </c>
      <c r="F16" s="290" t="s">
        <v>506</v>
      </c>
      <c r="G16" s="290" t="s">
        <v>504</v>
      </c>
      <c r="H16" s="290" t="s">
        <v>507</v>
      </c>
      <c r="I16" s="278" t="s">
        <v>508</v>
      </c>
      <c r="J16" s="290" t="s">
        <v>509</v>
      </c>
      <c r="K16" s="290" t="s">
        <v>510</v>
      </c>
    </row>
    <row r="17" spans="1:11" s="275" customFormat="1" ht="15.75">
      <c r="A17" s="272"/>
      <c r="B17" s="282" t="s">
        <v>511</v>
      </c>
      <c r="C17" s="282" t="s">
        <v>512</v>
      </c>
      <c r="D17" s="282" t="s">
        <v>513</v>
      </c>
      <c r="E17" s="291" t="s">
        <v>495</v>
      </c>
      <c r="F17" s="293" t="s">
        <v>514</v>
      </c>
      <c r="G17" s="282" t="s">
        <v>515</v>
      </c>
      <c r="H17" s="282" t="s">
        <v>516</v>
      </c>
      <c r="I17" s="290" t="s">
        <v>517</v>
      </c>
      <c r="J17" s="282" t="s">
        <v>518</v>
      </c>
      <c r="K17" s="282" t="s">
        <v>519</v>
      </c>
    </row>
    <row r="18" spans="1:11" s="275" customFormat="1">
      <c r="A18" s="272">
        <v>3</v>
      </c>
      <c r="B18" s="288" t="s">
        <v>1</v>
      </c>
      <c r="C18" s="288"/>
      <c r="D18" s="294">
        <v>121756</v>
      </c>
      <c r="E18" s="295">
        <f>IF(D$39=0,0,D18/D$39)</f>
        <v>1</v>
      </c>
      <c r="F18" s="296">
        <f>IF(F$12=0,0,#REF!*F$12)</f>
        <v>0</v>
      </c>
      <c r="G18" s="297">
        <v>285167</v>
      </c>
      <c r="H18" s="298">
        <f>+G18-F18</f>
        <v>285167</v>
      </c>
      <c r="I18" s="299">
        <v>0</v>
      </c>
      <c r="J18" s="298">
        <f>(H18+I18)*((J$41/12)*24)</f>
        <v>21297.901085714282</v>
      </c>
      <c r="K18" s="298">
        <f>+H18+J18+I18</f>
        <v>306464.90108571429</v>
      </c>
    </row>
    <row r="19" spans="1:11" s="275" customFormat="1">
      <c r="A19" s="272" t="s">
        <v>520</v>
      </c>
      <c r="B19" s="300"/>
      <c r="C19" s="300"/>
      <c r="D19" s="301">
        <v>0</v>
      </c>
      <c r="E19" s="210">
        <f t="shared" ref="E19:E37" si="0">IF(D$39=0,0,D19/D$39)</f>
        <v>0</v>
      </c>
      <c r="F19" s="296">
        <f>IF(F$12=0,0,#REF!*F$12)</f>
        <v>0</v>
      </c>
      <c r="G19" s="302">
        <v>0</v>
      </c>
      <c r="H19" s="210">
        <f t="shared" ref="H19:H37" si="1">+G19-F19</f>
        <v>0</v>
      </c>
      <c r="I19" s="303">
        <v>0</v>
      </c>
      <c r="J19" s="298">
        <f t="shared" ref="J19:J37" si="2">(H19+I19)*((J$41/12)*24)</f>
        <v>0</v>
      </c>
      <c r="K19" s="298">
        <f t="shared" ref="K19:K37" si="3">+H19+J19+I19</f>
        <v>0</v>
      </c>
    </row>
    <row r="20" spans="1:11" s="275" customFormat="1">
      <c r="A20" s="272" t="s">
        <v>521</v>
      </c>
      <c r="B20" s="300"/>
      <c r="C20" s="300"/>
      <c r="D20" s="301">
        <v>0</v>
      </c>
      <c r="E20" s="210">
        <f t="shared" si="0"/>
        <v>0</v>
      </c>
      <c r="F20" s="296">
        <f>IF(F$12=0,0,#REF!*F$12)</f>
        <v>0</v>
      </c>
      <c r="G20" s="302">
        <v>0</v>
      </c>
      <c r="H20" s="210">
        <f t="shared" si="1"/>
        <v>0</v>
      </c>
      <c r="I20" s="303">
        <v>0</v>
      </c>
      <c r="J20" s="298">
        <f t="shared" si="2"/>
        <v>0</v>
      </c>
      <c r="K20" s="298">
        <f t="shared" si="3"/>
        <v>0</v>
      </c>
    </row>
    <row r="21" spans="1:11" s="275" customFormat="1">
      <c r="A21" s="272" t="s">
        <v>522</v>
      </c>
      <c r="B21" s="300"/>
      <c r="C21" s="300"/>
      <c r="D21" s="301">
        <v>0</v>
      </c>
      <c r="E21" s="210">
        <f t="shared" si="0"/>
        <v>0</v>
      </c>
      <c r="F21" s="296">
        <f>IF(F$12=0,0,#REF!*F$12)</f>
        <v>0</v>
      </c>
      <c r="G21" s="302">
        <v>0</v>
      </c>
      <c r="H21" s="210">
        <f t="shared" si="1"/>
        <v>0</v>
      </c>
      <c r="I21" s="303">
        <v>0</v>
      </c>
      <c r="J21" s="298">
        <f t="shared" si="2"/>
        <v>0</v>
      </c>
      <c r="K21" s="298">
        <f t="shared" si="3"/>
        <v>0</v>
      </c>
    </row>
    <row r="22" spans="1:11" s="275" customFormat="1">
      <c r="A22" s="272"/>
      <c r="B22" s="300"/>
      <c r="C22" s="300"/>
      <c r="D22" s="301">
        <v>0</v>
      </c>
      <c r="E22" s="210">
        <f t="shared" si="0"/>
        <v>0</v>
      </c>
      <c r="F22" s="296">
        <f>IF(F$12=0,0,#REF!*F$12)</f>
        <v>0</v>
      </c>
      <c r="G22" s="302">
        <v>0</v>
      </c>
      <c r="H22" s="210">
        <f t="shared" si="1"/>
        <v>0</v>
      </c>
      <c r="I22" s="303">
        <v>0</v>
      </c>
      <c r="J22" s="298">
        <f t="shared" si="2"/>
        <v>0</v>
      </c>
      <c r="K22" s="298">
        <f t="shared" si="3"/>
        <v>0</v>
      </c>
    </row>
    <row r="23" spans="1:11" s="275" customFormat="1">
      <c r="A23" s="272"/>
      <c r="B23" s="300"/>
      <c r="C23" s="300"/>
      <c r="D23" s="301">
        <v>0</v>
      </c>
      <c r="E23" s="210">
        <f t="shared" si="0"/>
        <v>0</v>
      </c>
      <c r="F23" s="296">
        <f>IF(F$12=0,0,#REF!*F$12)</f>
        <v>0</v>
      </c>
      <c r="G23" s="302">
        <v>0</v>
      </c>
      <c r="H23" s="210">
        <f t="shared" si="1"/>
        <v>0</v>
      </c>
      <c r="I23" s="303">
        <v>0</v>
      </c>
      <c r="J23" s="298">
        <f t="shared" si="2"/>
        <v>0</v>
      </c>
      <c r="K23" s="298">
        <f t="shared" si="3"/>
        <v>0</v>
      </c>
    </row>
    <row r="24" spans="1:11" s="275" customFormat="1">
      <c r="A24" s="272"/>
      <c r="B24" s="300"/>
      <c r="C24" s="300"/>
      <c r="D24" s="301">
        <v>0</v>
      </c>
      <c r="E24" s="210">
        <f t="shared" si="0"/>
        <v>0</v>
      </c>
      <c r="F24" s="296">
        <f>IF(F$12=0,0,#REF!*F$12)</f>
        <v>0</v>
      </c>
      <c r="G24" s="302">
        <v>0</v>
      </c>
      <c r="H24" s="210">
        <f t="shared" si="1"/>
        <v>0</v>
      </c>
      <c r="I24" s="303">
        <v>0</v>
      </c>
      <c r="J24" s="298">
        <f t="shared" si="2"/>
        <v>0</v>
      </c>
      <c r="K24" s="298">
        <f t="shared" si="3"/>
        <v>0</v>
      </c>
    </row>
    <row r="25" spans="1:11">
      <c r="A25" s="272"/>
      <c r="B25" s="300"/>
      <c r="C25" s="300"/>
      <c r="D25" s="301">
        <v>0</v>
      </c>
      <c r="E25" s="210">
        <f t="shared" si="0"/>
        <v>0</v>
      </c>
      <c r="F25" s="296">
        <f>IF(F$12=0,0,#REF!*F$12)</f>
        <v>0</v>
      </c>
      <c r="G25" s="302">
        <v>0</v>
      </c>
      <c r="H25" s="210">
        <f t="shared" si="1"/>
        <v>0</v>
      </c>
      <c r="I25" s="303">
        <v>0</v>
      </c>
      <c r="J25" s="298">
        <f t="shared" si="2"/>
        <v>0</v>
      </c>
      <c r="K25" s="298">
        <f t="shared" si="3"/>
        <v>0</v>
      </c>
    </row>
    <row r="26" spans="1:11">
      <c r="A26" s="272"/>
      <c r="B26" s="300"/>
      <c r="C26" s="300"/>
      <c r="D26" s="301">
        <v>0</v>
      </c>
      <c r="E26" s="210">
        <f t="shared" si="0"/>
        <v>0</v>
      </c>
      <c r="F26" s="296">
        <f>IF(F$12=0,0,#REF!*F$12)</f>
        <v>0</v>
      </c>
      <c r="G26" s="302">
        <v>0</v>
      </c>
      <c r="H26" s="210">
        <f t="shared" si="1"/>
        <v>0</v>
      </c>
      <c r="I26" s="303">
        <v>0</v>
      </c>
      <c r="J26" s="298">
        <f t="shared" si="2"/>
        <v>0</v>
      </c>
      <c r="K26" s="298">
        <f t="shared" si="3"/>
        <v>0</v>
      </c>
    </row>
    <row r="27" spans="1:11">
      <c r="A27" s="272"/>
      <c r="B27" s="300"/>
      <c r="C27" s="300"/>
      <c r="D27" s="301">
        <v>0</v>
      </c>
      <c r="E27" s="210">
        <f t="shared" si="0"/>
        <v>0</v>
      </c>
      <c r="F27" s="296">
        <f>IF(F$12=0,0,#REF!*F$12)</f>
        <v>0</v>
      </c>
      <c r="G27" s="302">
        <v>0</v>
      </c>
      <c r="H27" s="210">
        <f t="shared" si="1"/>
        <v>0</v>
      </c>
      <c r="I27" s="303">
        <v>0</v>
      </c>
      <c r="J27" s="298">
        <f t="shared" si="2"/>
        <v>0</v>
      </c>
      <c r="K27" s="298">
        <f t="shared" si="3"/>
        <v>0</v>
      </c>
    </row>
    <row r="28" spans="1:11" ht="12.75" customHeight="1">
      <c r="A28" s="272"/>
      <c r="B28" s="300"/>
      <c r="C28" s="300"/>
      <c r="D28" s="301">
        <v>0</v>
      </c>
      <c r="E28" s="210">
        <f t="shared" si="0"/>
        <v>0</v>
      </c>
      <c r="F28" s="296">
        <f>IF(F$12=0,0,#REF!*F$12)</f>
        <v>0</v>
      </c>
      <c r="G28" s="302">
        <v>0</v>
      </c>
      <c r="H28" s="210">
        <f t="shared" si="1"/>
        <v>0</v>
      </c>
      <c r="I28" s="303">
        <v>0</v>
      </c>
      <c r="J28" s="298">
        <f t="shared" si="2"/>
        <v>0</v>
      </c>
      <c r="K28" s="298">
        <f t="shared" si="3"/>
        <v>0</v>
      </c>
    </row>
    <row r="29" spans="1:11">
      <c r="A29" s="272"/>
      <c r="B29" s="300"/>
      <c r="C29" s="300"/>
      <c r="D29" s="301">
        <v>0</v>
      </c>
      <c r="E29" s="210">
        <f t="shared" si="0"/>
        <v>0</v>
      </c>
      <c r="F29" s="296">
        <f>IF(F$12=0,0,#REF!*F$12)</f>
        <v>0</v>
      </c>
      <c r="G29" s="302">
        <v>0</v>
      </c>
      <c r="H29" s="210">
        <f t="shared" si="1"/>
        <v>0</v>
      </c>
      <c r="I29" s="303">
        <v>0</v>
      </c>
      <c r="J29" s="298">
        <f t="shared" si="2"/>
        <v>0</v>
      </c>
      <c r="K29" s="298">
        <f t="shared" si="3"/>
        <v>0</v>
      </c>
    </row>
    <row r="30" spans="1:11">
      <c r="A30" s="272"/>
      <c r="B30" s="300"/>
      <c r="C30" s="300"/>
      <c r="D30" s="301">
        <v>0</v>
      </c>
      <c r="E30" s="210">
        <f t="shared" si="0"/>
        <v>0</v>
      </c>
      <c r="F30" s="296">
        <f>IF(F$12=0,0,#REF!*F$12)</f>
        <v>0</v>
      </c>
      <c r="G30" s="302">
        <v>0</v>
      </c>
      <c r="H30" s="210">
        <f t="shared" si="1"/>
        <v>0</v>
      </c>
      <c r="I30" s="303">
        <v>0</v>
      </c>
      <c r="J30" s="298">
        <f t="shared" si="2"/>
        <v>0</v>
      </c>
      <c r="K30" s="298">
        <f t="shared" si="3"/>
        <v>0</v>
      </c>
    </row>
    <row r="31" spans="1:11">
      <c r="A31" s="272"/>
      <c r="B31" s="300"/>
      <c r="C31" s="300"/>
      <c r="D31" s="301">
        <v>0</v>
      </c>
      <c r="E31" s="210">
        <f t="shared" si="0"/>
        <v>0</v>
      </c>
      <c r="F31" s="296">
        <f>IF(F$12=0,0,#REF!*F$12)</f>
        <v>0</v>
      </c>
      <c r="G31" s="302">
        <v>0</v>
      </c>
      <c r="H31" s="210">
        <f t="shared" si="1"/>
        <v>0</v>
      </c>
      <c r="I31" s="303">
        <v>0</v>
      </c>
      <c r="J31" s="298">
        <f t="shared" si="2"/>
        <v>0</v>
      </c>
      <c r="K31" s="298">
        <f t="shared" si="3"/>
        <v>0</v>
      </c>
    </row>
    <row r="32" spans="1:11">
      <c r="A32" s="272"/>
      <c r="B32" s="300"/>
      <c r="C32" s="300"/>
      <c r="D32" s="301">
        <v>0</v>
      </c>
      <c r="E32" s="210">
        <f t="shared" si="0"/>
        <v>0</v>
      </c>
      <c r="F32" s="296">
        <f>IF(F$12=0,0,#REF!*F$12)</f>
        <v>0</v>
      </c>
      <c r="G32" s="302">
        <v>0</v>
      </c>
      <c r="H32" s="210">
        <f t="shared" si="1"/>
        <v>0</v>
      </c>
      <c r="I32" s="303">
        <v>0</v>
      </c>
      <c r="J32" s="298">
        <f t="shared" si="2"/>
        <v>0</v>
      </c>
      <c r="K32" s="298">
        <f t="shared" si="3"/>
        <v>0</v>
      </c>
    </row>
    <row r="33" spans="1:12">
      <c r="A33" s="272"/>
      <c r="B33" s="300"/>
      <c r="C33" s="300"/>
      <c r="D33" s="301">
        <v>0</v>
      </c>
      <c r="E33" s="210">
        <f t="shared" si="0"/>
        <v>0</v>
      </c>
      <c r="F33" s="296">
        <f>IF(F$12=0,0,#REF!*F$12)</f>
        <v>0</v>
      </c>
      <c r="G33" s="302">
        <v>0</v>
      </c>
      <c r="H33" s="210">
        <f t="shared" si="1"/>
        <v>0</v>
      </c>
      <c r="I33" s="303">
        <v>0</v>
      </c>
      <c r="J33" s="298">
        <f t="shared" si="2"/>
        <v>0</v>
      </c>
      <c r="K33" s="298">
        <f t="shared" si="3"/>
        <v>0</v>
      </c>
    </row>
    <row r="34" spans="1:12">
      <c r="A34" s="272"/>
      <c r="B34" s="300"/>
      <c r="C34" s="300"/>
      <c r="D34" s="301">
        <v>0</v>
      </c>
      <c r="E34" s="210">
        <f t="shared" si="0"/>
        <v>0</v>
      </c>
      <c r="F34" s="296">
        <f>IF(F$12=0,0,#REF!*F$12)</f>
        <v>0</v>
      </c>
      <c r="G34" s="302">
        <v>0</v>
      </c>
      <c r="H34" s="210">
        <f t="shared" si="1"/>
        <v>0</v>
      </c>
      <c r="I34" s="303">
        <v>0</v>
      </c>
      <c r="J34" s="298">
        <f t="shared" si="2"/>
        <v>0</v>
      </c>
      <c r="K34" s="298">
        <f t="shared" si="3"/>
        <v>0</v>
      </c>
    </row>
    <row r="35" spans="1:12" ht="13.5" customHeight="1">
      <c r="A35" s="272"/>
      <c r="B35" s="300"/>
      <c r="C35" s="300"/>
      <c r="D35" s="301">
        <v>0</v>
      </c>
      <c r="E35" s="210">
        <f t="shared" si="0"/>
        <v>0</v>
      </c>
      <c r="F35" s="296">
        <f>IF(F$12=0,0,#REF!*F$12)</f>
        <v>0</v>
      </c>
      <c r="G35" s="302">
        <v>0</v>
      </c>
      <c r="H35" s="210">
        <f t="shared" si="1"/>
        <v>0</v>
      </c>
      <c r="I35" s="303">
        <v>0</v>
      </c>
      <c r="J35" s="298">
        <f t="shared" si="2"/>
        <v>0</v>
      </c>
      <c r="K35" s="298">
        <f t="shared" si="3"/>
        <v>0</v>
      </c>
    </row>
    <row r="36" spans="1:12" ht="13.5" customHeight="1">
      <c r="A36" s="272"/>
      <c r="B36" s="300"/>
      <c r="C36" s="300"/>
      <c r="D36" s="301">
        <v>0</v>
      </c>
      <c r="E36" s="210">
        <f t="shared" si="0"/>
        <v>0</v>
      </c>
      <c r="F36" s="296">
        <f>IF(F$12=0,0,#REF!*F$12)</f>
        <v>0</v>
      </c>
      <c r="G36" s="302">
        <v>0</v>
      </c>
      <c r="H36" s="210">
        <f t="shared" si="1"/>
        <v>0</v>
      </c>
      <c r="I36" s="303">
        <v>0</v>
      </c>
      <c r="J36" s="298">
        <f t="shared" si="2"/>
        <v>0</v>
      </c>
      <c r="K36" s="298">
        <f t="shared" si="3"/>
        <v>0</v>
      </c>
    </row>
    <row r="37" spans="1:12">
      <c r="A37" s="272"/>
      <c r="B37" s="300"/>
      <c r="C37" s="300"/>
      <c r="D37" s="301">
        <v>0</v>
      </c>
      <c r="E37" s="210">
        <f t="shared" si="0"/>
        <v>0</v>
      </c>
      <c r="F37" s="296">
        <f>IF(F$12=0,0,#REF!*F$12)</f>
        <v>0</v>
      </c>
      <c r="G37" s="302">
        <v>0</v>
      </c>
      <c r="H37" s="210">
        <f t="shared" si="1"/>
        <v>0</v>
      </c>
      <c r="I37" s="303">
        <v>0</v>
      </c>
      <c r="J37" s="298">
        <f t="shared" si="2"/>
        <v>0</v>
      </c>
      <c r="K37" s="298">
        <f t="shared" si="3"/>
        <v>0</v>
      </c>
    </row>
    <row r="38" spans="1:12">
      <c r="A38" s="272"/>
      <c r="B38" s="304"/>
      <c r="C38" s="304"/>
      <c r="D38" s="305"/>
      <c r="E38" s="306"/>
      <c r="F38" s="283"/>
      <c r="G38" s="307"/>
      <c r="H38" s="304"/>
      <c r="I38" s="304"/>
      <c r="J38" s="304"/>
      <c r="K38" s="304"/>
    </row>
    <row r="39" spans="1:12">
      <c r="A39" s="272">
        <v>4</v>
      </c>
      <c r="B39" s="3" t="s">
        <v>523</v>
      </c>
      <c r="C39" s="3"/>
      <c r="D39" s="22">
        <f>SUM(D18:D38)</f>
        <v>121756</v>
      </c>
      <c r="E39" s="22">
        <f>SUM(E18:E38)</f>
        <v>1</v>
      </c>
      <c r="F39" s="22">
        <f>SUM(F18:F38)</f>
        <v>0</v>
      </c>
      <c r="G39" s="22">
        <f>SUM(G18:G38)</f>
        <v>285167</v>
      </c>
      <c r="H39" s="22">
        <f>SUM(H18:H38)</f>
        <v>285167</v>
      </c>
      <c r="I39" s="22"/>
      <c r="J39" s="22">
        <f>SUM(J18:J38)</f>
        <v>21297.901085714282</v>
      </c>
      <c r="K39" s="22">
        <f>SUM(K18:K38)</f>
        <v>306464.90108571429</v>
      </c>
    </row>
    <row r="40" spans="1:12">
      <c r="A40" s="272"/>
      <c r="B40" s="3"/>
      <c r="C40" s="3"/>
      <c r="D40" s="22"/>
      <c r="E40" s="22"/>
      <c r="F40" s="22"/>
      <c r="G40" s="22"/>
      <c r="H40" s="22"/>
      <c r="I40" s="22"/>
      <c r="J40" s="22"/>
      <c r="K40" s="22"/>
    </row>
    <row r="41" spans="1:12">
      <c r="A41" s="272"/>
      <c r="B41" s="3"/>
      <c r="C41" s="3"/>
      <c r="D41" s="22"/>
      <c r="E41" s="22"/>
      <c r="F41" s="22"/>
      <c r="G41" s="22" t="s">
        <v>524</v>
      </c>
      <c r="H41" s="22"/>
      <c r="I41" s="22"/>
      <c r="J41" s="308">
        <f>'6-True-Up Interest'!H17</f>
        <v>3.7342857142857136E-2</v>
      </c>
      <c r="K41" s="22"/>
    </row>
    <row r="42" spans="1:12">
      <c r="A42" s="272"/>
      <c r="B42" s="3"/>
      <c r="C42" s="3"/>
      <c r="D42" s="22"/>
      <c r="E42" s="22"/>
      <c r="F42" s="22"/>
      <c r="G42" s="22" t="s">
        <v>525</v>
      </c>
      <c r="H42" s="22"/>
      <c r="I42" s="22"/>
      <c r="J42" s="22">
        <f>+J39</f>
        <v>21297.901085714282</v>
      </c>
      <c r="K42" s="22"/>
    </row>
    <row r="43" spans="1:12">
      <c r="A43" s="272"/>
      <c r="B43" s="3" t="s">
        <v>526</v>
      </c>
      <c r="C43" s="3"/>
      <c r="D43" s="3"/>
      <c r="E43" s="3"/>
      <c r="F43" s="3"/>
      <c r="G43" s="3"/>
      <c r="H43" s="3"/>
      <c r="I43" s="3"/>
      <c r="J43" s="3"/>
      <c r="K43" s="3"/>
      <c r="L43" s="3"/>
    </row>
    <row r="44" spans="1:12">
      <c r="A44" s="272"/>
      <c r="B44" s="3" t="s">
        <v>527</v>
      </c>
      <c r="C44" s="3"/>
      <c r="D44" s="3"/>
      <c r="E44" s="3"/>
      <c r="F44" s="3"/>
      <c r="G44" s="3"/>
      <c r="H44" s="3"/>
      <c r="I44" s="3"/>
      <c r="J44" s="3"/>
      <c r="K44" s="3"/>
      <c r="L44" s="3"/>
    </row>
    <row r="45" spans="1:12">
      <c r="A45" s="272"/>
      <c r="B45" s="3" t="s">
        <v>528</v>
      </c>
      <c r="C45" s="3"/>
      <c r="D45" s="3"/>
      <c r="E45" s="3"/>
      <c r="F45" s="3"/>
      <c r="G45" s="3"/>
      <c r="H45" s="3"/>
      <c r="I45" s="3"/>
      <c r="J45" s="3"/>
      <c r="K45" s="3"/>
      <c r="L45" s="3"/>
    </row>
    <row r="46" spans="1:12">
      <c r="A46" s="272"/>
      <c r="B46" s="3" t="s">
        <v>529</v>
      </c>
      <c r="C46" s="3"/>
      <c r="D46" s="3"/>
      <c r="E46" s="3"/>
      <c r="F46" s="3"/>
      <c r="G46" s="3"/>
      <c r="H46" s="3"/>
      <c r="I46" s="3"/>
      <c r="J46" s="3"/>
      <c r="K46" s="3"/>
      <c r="L46" s="3"/>
    </row>
    <row r="47" spans="1:12">
      <c r="A47" s="272"/>
      <c r="B47" s="139" t="s">
        <v>530</v>
      </c>
      <c r="C47" s="3"/>
      <c r="D47" s="3"/>
      <c r="E47" s="3"/>
      <c r="F47" s="3"/>
      <c r="G47" s="3"/>
      <c r="H47" s="3"/>
      <c r="I47" s="3"/>
      <c r="J47" s="3"/>
      <c r="K47" s="3"/>
      <c r="L47" s="3"/>
    </row>
    <row r="48" spans="1:12">
      <c r="A48" s="272"/>
      <c r="B48" s="139" t="s">
        <v>531</v>
      </c>
      <c r="C48" s="3"/>
      <c r="D48" s="3"/>
      <c r="E48" s="3"/>
      <c r="F48" s="3"/>
      <c r="G48" s="3"/>
      <c r="H48" s="3"/>
      <c r="I48" s="3"/>
      <c r="J48" s="3"/>
      <c r="K48" s="3"/>
      <c r="L48" s="3"/>
    </row>
    <row r="49" spans="1:12">
      <c r="A49" s="272"/>
      <c r="B49" s="3" t="s">
        <v>532</v>
      </c>
      <c r="C49" s="3"/>
      <c r="D49" s="3"/>
      <c r="E49" s="3"/>
      <c r="F49" s="3"/>
      <c r="G49" s="3"/>
      <c r="H49" s="3"/>
      <c r="I49" s="3"/>
      <c r="J49" s="3"/>
      <c r="K49" s="3"/>
      <c r="L49" s="3"/>
    </row>
    <row r="50" spans="1:12">
      <c r="A50" s="272"/>
      <c r="B50" s="3" t="s">
        <v>533</v>
      </c>
      <c r="C50" s="3"/>
      <c r="D50" s="3"/>
      <c r="E50" s="3"/>
      <c r="F50" s="3"/>
      <c r="G50" s="3"/>
      <c r="H50" s="3"/>
      <c r="I50" s="3"/>
      <c r="J50" s="3"/>
      <c r="K50" s="3"/>
      <c r="L50" s="3"/>
    </row>
    <row r="51" spans="1:12">
      <c r="A51" s="272"/>
      <c r="J51" s="3"/>
      <c r="K51" s="3"/>
      <c r="L51" s="3"/>
    </row>
    <row r="52" spans="1:12">
      <c r="A52" s="272"/>
      <c r="C52" s="3"/>
      <c r="D52" s="3"/>
      <c r="E52" s="3"/>
      <c r="F52" s="3"/>
      <c r="G52" s="3"/>
      <c r="H52" s="3"/>
      <c r="I52" s="3"/>
      <c r="J52" s="3"/>
      <c r="K52" s="3"/>
      <c r="L52" s="3"/>
    </row>
    <row r="53" spans="1:12">
      <c r="A53" s="272"/>
      <c r="C53" s="3"/>
      <c r="D53" s="3"/>
      <c r="E53" s="3"/>
      <c r="F53" s="3"/>
      <c r="G53" s="3"/>
      <c r="H53" s="3"/>
      <c r="I53" s="3"/>
      <c r="J53" s="3"/>
      <c r="K53" s="3"/>
      <c r="L53" s="3"/>
    </row>
    <row r="54" spans="1:12">
      <c r="A54" s="272"/>
      <c r="D54" s="22"/>
      <c r="E54" s="22"/>
      <c r="F54" s="22"/>
      <c r="G54" s="22"/>
      <c r="H54" s="22"/>
    </row>
    <row r="55" spans="1:12">
      <c r="A55" s="309" t="s">
        <v>534</v>
      </c>
      <c r="D55" s="22"/>
      <c r="E55" s="22"/>
      <c r="F55" s="22"/>
      <c r="G55" s="22"/>
      <c r="H55" s="22"/>
    </row>
    <row r="56" spans="1:12">
      <c r="A56" s="272"/>
      <c r="B56" s="167" t="s">
        <v>535</v>
      </c>
      <c r="C56" s="310" t="s">
        <v>536</v>
      </c>
      <c r="D56" s="167" t="s">
        <v>537</v>
      </c>
      <c r="E56" s="167" t="s">
        <v>538</v>
      </c>
      <c r="F56" s="167"/>
    </row>
    <row r="57" spans="1:12">
      <c r="A57" s="272"/>
      <c r="B57" s="311" t="str">
        <f>+A55</f>
        <v>Prior Period Adjustment</v>
      </c>
      <c r="C57" s="312" t="s">
        <v>16</v>
      </c>
      <c r="D57" s="312" t="s">
        <v>502</v>
      </c>
      <c r="E57" s="312" t="s">
        <v>21</v>
      </c>
    </row>
    <row r="58" spans="1:12">
      <c r="A58" s="272"/>
      <c r="B58" s="313" t="s">
        <v>539</v>
      </c>
      <c r="C58" s="314" t="s">
        <v>540</v>
      </c>
      <c r="D58" s="314" t="s">
        <v>541</v>
      </c>
      <c r="E58" s="314" t="s">
        <v>542</v>
      </c>
    </row>
    <row r="59" spans="1:12">
      <c r="A59" s="272" t="s">
        <v>352</v>
      </c>
      <c r="B59" s="315">
        <v>0</v>
      </c>
      <c r="C59" s="303">
        <v>0</v>
      </c>
      <c r="D59" s="303">
        <v>0</v>
      </c>
      <c r="E59" s="211">
        <f>+C59+D59</f>
        <v>0</v>
      </c>
    </row>
    <row r="60" spans="1:12">
      <c r="A60" s="272"/>
      <c r="B60" s="316"/>
      <c r="C60" s="218"/>
      <c r="D60" s="218"/>
      <c r="E60" s="219"/>
    </row>
    <row r="61" spans="1:12">
      <c r="A61" s="272"/>
      <c r="H61" s="25"/>
    </row>
    <row r="62" spans="1:12" ht="66" customHeight="1">
      <c r="A62" s="272"/>
      <c r="C62" s="3"/>
      <c r="D62" s="317"/>
      <c r="E62" s="317"/>
      <c r="F62" s="317"/>
      <c r="G62" s="317"/>
      <c r="H62" s="317"/>
      <c r="I62" s="317"/>
    </row>
    <row r="63" spans="1:12" ht="56.25" customHeight="1">
      <c r="A63" s="318" t="s">
        <v>526</v>
      </c>
      <c r="B63" s="227" t="s">
        <v>430</v>
      </c>
      <c r="C63" s="553" t="s">
        <v>543</v>
      </c>
      <c r="D63" s="553"/>
      <c r="E63" s="553"/>
      <c r="F63" s="553"/>
      <c r="G63" s="553"/>
      <c r="H63" s="553"/>
      <c r="I63" s="553"/>
      <c r="J63" s="553"/>
    </row>
    <row r="64" spans="1:12" ht="27" customHeight="1">
      <c r="A64" s="272"/>
      <c r="B64" s="319" t="s">
        <v>432</v>
      </c>
      <c r="C64" s="547" t="s">
        <v>544</v>
      </c>
      <c r="D64" s="547"/>
      <c r="E64" s="547"/>
      <c r="F64" s="547"/>
      <c r="G64" s="547"/>
      <c r="H64" s="547"/>
      <c r="I64" s="547"/>
    </row>
    <row r="68" ht="24" customHeight="1"/>
  </sheetData>
  <mergeCells count="4">
    <mergeCell ref="D10:E10"/>
    <mergeCell ref="D11:E11"/>
    <mergeCell ref="C63:J63"/>
    <mergeCell ref="C64:I64"/>
  </mergeCells>
  <pageMargins left="0.25" right="0.25" top="0.75" bottom="0.75" header="0.3" footer="0.3"/>
  <pageSetup scale="55"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5631-0DF3-44FB-B183-0068B6309125}">
  <sheetPr>
    <pageSetUpPr fitToPage="1"/>
  </sheetPr>
  <dimension ref="A1:P77"/>
  <sheetViews>
    <sheetView zoomScale="85" zoomScaleNormal="85" zoomScaleSheetLayoutView="85" workbookViewId="0">
      <selection activeCell="K108" sqref="K108"/>
    </sheetView>
  </sheetViews>
  <sheetFormatPr defaultColWidth="8.77734375" defaultRowHeight="12.75"/>
  <cols>
    <col min="1" max="1" width="4.77734375" style="320" customWidth="1"/>
    <col min="2" max="2" width="29" style="3" bestFit="1" customWidth="1"/>
    <col min="3" max="3" width="20" style="3" customWidth="1"/>
    <col min="4" max="4" width="19.21875" style="3" customWidth="1"/>
    <col min="5" max="5" width="16" style="3" customWidth="1"/>
    <col min="6" max="6" width="17.21875" style="3" customWidth="1"/>
    <col min="7" max="7" width="21.21875" style="3" customWidth="1"/>
    <col min="8" max="8" width="18" style="3" customWidth="1"/>
    <col min="9" max="9" width="20.77734375" style="3" customWidth="1"/>
    <col min="10" max="10" width="25.21875" style="3" customWidth="1"/>
    <col min="11" max="14" width="11.77734375" style="3" customWidth="1"/>
    <col min="15" max="16384" width="8.77734375" style="3"/>
  </cols>
  <sheetData>
    <row r="1" spans="1:12">
      <c r="C1" s="321"/>
      <c r="D1" s="321"/>
      <c r="E1" s="321"/>
      <c r="G1" s="142" t="s">
        <v>545</v>
      </c>
      <c r="H1" s="321"/>
      <c r="I1" s="321"/>
      <c r="J1" s="322" t="s">
        <v>338</v>
      </c>
    </row>
    <row r="2" spans="1:12">
      <c r="A2" s="323"/>
      <c r="C2" s="321"/>
      <c r="D2" s="321"/>
      <c r="E2" s="321"/>
      <c r="F2" s="321"/>
      <c r="G2" s="324" t="s">
        <v>546</v>
      </c>
      <c r="H2" s="321"/>
      <c r="I2" s="321"/>
      <c r="J2" s="321"/>
      <c r="L2" s="325"/>
    </row>
    <row r="3" spans="1:12">
      <c r="A3" s="323"/>
      <c r="C3" s="321"/>
      <c r="D3" s="321"/>
      <c r="E3" s="321"/>
      <c r="F3" s="321"/>
      <c r="G3" s="50" t="str">
        <f>'Attachment H'!$D$5</f>
        <v>NextEra Energy Transmission MidAtlantic Indiana, Inc.</v>
      </c>
      <c r="H3" s="321"/>
      <c r="I3" s="321"/>
      <c r="J3" s="321"/>
    </row>
    <row r="4" spans="1:12">
      <c r="A4" s="323"/>
      <c r="C4" s="321"/>
      <c r="D4" s="321"/>
      <c r="E4" s="321"/>
      <c r="F4" s="321"/>
      <c r="G4" s="321"/>
      <c r="H4" s="321"/>
      <c r="I4" s="321"/>
      <c r="J4" s="321"/>
    </row>
    <row r="5" spans="1:12">
      <c r="A5" s="323"/>
      <c r="B5" s="326"/>
      <c r="C5" s="326"/>
      <c r="D5" s="326"/>
      <c r="E5" s="326"/>
      <c r="F5" s="326"/>
      <c r="G5" s="326"/>
      <c r="H5" s="326"/>
      <c r="I5" s="326"/>
      <c r="J5" s="326"/>
    </row>
    <row r="6" spans="1:12">
      <c r="A6" s="323"/>
      <c r="B6" s="326"/>
      <c r="C6" s="556" t="s">
        <v>547</v>
      </c>
      <c r="D6" s="556"/>
      <c r="E6" s="327" t="s">
        <v>548</v>
      </c>
      <c r="F6" s="327" t="s">
        <v>549</v>
      </c>
      <c r="G6" s="556" t="s">
        <v>550</v>
      </c>
      <c r="H6" s="556"/>
      <c r="I6" s="557" t="s">
        <v>551</v>
      </c>
      <c r="J6" s="557"/>
    </row>
    <row r="7" spans="1:12" s="330" customFormat="1" ht="25.5">
      <c r="A7" s="328" t="s">
        <v>552</v>
      </c>
      <c r="B7" s="329" t="s">
        <v>553</v>
      </c>
      <c r="C7" s="329" t="s">
        <v>40</v>
      </c>
      <c r="D7" s="329" t="s">
        <v>554</v>
      </c>
      <c r="E7" s="329" t="s">
        <v>555</v>
      </c>
      <c r="F7" s="329" t="s">
        <v>556</v>
      </c>
      <c r="G7" s="329" t="s">
        <v>106</v>
      </c>
      <c r="H7" s="329" t="s">
        <v>557</v>
      </c>
      <c r="I7" s="329" t="s">
        <v>40</v>
      </c>
      <c r="J7" s="329" t="s">
        <v>554</v>
      </c>
    </row>
    <row r="8" spans="1:12" s="70" customFormat="1">
      <c r="A8" s="323"/>
      <c r="B8" s="327" t="s">
        <v>535</v>
      </c>
      <c r="C8" s="327" t="s">
        <v>536</v>
      </c>
      <c r="D8" s="327" t="s">
        <v>537</v>
      </c>
      <c r="E8" s="329" t="s">
        <v>538</v>
      </c>
      <c r="F8" s="329" t="s">
        <v>558</v>
      </c>
      <c r="G8" s="329" t="s">
        <v>559</v>
      </c>
      <c r="H8" s="329" t="s">
        <v>560</v>
      </c>
      <c r="I8" s="331" t="s">
        <v>561</v>
      </c>
      <c r="J8" s="331" t="s">
        <v>562</v>
      </c>
    </row>
    <row r="9" spans="1:12" s="70" customFormat="1">
      <c r="A9" s="323"/>
      <c r="B9" s="332" t="s">
        <v>563</v>
      </c>
      <c r="C9" s="324">
        <v>2</v>
      </c>
      <c r="D9" s="324">
        <v>4</v>
      </c>
      <c r="E9" s="333">
        <v>27</v>
      </c>
      <c r="F9" s="333">
        <v>31</v>
      </c>
      <c r="G9" s="333">
        <v>34</v>
      </c>
      <c r="H9" s="333">
        <v>35</v>
      </c>
      <c r="I9" s="334">
        <v>9</v>
      </c>
      <c r="J9" s="334">
        <v>11</v>
      </c>
    </row>
    <row r="10" spans="1:12" s="70" customFormat="1" ht="25.5">
      <c r="A10" s="323"/>
      <c r="B10" s="327"/>
      <c r="C10" s="335" t="s">
        <v>564</v>
      </c>
      <c r="D10" s="335" t="s">
        <v>565</v>
      </c>
      <c r="E10" s="336" t="s">
        <v>411</v>
      </c>
      <c r="F10" s="335" t="s">
        <v>566</v>
      </c>
      <c r="G10" s="335" t="s">
        <v>567</v>
      </c>
      <c r="H10" s="335" t="s">
        <v>568</v>
      </c>
      <c r="I10" s="335" t="s">
        <v>569</v>
      </c>
      <c r="J10" s="335" t="s">
        <v>570</v>
      </c>
    </row>
    <row r="11" spans="1:12">
      <c r="A11" s="323">
        <v>1</v>
      </c>
      <c r="B11" s="337" t="s">
        <v>571</v>
      </c>
      <c r="C11" s="338">
        <v>2486171.48</v>
      </c>
      <c r="D11" s="338">
        <v>0</v>
      </c>
      <c r="E11" s="338">
        <v>0</v>
      </c>
      <c r="F11" s="338">
        <v>0</v>
      </c>
      <c r="G11" s="338">
        <v>0</v>
      </c>
      <c r="H11" s="56">
        <v>0</v>
      </c>
      <c r="I11" s="338">
        <v>2345993.35</v>
      </c>
      <c r="J11" s="338">
        <v>0</v>
      </c>
    </row>
    <row r="12" spans="1:12">
      <c r="A12" s="323">
        <v>2</v>
      </c>
      <c r="B12" s="337" t="s">
        <v>572</v>
      </c>
      <c r="C12" s="338">
        <v>2486171.48</v>
      </c>
      <c r="D12" s="338">
        <v>0</v>
      </c>
      <c r="E12" s="338">
        <v>0</v>
      </c>
      <c r="F12" s="338">
        <v>0</v>
      </c>
      <c r="G12" s="338">
        <v>0</v>
      </c>
      <c r="H12" s="338">
        <v>0</v>
      </c>
      <c r="I12" s="56">
        <v>2350747.7200000002</v>
      </c>
      <c r="J12" s="338">
        <v>0</v>
      </c>
    </row>
    <row r="13" spans="1:12">
      <c r="A13" s="323">
        <v>3</v>
      </c>
      <c r="B13" s="321" t="s">
        <v>573</v>
      </c>
      <c r="C13" s="338">
        <v>2486171.48</v>
      </c>
      <c r="D13" s="338">
        <v>0</v>
      </c>
      <c r="E13" s="338">
        <v>0</v>
      </c>
      <c r="F13" s="338">
        <v>0</v>
      </c>
      <c r="G13" s="338">
        <v>0</v>
      </c>
      <c r="H13" s="338">
        <v>0</v>
      </c>
      <c r="I13" s="56">
        <v>2355502.09</v>
      </c>
      <c r="J13" s="338">
        <v>0</v>
      </c>
    </row>
    <row r="14" spans="1:12">
      <c r="A14" s="323">
        <v>4</v>
      </c>
      <c r="B14" s="321" t="s">
        <v>574</v>
      </c>
      <c r="C14" s="338">
        <v>2486171.48</v>
      </c>
      <c r="D14" s="338">
        <v>0</v>
      </c>
      <c r="E14" s="338">
        <v>0</v>
      </c>
      <c r="F14" s="338">
        <v>0</v>
      </c>
      <c r="G14" s="338">
        <v>0</v>
      </c>
      <c r="H14" s="338">
        <v>0</v>
      </c>
      <c r="I14" s="56">
        <v>2360230.12</v>
      </c>
      <c r="J14" s="338">
        <v>0</v>
      </c>
    </row>
    <row r="15" spans="1:12">
      <c r="A15" s="323">
        <v>5</v>
      </c>
      <c r="B15" s="321" t="s">
        <v>575</v>
      </c>
      <c r="C15" s="338">
        <v>2486171.48</v>
      </c>
      <c r="D15" s="338">
        <v>0</v>
      </c>
      <c r="E15" s="338">
        <v>0</v>
      </c>
      <c r="F15" s="338">
        <v>0</v>
      </c>
      <c r="G15" s="338">
        <v>0</v>
      </c>
      <c r="H15" s="338">
        <v>0</v>
      </c>
      <c r="I15" s="56">
        <v>2364958.15</v>
      </c>
      <c r="J15" s="338">
        <v>0</v>
      </c>
    </row>
    <row r="16" spans="1:12">
      <c r="A16" s="323">
        <v>6</v>
      </c>
      <c r="B16" s="321" t="s">
        <v>576</v>
      </c>
      <c r="C16" s="338">
        <v>2486171.48</v>
      </c>
      <c r="D16" s="338">
        <v>0</v>
      </c>
      <c r="E16" s="338">
        <v>0</v>
      </c>
      <c r="F16" s="338">
        <v>0</v>
      </c>
      <c r="G16" s="338">
        <v>0</v>
      </c>
      <c r="H16" s="338">
        <v>0</v>
      </c>
      <c r="I16" s="56">
        <f>I15+'5-P3 Support'!M16</f>
        <v>2369800.3082551667</v>
      </c>
      <c r="J16" s="338">
        <v>0</v>
      </c>
    </row>
    <row r="17" spans="1:10">
      <c r="A17" s="323">
        <v>7</v>
      </c>
      <c r="B17" s="321" t="s">
        <v>577</v>
      </c>
      <c r="C17" s="338">
        <v>2486171.48</v>
      </c>
      <c r="D17" s="338">
        <v>0</v>
      </c>
      <c r="E17" s="338">
        <v>0</v>
      </c>
      <c r="F17" s="338">
        <v>0</v>
      </c>
      <c r="G17" s="338">
        <v>0</v>
      </c>
      <c r="H17" s="338">
        <v>0</v>
      </c>
      <c r="I17" s="56">
        <f>I16+'5-P3 Support'!M17</f>
        <v>2374642.4665103336</v>
      </c>
      <c r="J17" s="338">
        <v>0</v>
      </c>
    </row>
    <row r="18" spans="1:10">
      <c r="A18" s="323">
        <v>8</v>
      </c>
      <c r="B18" s="321" t="s">
        <v>578</v>
      </c>
      <c r="C18" s="338">
        <v>2486171.48</v>
      </c>
      <c r="D18" s="338">
        <v>0</v>
      </c>
      <c r="E18" s="338">
        <v>0</v>
      </c>
      <c r="F18" s="338">
        <v>0</v>
      </c>
      <c r="G18" s="338">
        <v>0</v>
      </c>
      <c r="H18" s="338">
        <v>0</v>
      </c>
      <c r="I18" s="56">
        <f>I17+'5-P3 Support'!M18</f>
        <v>2379484.6247655004</v>
      </c>
      <c r="J18" s="338">
        <v>0</v>
      </c>
    </row>
    <row r="19" spans="1:10">
      <c r="A19" s="323">
        <v>9</v>
      </c>
      <c r="B19" s="321" t="s">
        <v>579</v>
      </c>
      <c r="C19" s="338">
        <v>2486171.48</v>
      </c>
      <c r="D19" s="338">
        <v>0</v>
      </c>
      <c r="E19" s="338">
        <v>0</v>
      </c>
      <c r="F19" s="338">
        <v>0</v>
      </c>
      <c r="G19" s="338">
        <v>0</v>
      </c>
      <c r="H19" s="338">
        <v>0</v>
      </c>
      <c r="I19" s="56">
        <f>I18+'5-P3 Support'!M19</f>
        <v>2384326.7830206673</v>
      </c>
      <c r="J19" s="338">
        <v>0</v>
      </c>
    </row>
    <row r="20" spans="1:10">
      <c r="A20" s="323">
        <v>10</v>
      </c>
      <c r="B20" s="321" t="s">
        <v>580</v>
      </c>
      <c r="C20" s="338">
        <v>2486171.48</v>
      </c>
      <c r="D20" s="338">
        <v>0</v>
      </c>
      <c r="E20" s="338">
        <v>0</v>
      </c>
      <c r="F20" s="338">
        <v>0</v>
      </c>
      <c r="G20" s="338">
        <v>0</v>
      </c>
      <c r="H20" s="338">
        <v>0</v>
      </c>
      <c r="I20" s="56">
        <f>I19+'5-P3 Support'!M20</f>
        <v>2389168.9412758341</v>
      </c>
      <c r="J20" s="338">
        <v>0</v>
      </c>
    </row>
    <row r="21" spans="1:10">
      <c r="A21" s="323">
        <v>11</v>
      </c>
      <c r="B21" s="321" t="s">
        <v>581</v>
      </c>
      <c r="C21" s="338">
        <v>2486171.48</v>
      </c>
      <c r="D21" s="338">
        <v>0</v>
      </c>
      <c r="E21" s="338">
        <v>0</v>
      </c>
      <c r="F21" s="338">
        <v>0</v>
      </c>
      <c r="G21" s="338">
        <v>0</v>
      </c>
      <c r="H21" s="338">
        <v>0</v>
      </c>
      <c r="I21" s="56">
        <f>I20+'5-P3 Support'!M21</f>
        <v>2394011.0995310009</v>
      </c>
      <c r="J21" s="338">
        <v>0</v>
      </c>
    </row>
    <row r="22" spans="1:10">
      <c r="A22" s="323">
        <v>12</v>
      </c>
      <c r="B22" s="321" t="s">
        <v>582</v>
      </c>
      <c r="C22" s="338">
        <v>2486171.48</v>
      </c>
      <c r="D22" s="338">
        <v>0</v>
      </c>
      <c r="E22" s="338">
        <v>0</v>
      </c>
      <c r="F22" s="338">
        <v>0</v>
      </c>
      <c r="G22" s="338">
        <v>0</v>
      </c>
      <c r="H22" s="338">
        <v>0</v>
      </c>
      <c r="I22" s="56">
        <f>I21+'5-P3 Support'!M22</f>
        <v>2398853.2577861678</v>
      </c>
      <c r="J22" s="338">
        <v>0</v>
      </c>
    </row>
    <row r="23" spans="1:10">
      <c r="A23" s="323">
        <v>13</v>
      </c>
      <c r="B23" s="321" t="s">
        <v>583</v>
      </c>
      <c r="C23" s="338">
        <v>2486171.48</v>
      </c>
      <c r="D23" s="338">
        <v>0</v>
      </c>
      <c r="E23" s="338">
        <v>0</v>
      </c>
      <c r="F23" s="338">
        <v>0</v>
      </c>
      <c r="G23" s="338">
        <v>0</v>
      </c>
      <c r="H23" s="338">
        <v>0</v>
      </c>
      <c r="I23" s="56">
        <f>I22+'5-P3 Support'!M23</f>
        <v>2403695.4160413346</v>
      </c>
      <c r="J23" s="338">
        <v>0</v>
      </c>
    </row>
    <row r="24" spans="1:10" ht="13.5" thickBot="1">
      <c r="A24" s="323">
        <v>14</v>
      </c>
      <c r="B24" s="322" t="s">
        <v>584</v>
      </c>
      <c r="C24" s="85">
        <f t="shared" ref="C24:J24" si="0">SUM(C11:C23)/13</f>
        <v>2486171.48</v>
      </c>
      <c r="D24" s="85">
        <f t="shared" si="0"/>
        <v>0</v>
      </c>
      <c r="E24" s="85">
        <f t="shared" si="0"/>
        <v>0</v>
      </c>
      <c r="F24" s="85">
        <f t="shared" si="0"/>
        <v>0</v>
      </c>
      <c r="G24" s="85">
        <f t="shared" si="0"/>
        <v>0</v>
      </c>
      <c r="H24" s="85">
        <f t="shared" si="0"/>
        <v>0</v>
      </c>
      <c r="I24" s="85">
        <f t="shared" si="0"/>
        <v>2374724.1790143084</v>
      </c>
      <c r="J24" s="85">
        <f t="shared" si="0"/>
        <v>0</v>
      </c>
    </row>
    <row r="25" spans="1:10" ht="13.5" thickTop="1">
      <c r="A25" s="323"/>
      <c r="B25" s="321"/>
      <c r="C25" s="339"/>
      <c r="D25" s="340"/>
      <c r="E25" s="340"/>
      <c r="F25" s="340"/>
      <c r="G25" s="339"/>
      <c r="H25" s="339"/>
      <c r="I25" s="339"/>
    </row>
    <row r="26" spans="1:10">
      <c r="A26" s="323"/>
      <c r="B26" s="341"/>
      <c r="C26" s="557" t="s">
        <v>585</v>
      </c>
      <c r="D26" s="557"/>
      <c r="E26" s="557"/>
      <c r="F26" s="557"/>
      <c r="G26" s="557"/>
      <c r="H26" s="557"/>
      <c r="I26" s="557"/>
    </row>
    <row r="27" spans="1:10" ht="72" customHeight="1">
      <c r="A27" s="323" t="s">
        <v>552</v>
      </c>
      <c r="B27" s="327" t="s">
        <v>553</v>
      </c>
      <c r="C27" s="331" t="s">
        <v>586</v>
      </c>
      <c r="D27" s="331" t="s">
        <v>587</v>
      </c>
      <c r="E27" s="331" t="s">
        <v>588</v>
      </c>
      <c r="F27" s="331" t="s">
        <v>589</v>
      </c>
      <c r="G27" s="331" t="s">
        <v>590</v>
      </c>
      <c r="H27" s="331" t="s">
        <v>591</v>
      </c>
      <c r="I27" s="331" t="s">
        <v>592</v>
      </c>
    </row>
    <row r="28" spans="1:10" s="70" customFormat="1">
      <c r="A28" s="323"/>
      <c r="B28" s="327" t="s">
        <v>535</v>
      </c>
      <c r="C28" s="331" t="s">
        <v>536</v>
      </c>
      <c r="D28" s="331" t="s">
        <v>537</v>
      </c>
      <c r="E28" s="331" t="s">
        <v>538</v>
      </c>
      <c r="F28" s="331" t="s">
        <v>558</v>
      </c>
      <c r="G28" s="331" t="s">
        <v>559</v>
      </c>
      <c r="H28" s="331" t="s">
        <v>560</v>
      </c>
      <c r="I28" s="331" t="s">
        <v>561</v>
      </c>
    </row>
    <row r="29" spans="1:10" s="70" customFormat="1">
      <c r="A29" s="323"/>
      <c r="B29" s="332" t="s">
        <v>563</v>
      </c>
      <c r="C29" s="334">
        <v>28</v>
      </c>
      <c r="D29" s="334">
        <v>29</v>
      </c>
      <c r="E29" s="334">
        <v>22</v>
      </c>
      <c r="F29" s="334">
        <v>23</v>
      </c>
      <c r="G29" s="334">
        <v>24</v>
      </c>
      <c r="H29" s="334">
        <v>25</v>
      </c>
      <c r="I29" s="334">
        <v>26</v>
      </c>
    </row>
    <row r="30" spans="1:10" s="70" customFormat="1" ht="25.5">
      <c r="A30" s="323"/>
      <c r="B30" s="327"/>
      <c r="C30" s="329" t="s">
        <v>593</v>
      </c>
      <c r="D30" s="331" t="s">
        <v>594</v>
      </c>
      <c r="E30" s="331" t="s">
        <v>595</v>
      </c>
      <c r="F30" s="331" t="s">
        <v>596</v>
      </c>
      <c r="G30" s="331" t="s">
        <v>597</v>
      </c>
      <c r="H30" s="331" t="s">
        <v>598</v>
      </c>
      <c r="I30" s="331" t="s">
        <v>599</v>
      </c>
    </row>
    <row r="31" spans="1:10">
      <c r="A31" s="323">
        <v>15</v>
      </c>
      <c r="B31" s="337" t="s">
        <v>571</v>
      </c>
      <c r="C31" s="338">
        <v>0</v>
      </c>
      <c r="D31" s="338">
        <v>0</v>
      </c>
      <c r="E31" s="338">
        <v>0</v>
      </c>
      <c r="F31" s="338">
        <v>0</v>
      </c>
      <c r="G31" s="338">
        <v>0</v>
      </c>
      <c r="H31" s="338">
        <v>0</v>
      </c>
      <c r="I31" s="338">
        <v>0</v>
      </c>
    </row>
    <row r="32" spans="1:10">
      <c r="A32" s="323">
        <v>16</v>
      </c>
      <c r="B32" s="337" t="s">
        <v>572</v>
      </c>
      <c r="C32" s="338">
        <v>0</v>
      </c>
      <c r="D32" s="338">
        <v>0</v>
      </c>
      <c r="E32" s="342"/>
      <c r="F32" s="342"/>
      <c r="G32" s="342"/>
      <c r="H32" s="342"/>
      <c r="I32" s="338">
        <v>0</v>
      </c>
    </row>
    <row r="33" spans="1:15">
      <c r="A33" s="323">
        <v>17</v>
      </c>
      <c r="B33" s="321" t="s">
        <v>573</v>
      </c>
      <c r="C33" s="338">
        <v>0</v>
      </c>
      <c r="D33" s="338">
        <v>0</v>
      </c>
      <c r="E33" s="342"/>
      <c r="F33" s="342"/>
      <c r="G33" s="342"/>
      <c r="H33" s="342"/>
      <c r="I33" s="338">
        <v>0</v>
      </c>
    </row>
    <row r="34" spans="1:15">
      <c r="A34" s="323">
        <v>18</v>
      </c>
      <c r="B34" s="321" t="s">
        <v>574</v>
      </c>
      <c r="C34" s="338">
        <v>0</v>
      </c>
      <c r="D34" s="338">
        <v>0</v>
      </c>
      <c r="E34" s="342"/>
      <c r="F34" s="342"/>
      <c r="G34" s="342"/>
      <c r="H34" s="342"/>
      <c r="I34" s="338">
        <v>0</v>
      </c>
    </row>
    <row r="35" spans="1:15">
      <c r="A35" s="323">
        <v>19</v>
      </c>
      <c r="B35" s="321" t="s">
        <v>575</v>
      </c>
      <c r="C35" s="338">
        <v>0</v>
      </c>
      <c r="D35" s="338">
        <v>0</v>
      </c>
      <c r="E35" s="342"/>
      <c r="F35" s="342"/>
      <c r="G35" s="342"/>
      <c r="H35" s="342"/>
      <c r="I35" s="338">
        <v>0</v>
      </c>
    </row>
    <row r="36" spans="1:15">
      <c r="A36" s="323">
        <v>20</v>
      </c>
      <c r="B36" s="321" t="s">
        <v>576</v>
      </c>
      <c r="C36" s="338">
        <v>0</v>
      </c>
      <c r="D36" s="338">
        <v>0</v>
      </c>
      <c r="E36" s="342"/>
      <c r="F36" s="342"/>
      <c r="G36" s="342"/>
      <c r="H36" s="342"/>
      <c r="I36" s="338">
        <v>0</v>
      </c>
    </row>
    <row r="37" spans="1:15">
      <c r="A37" s="323">
        <v>21</v>
      </c>
      <c r="B37" s="321" t="s">
        <v>577</v>
      </c>
      <c r="C37" s="338">
        <v>0</v>
      </c>
      <c r="D37" s="338">
        <v>0</v>
      </c>
      <c r="E37" s="342"/>
      <c r="F37" s="342"/>
      <c r="G37" s="342"/>
      <c r="H37" s="342"/>
      <c r="I37" s="338">
        <v>0</v>
      </c>
    </row>
    <row r="38" spans="1:15">
      <c r="A38" s="323">
        <v>22</v>
      </c>
      <c r="B38" s="321" t="s">
        <v>578</v>
      </c>
      <c r="C38" s="338">
        <v>0</v>
      </c>
      <c r="D38" s="338">
        <v>0</v>
      </c>
      <c r="E38" s="342"/>
      <c r="F38" s="342"/>
      <c r="G38" s="342"/>
      <c r="H38" s="342"/>
      <c r="I38" s="338">
        <v>0</v>
      </c>
    </row>
    <row r="39" spans="1:15">
      <c r="A39" s="323">
        <v>23</v>
      </c>
      <c r="B39" s="321" t="s">
        <v>579</v>
      </c>
      <c r="C39" s="338">
        <v>0</v>
      </c>
      <c r="D39" s="338">
        <v>0</v>
      </c>
      <c r="E39" s="342"/>
      <c r="F39" s="342"/>
      <c r="G39" s="342"/>
      <c r="H39" s="342"/>
      <c r="I39" s="338">
        <v>0</v>
      </c>
    </row>
    <row r="40" spans="1:15">
      <c r="A40" s="323">
        <v>24</v>
      </c>
      <c r="B40" s="321" t="s">
        <v>580</v>
      </c>
      <c r="C40" s="338">
        <v>0</v>
      </c>
      <c r="D40" s="338">
        <v>0</v>
      </c>
      <c r="E40" s="342"/>
      <c r="F40" s="342"/>
      <c r="G40" s="342"/>
      <c r="H40" s="342"/>
      <c r="I40" s="338">
        <v>0</v>
      </c>
    </row>
    <row r="41" spans="1:15">
      <c r="A41" s="323">
        <v>25</v>
      </c>
      <c r="B41" s="321" t="s">
        <v>581</v>
      </c>
      <c r="C41" s="338">
        <v>0</v>
      </c>
      <c r="D41" s="338">
        <v>0</v>
      </c>
      <c r="E41" s="342"/>
      <c r="F41" s="342"/>
      <c r="G41" s="342"/>
      <c r="H41" s="342"/>
      <c r="I41" s="338">
        <v>0</v>
      </c>
    </row>
    <row r="42" spans="1:15">
      <c r="A42" s="323">
        <v>26</v>
      </c>
      <c r="B42" s="321" t="s">
        <v>582</v>
      </c>
      <c r="C42" s="338">
        <v>0</v>
      </c>
      <c r="D42" s="338">
        <v>0</v>
      </c>
      <c r="E42" s="342"/>
      <c r="F42" s="342"/>
      <c r="G42" s="342"/>
      <c r="H42" s="342"/>
      <c r="I42" s="338">
        <v>0</v>
      </c>
    </row>
    <row r="43" spans="1:15">
      <c r="A43" s="323">
        <v>27</v>
      </c>
      <c r="B43" s="321" t="s">
        <v>583</v>
      </c>
      <c r="C43" s="338">
        <v>0</v>
      </c>
      <c r="D43" s="338">
        <v>0</v>
      </c>
      <c r="E43" s="338">
        <v>0</v>
      </c>
      <c r="F43" s="338"/>
      <c r="G43" s="338">
        <v>0</v>
      </c>
      <c r="H43" s="338">
        <v>0</v>
      </c>
      <c r="I43" s="338">
        <v>0</v>
      </c>
    </row>
    <row r="44" spans="1:15" ht="13.5" thickBot="1">
      <c r="A44" s="323">
        <v>28</v>
      </c>
      <c r="B44" s="322" t="s">
        <v>600</v>
      </c>
      <c r="C44" s="85">
        <f t="shared" ref="C44:I44" si="1">SUM(C31:C43)/13</f>
        <v>0</v>
      </c>
      <c r="D44" s="343">
        <f t="shared" si="1"/>
        <v>0</v>
      </c>
      <c r="E44" s="343">
        <f>(E31+E43)/2</f>
        <v>0</v>
      </c>
      <c r="F44" s="85">
        <f>'4a-Projection ADIT'!J95</f>
        <v>-4737.4928645200052</v>
      </c>
      <c r="G44" s="343">
        <f>(G31+G43)/2</f>
        <v>0</v>
      </c>
      <c r="H44" s="343">
        <f>(H31+H43)/2</f>
        <v>0</v>
      </c>
      <c r="I44" s="343">
        <f t="shared" si="1"/>
        <v>0</v>
      </c>
    </row>
    <row r="45" spans="1:15" ht="13.5" thickTop="1">
      <c r="A45" s="323"/>
      <c r="B45" s="321"/>
      <c r="I45" s="340"/>
    </row>
    <row r="46" spans="1:15">
      <c r="A46" s="323"/>
    </row>
    <row r="47" spans="1:15">
      <c r="F47" s="142" t="s">
        <v>545</v>
      </c>
    </row>
    <row r="48" spans="1:15">
      <c r="A48" s="323"/>
      <c r="B48" s="276"/>
      <c r="C48" s="344"/>
      <c r="D48" s="344"/>
      <c r="E48" s="344"/>
      <c r="F48" s="324" t="s">
        <v>546</v>
      </c>
      <c r="G48" s="344"/>
      <c r="L48" s="70"/>
      <c r="M48" s="70"/>
      <c r="N48" s="70"/>
      <c r="O48" s="70"/>
    </row>
    <row r="49" spans="1:16">
      <c r="A49" s="323"/>
      <c r="C49" s="344"/>
      <c r="D49" s="344"/>
      <c r="E49" s="344"/>
      <c r="F49" s="50" t="str">
        <f>'Attachment H'!$D$5</f>
        <v>NextEra Energy Transmission MidAtlantic Indiana, Inc.</v>
      </c>
      <c r="G49" s="344"/>
      <c r="K49" s="70"/>
      <c r="L49" s="70"/>
      <c r="M49" s="70"/>
      <c r="N49" s="70"/>
      <c r="O49" s="70"/>
    </row>
    <row r="50" spans="1:16">
      <c r="A50" s="323"/>
      <c r="B50" s="276" t="s">
        <v>601</v>
      </c>
      <c r="C50" s="344"/>
      <c r="D50" s="344"/>
      <c r="E50" s="344"/>
      <c r="F50" s="18"/>
      <c r="G50" s="344"/>
      <c r="K50" s="70"/>
      <c r="L50" s="70"/>
      <c r="M50" s="70"/>
      <c r="N50" s="70"/>
      <c r="O50" s="70"/>
    </row>
    <row r="51" spans="1:16">
      <c r="A51" s="323"/>
      <c r="B51" s="276" t="s">
        <v>535</v>
      </c>
      <c r="C51" s="276" t="s">
        <v>536</v>
      </c>
      <c r="D51" s="276" t="s">
        <v>537</v>
      </c>
      <c r="E51" s="276" t="s">
        <v>538</v>
      </c>
      <c r="F51" s="276" t="s">
        <v>558</v>
      </c>
      <c r="G51" s="276" t="s">
        <v>559</v>
      </c>
      <c r="H51" s="276" t="s">
        <v>560</v>
      </c>
      <c r="I51" s="276" t="s">
        <v>561</v>
      </c>
      <c r="J51" s="325" t="s">
        <v>390</v>
      </c>
      <c r="L51" s="70"/>
      <c r="M51" s="70"/>
      <c r="N51" s="70"/>
      <c r="O51" s="70"/>
      <c r="P51" s="70"/>
    </row>
    <row r="52" spans="1:16" ht="76.5">
      <c r="A52" s="323">
        <v>29</v>
      </c>
      <c r="B52" s="345" t="s">
        <v>602</v>
      </c>
      <c r="C52" s="346"/>
      <c r="D52" s="347" t="s">
        <v>16</v>
      </c>
      <c r="E52" s="347" t="s">
        <v>603</v>
      </c>
      <c r="F52" s="347" t="s">
        <v>604</v>
      </c>
      <c r="G52" s="347" t="s">
        <v>605</v>
      </c>
      <c r="H52" s="348" t="s">
        <v>606</v>
      </c>
      <c r="I52" s="348" t="s">
        <v>607</v>
      </c>
      <c r="J52" s="345"/>
      <c r="K52" s="345"/>
      <c r="L52" s="345"/>
      <c r="M52" s="70"/>
      <c r="N52" s="70"/>
      <c r="O52" s="70"/>
      <c r="P52" s="70"/>
    </row>
    <row r="53" spans="1:16">
      <c r="A53" s="323" t="s">
        <v>608</v>
      </c>
      <c r="C53" s="349" t="s">
        <v>609</v>
      </c>
      <c r="D53" s="350">
        <v>0</v>
      </c>
      <c r="E53" s="350">
        <v>0</v>
      </c>
      <c r="F53" s="351"/>
      <c r="G53" s="351"/>
      <c r="H53" s="350"/>
      <c r="I53" s="352">
        <f>+H53*E53*D53</f>
        <v>0</v>
      </c>
      <c r="M53" s="70"/>
      <c r="N53" s="70"/>
      <c r="O53" s="70"/>
      <c r="P53" s="70"/>
    </row>
    <row r="54" spans="1:16">
      <c r="A54" s="323" t="s">
        <v>610</v>
      </c>
      <c r="C54" s="349" t="s">
        <v>611</v>
      </c>
      <c r="D54" s="72">
        <v>0</v>
      </c>
      <c r="E54" s="350">
        <v>0</v>
      </c>
      <c r="F54" s="351"/>
      <c r="G54" s="351"/>
      <c r="H54" s="350"/>
      <c r="I54" s="352">
        <f>+H54*E54*D54</f>
        <v>0</v>
      </c>
      <c r="M54" s="70"/>
      <c r="N54" s="70"/>
      <c r="O54" s="70"/>
      <c r="P54" s="70"/>
    </row>
    <row r="55" spans="1:16">
      <c r="A55" s="323" t="s">
        <v>612</v>
      </c>
      <c r="C55" s="349" t="s">
        <v>613</v>
      </c>
      <c r="D55" s="72"/>
      <c r="E55" s="350"/>
      <c r="F55" s="351"/>
      <c r="G55" s="351"/>
      <c r="H55" s="350"/>
      <c r="I55" s="352"/>
      <c r="M55" s="70"/>
      <c r="N55" s="70"/>
      <c r="O55" s="70"/>
      <c r="P55" s="70"/>
    </row>
    <row r="56" spans="1:16">
      <c r="A56" s="323" t="s">
        <v>614</v>
      </c>
      <c r="C56" s="349" t="s">
        <v>615</v>
      </c>
      <c r="D56" s="72"/>
      <c r="E56" s="350"/>
      <c r="F56" s="351"/>
      <c r="G56" s="351"/>
      <c r="H56" s="350"/>
      <c r="I56" s="352"/>
      <c r="M56" s="70"/>
      <c r="N56" s="70"/>
      <c r="O56" s="70"/>
      <c r="P56" s="70"/>
    </row>
    <row r="57" spans="1:16">
      <c r="A57" s="323" t="s">
        <v>616</v>
      </c>
      <c r="C57" s="349" t="s">
        <v>617</v>
      </c>
      <c r="D57" s="72"/>
      <c r="E57" s="350"/>
      <c r="F57" s="351"/>
      <c r="G57" s="351"/>
      <c r="H57" s="350"/>
      <c r="I57" s="352"/>
      <c r="M57" s="70"/>
      <c r="N57" s="70"/>
      <c r="O57" s="70"/>
      <c r="P57" s="70"/>
    </row>
    <row r="58" spans="1:16">
      <c r="A58" s="323" t="s">
        <v>618</v>
      </c>
      <c r="C58" s="353" t="s">
        <v>617</v>
      </c>
      <c r="D58" s="354">
        <v>0</v>
      </c>
      <c r="E58" s="355">
        <v>0</v>
      </c>
      <c r="F58" s="356"/>
      <c r="G58" s="356"/>
      <c r="H58" s="355"/>
      <c r="I58" s="357">
        <f>+H58*E58*D58</f>
        <v>0</v>
      </c>
      <c r="M58" s="70"/>
      <c r="N58" s="70"/>
      <c r="O58" s="70"/>
      <c r="P58" s="70"/>
    </row>
    <row r="59" spans="1:16">
      <c r="A59" s="323">
        <v>31</v>
      </c>
      <c r="C59" s="345" t="s">
        <v>21</v>
      </c>
      <c r="D59" s="25">
        <f>SUM(D53:D58)</f>
        <v>0</v>
      </c>
      <c r="E59" s="99"/>
      <c r="F59" s="70"/>
      <c r="G59" s="70"/>
      <c r="H59" s="99"/>
      <c r="I59" s="352">
        <f>SUM(I53:I58)</f>
        <v>0</v>
      </c>
      <c r="M59" s="70"/>
      <c r="N59" s="70"/>
      <c r="O59" s="70"/>
      <c r="P59" s="70"/>
    </row>
    <row r="60" spans="1:16">
      <c r="A60" s="358"/>
      <c r="B60" s="359"/>
      <c r="C60" s="360"/>
      <c r="D60" s="360"/>
      <c r="E60" s="360"/>
      <c r="F60" s="360"/>
      <c r="G60" s="360"/>
    </row>
    <row r="61" spans="1:16">
      <c r="A61" s="358"/>
      <c r="B61" s="359"/>
      <c r="C61" s="360"/>
      <c r="D61" s="360"/>
      <c r="E61" s="360"/>
      <c r="F61" s="360"/>
      <c r="G61" s="360"/>
      <c r="L61" s="70"/>
      <c r="M61" s="70"/>
      <c r="N61" s="70"/>
      <c r="O61" s="70"/>
      <c r="P61" s="70"/>
    </row>
    <row r="62" spans="1:16">
      <c r="A62" s="358"/>
      <c r="B62" s="359"/>
      <c r="C62" s="360"/>
      <c r="D62" s="360"/>
      <c r="E62" s="360"/>
      <c r="F62" s="360"/>
      <c r="G62" s="360"/>
      <c r="L62" s="70"/>
      <c r="M62" s="70"/>
      <c r="N62" s="70"/>
      <c r="O62" s="70"/>
      <c r="P62" s="70"/>
    </row>
    <row r="63" spans="1:16">
      <c r="A63" s="323" t="s">
        <v>526</v>
      </c>
    </row>
    <row r="64" spans="1:16" ht="12.75" customHeight="1">
      <c r="A64" s="323" t="s">
        <v>430</v>
      </c>
      <c r="B64" s="558" t="s">
        <v>619</v>
      </c>
      <c r="C64" s="558"/>
      <c r="D64" s="558"/>
      <c r="E64" s="558"/>
      <c r="F64" s="558"/>
      <c r="G64" s="558"/>
      <c r="H64" s="558"/>
      <c r="I64" s="558"/>
      <c r="J64" s="558"/>
      <c r="K64" s="558"/>
    </row>
    <row r="65" spans="1:12" ht="12.75" customHeight="1">
      <c r="A65" s="323" t="s">
        <v>432</v>
      </c>
      <c r="B65" s="558" t="s">
        <v>620</v>
      </c>
      <c r="C65" s="558"/>
      <c r="D65" s="558"/>
      <c r="E65" s="558"/>
      <c r="F65" s="558"/>
      <c r="G65" s="558"/>
      <c r="H65" s="558"/>
      <c r="I65" s="558"/>
      <c r="J65" s="558"/>
      <c r="K65" s="558"/>
      <c r="L65" s="325"/>
    </row>
    <row r="66" spans="1:12" ht="12.75" customHeight="1">
      <c r="A66" s="323" t="s">
        <v>285</v>
      </c>
      <c r="B66" s="361" t="s">
        <v>621</v>
      </c>
      <c r="C66" s="362"/>
      <c r="D66" s="362"/>
      <c r="E66" s="362"/>
      <c r="F66" s="362"/>
      <c r="G66" s="362"/>
      <c r="H66" s="362"/>
      <c r="I66" s="362"/>
      <c r="J66" s="362"/>
      <c r="K66" s="362"/>
    </row>
    <row r="67" spans="1:12">
      <c r="A67" s="323"/>
      <c r="B67" s="6" t="s">
        <v>622</v>
      </c>
      <c r="C67" s="363"/>
      <c r="D67" s="363"/>
      <c r="E67" s="363"/>
      <c r="F67" s="363"/>
      <c r="G67" s="363"/>
      <c r="H67" s="363"/>
      <c r="I67" s="363"/>
      <c r="J67" s="363"/>
      <c r="K67" s="363"/>
    </row>
    <row r="68" spans="1:12">
      <c r="A68" s="323"/>
      <c r="B68" s="6" t="s">
        <v>623</v>
      </c>
      <c r="C68" s="363"/>
      <c r="D68" s="363"/>
      <c r="E68" s="363"/>
      <c r="F68" s="363"/>
      <c r="G68" s="363"/>
      <c r="H68" s="363"/>
      <c r="I68" s="363"/>
      <c r="J68" s="363"/>
      <c r="K68" s="363"/>
    </row>
    <row r="69" spans="1:12" ht="12.75" customHeight="1">
      <c r="A69" s="323" t="s">
        <v>287</v>
      </c>
      <c r="B69" s="3" t="s">
        <v>624</v>
      </c>
    </row>
    <row r="70" spans="1:12" ht="24" customHeight="1">
      <c r="A70" s="319" t="s">
        <v>289</v>
      </c>
      <c r="B70" s="554" t="s">
        <v>625</v>
      </c>
      <c r="C70" s="554"/>
      <c r="D70" s="554"/>
      <c r="E70" s="554"/>
      <c r="F70" s="554"/>
      <c r="G70" s="554"/>
      <c r="H70" s="554"/>
      <c r="I70" s="554"/>
      <c r="J70" s="554"/>
      <c r="K70" s="132"/>
    </row>
    <row r="71" spans="1:12" ht="12.75" customHeight="1">
      <c r="A71" s="323" t="s">
        <v>291</v>
      </c>
      <c r="B71" s="555" t="s">
        <v>626</v>
      </c>
      <c r="C71" s="555"/>
      <c r="D71" s="555"/>
      <c r="E71" s="555"/>
      <c r="F71" s="555"/>
      <c r="G71" s="555"/>
      <c r="H71" s="555"/>
      <c r="I71" s="555"/>
      <c r="J71" s="555"/>
      <c r="K71" s="555"/>
    </row>
    <row r="72" spans="1:12" ht="43.5" customHeight="1">
      <c r="A72" s="319" t="s">
        <v>293</v>
      </c>
      <c r="B72" s="554" t="s">
        <v>627</v>
      </c>
      <c r="C72" s="554"/>
      <c r="D72" s="554"/>
      <c r="E72" s="554"/>
      <c r="F72" s="554"/>
      <c r="G72" s="554"/>
      <c r="H72" s="554"/>
      <c r="I72" s="554"/>
      <c r="J72" s="554"/>
      <c r="K72" s="132"/>
    </row>
    <row r="73" spans="1:12">
      <c r="A73" s="323" t="s">
        <v>301</v>
      </c>
      <c r="B73" s="364" t="s">
        <v>321</v>
      </c>
    </row>
    <row r="76" spans="1:12">
      <c r="B76" s="5"/>
    </row>
    <row r="77" spans="1:12">
      <c r="B77" s="365"/>
    </row>
  </sheetData>
  <mergeCells count="9">
    <mergeCell ref="B70:J70"/>
    <mergeCell ref="B71:K71"/>
    <mergeCell ref="B72:J72"/>
    <mergeCell ref="C6:D6"/>
    <mergeCell ref="G6:H6"/>
    <mergeCell ref="I6:J6"/>
    <mergeCell ref="C26:I26"/>
    <mergeCell ref="B64:K64"/>
    <mergeCell ref="B65:K65"/>
  </mergeCells>
  <pageMargins left="0.25" right="0.25" top="0.75" bottom="0.75" header="0.3" footer="0.3"/>
  <pageSetup scale="56" fitToHeight="0" orientation="landscape" r:id="rId1"/>
  <rowBreaks count="1" manualBreakCount="1">
    <brk id="46" max="9" man="1"/>
  </row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2934B-7A6C-43F5-9CD2-624BD86AB578}">
  <sheetPr>
    <pageSetUpPr fitToPage="1"/>
  </sheetPr>
  <dimension ref="A1:P129"/>
  <sheetViews>
    <sheetView zoomScale="70" zoomScaleNormal="70" workbookViewId="0">
      <selection activeCell="B3" sqref="B3:K3"/>
    </sheetView>
  </sheetViews>
  <sheetFormatPr defaultColWidth="8.77734375" defaultRowHeight="15.75"/>
  <cols>
    <col min="1" max="1" width="5.21875" style="367" customWidth="1"/>
    <col min="2" max="2" width="10.77734375" style="367" customWidth="1"/>
    <col min="3" max="3" width="9.5546875" style="367" customWidth="1"/>
    <col min="4" max="4" width="10.109375" style="367" customWidth="1"/>
    <col min="5" max="5" width="12.44140625" style="367" customWidth="1"/>
    <col min="6" max="6" width="10.109375" style="367" customWidth="1"/>
    <col min="7" max="7" width="2.109375" style="367" customWidth="1"/>
    <col min="8" max="8" width="15.109375" style="367" customWidth="1"/>
    <col min="9" max="9" width="14.21875" style="367" customWidth="1"/>
    <col min="10" max="10" width="16.44140625" style="367" customWidth="1"/>
    <col min="11" max="11" width="13.44140625" style="367" customWidth="1"/>
    <col min="12" max="16384" width="8.77734375" style="367"/>
  </cols>
  <sheetData>
    <row r="1" spans="1:11" s="366" customFormat="1">
      <c r="B1" s="565" t="str">
        <f>'Attachment H'!$D$5</f>
        <v>NextEra Energy Transmission MidAtlantic Indiana, Inc.</v>
      </c>
      <c r="C1" s="565"/>
      <c r="D1" s="565"/>
      <c r="E1" s="565"/>
      <c r="F1" s="565"/>
      <c r="G1" s="565"/>
      <c r="H1" s="565"/>
      <c r="I1" s="565"/>
      <c r="J1" s="565"/>
      <c r="K1" s="565"/>
    </row>
    <row r="2" spans="1:11" s="366" customFormat="1">
      <c r="B2" s="565" t="s">
        <v>628</v>
      </c>
      <c r="C2" s="565"/>
      <c r="D2" s="565"/>
      <c r="E2" s="565"/>
      <c r="F2" s="565"/>
      <c r="G2" s="565"/>
      <c r="H2" s="565"/>
      <c r="I2" s="565"/>
      <c r="J2" s="565"/>
      <c r="K2" s="565"/>
    </row>
    <row r="3" spans="1:11" s="366" customFormat="1">
      <c r="B3" s="566" t="s">
        <v>629</v>
      </c>
      <c r="C3" s="566"/>
      <c r="D3" s="566"/>
      <c r="E3" s="566"/>
      <c r="F3" s="566"/>
      <c r="G3" s="566"/>
      <c r="H3" s="566"/>
      <c r="I3" s="566"/>
      <c r="J3" s="566"/>
      <c r="K3" s="566"/>
    </row>
    <row r="4" spans="1:11">
      <c r="J4" s="368" t="s">
        <v>630</v>
      </c>
      <c r="K4" s="369" t="s">
        <v>848</v>
      </c>
    </row>
    <row r="5" spans="1:11">
      <c r="A5" s="367">
        <v>1</v>
      </c>
      <c r="B5" s="370" t="s">
        <v>631</v>
      </c>
      <c r="H5" s="371"/>
      <c r="I5" s="371"/>
      <c r="J5" s="371"/>
      <c r="K5" s="371"/>
    </row>
    <row r="6" spans="1:11">
      <c r="A6" s="367">
        <f>+A5+1</f>
        <v>2</v>
      </c>
      <c r="B6" s="559" t="s">
        <v>632</v>
      </c>
      <c r="C6" s="560"/>
      <c r="D6" s="560"/>
      <c r="E6" s="560"/>
      <c r="F6" s="561"/>
      <c r="G6" s="372"/>
      <c r="H6" s="562" t="s">
        <v>633</v>
      </c>
      <c r="I6" s="563"/>
      <c r="J6" s="564"/>
      <c r="K6" s="371"/>
    </row>
    <row r="7" spans="1:11">
      <c r="B7" s="373" t="s">
        <v>430</v>
      </c>
      <c r="C7" s="373" t="s">
        <v>432</v>
      </c>
      <c r="D7" s="373" t="s">
        <v>285</v>
      </c>
      <c r="E7" s="373" t="s">
        <v>287</v>
      </c>
      <c r="F7" s="373" t="s">
        <v>289</v>
      </c>
      <c r="G7" s="372"/>
      <c r="H7" s="373" t="s">
        <v>291</v>
      </c>
      <c r="I7" s="373" t="s">
        <v>293</v>
      </c>
      <c r="J7" s="373" t="s">
        <v>301</v>
      </c>
      <c r="K7" s="374"/>
    </row>
    <row r="8" spans="1:11" ht="47.25">
      <c r="A8" s="367">
        <f>+A6+1</f>
        <v>3</v>
      </c>
      <c r="B8" s="375" t="s">
        <v>553</v>
      </c>
      <c r="C8" s="375" t="s">
        <v>634</v>
      </c>
      <c r="D8" s="375" t="s">
        <v>635</v>
      </c>
      <c r="E8" s="375" t="s">
        <v>636</v>
      </c>
      <c r="F8" s="375" t="s">
        <v>637</v>
      </c>
      <c r="G8" s="376"/>
      <c r="H8" s="375" t="s">
        <v>638</v>
      </c>
      <c r="I8" s="375" t="s">
        <v>639</v>
      </c>
      <c r="J8" s="375" t="s">
        <v>640</v>
      </c>
      <c r="K8" s="376"/>
    </row>
    <row r="9" spans="1:11">
      <c r="A9" s="367">
        <f t="shared" ref="A9:A23" si="0">+A8+1</f>
        <v>4</v>
      </c>
      <c r="C9" s="376"/>
      <c r="D9" s="376"/>
      <c r="E9" s="376"/>
      <c r="F9" s="376"/>
      <c r="G9" s="376"/>
      <c r="H9" s="376"/>
      <c r="I9" s="376"/>
      <c r="J9" s="376"/>
      <c r="K9" s="376"/>
    </row>
    <row r="10" spans="1:11">
      <c r="A10" s="367">
        <f t="shared" si="0"/>
        <v>5</v>
      </c>
      <c r="B10" s="377" t="s">
        <v>641</v>
      </c>
      <c r="C10" s="378"/>
      <c r="D10" s="379"/>
      <c r="E10" s="379"/>
      <c r="F10" s="379"/>
      <c r="G10" s="379"/>
      <c r="H10" s="380"/>
      <c r="I10" s="380"/>
      <c r="J10" s="381">
        <v>0</v>
      </c>
      <c r="K10" s="379"/>
    </row>
    <row r="11" spans="1:11">
      <c r="A11" s="367">
        <f t="shared" si="0"/>
        <v>6</v>
      </c>
      <c r="B11" s="378" t="s">
        <v>572</v>
      </c>
      <c r="C11" s="380">
        <v>31</v>
      </c>
      <c r="D11" s="382">
        <f>C11</f>
        <v>31</v>
      </c>
      <c r="E11" s="383">
        <f>D23-D11+1</f>
        <v>336</v>
      </c>
      <c r="F11" s="384">
        <f>IF(E11=0,0,E11/$D$23)</f>
        <v>0.91803278688524592</v>
      </c>
      <c r="G11" s="379"/>
      <c r="H11" s="381">
        <v>0</v>
      </c>
      <c r="I11" s="380">
        <f>+H11*F11</f>
        <v>0</v>
      </c>
      <c r="J11" s="380">
        <f t="shared" ref="J11:J22" si="1">+I11+J10</f>
        <v>0</v>
      </c>
      <c r="K11" s="379"/>
    </row>
    <row r="12" spans="1:11">
      <c r="A12" s="367">
        <f t="shared" si="0"/>
        <v>7</v>
      </c>
      <c r="B12" s="378" t="s">
        <v>573</v>
      </c>
      <c r="C12" s="381">
        <v>29</v>
      </c>
      <c r="D12" s="382">
        <f t="shared" ref="D12:D22" si="2">C12</f>
        <v>29</v>
      </c>
      <c r="E12" s="383">
        <f>$D$23-SUM($D$11:D12)+1</f>
        <v>307</v>
      </c>
      <c r="F12" s="384">
        <f t="shared" ref="F12:F22" si="3">IF(E12=0,0,E12/$D$23)</f>
        <v>0.83879781420765032</v>
      </c>
      <c r="G12" s="379"/>
      <c r="H12" s="381">
        <f t="shared" ref="H12:H22" si="4">+H11</f>
        <v>0</v>
      </c>
      <c r="I12" s="380">
        <f t="shared" ref="I12:I22" si="5">+H12*F12</f>
        <v>0</v>
      </c>
      <c r="J12" s="380">
        <f t="shared" si="1"/>
        <v>0</v>
      </c>
      <c r="K12" s="379"/>
    </row>
    <row r="13" spans="1:11">
      <c r="A13" s="367">
        <f t="shared" si="0"/>
        <v>8</v>
      </c>
      <c r="B13" s="378" t="s">
        <v>642</v>
      </c>
      <c r="C13" s="380">
        <v>31</v>
      </c>
      <c r="D13" s="382">
        <f t="shared" si="2"/>
        <v>31</v>
      </c>
      <c r="E13" s="383">
        <f>$D$23-SUM($D$11:D13)+1</f>
        <v>276</v>
      </c>
      <c r="F13" s="384">
        <f t="shared" si="3"/>
        <v>0.75409836065573765</v>
      </c>
      <c r="G13" s="379"/>
      <c r="H13" s="381">
        <f t="shared" si="4"/>
        <v>0</v>
      </c>
      <c r="I13" s="380">
        <f t="shared" si="5"/>
        <v>0</v>
      </c>
      <c r="J13" s="380">
        <f t="shared" si="1"/>
        <v>0</v>
      </c>
      <c r="K13" s="379"/>
    </row>
    <row r="14" spans="1:11">
      <c r="A14" s="367">
        <f t="shared" si="0"/>
        <v>9</v>
      </c>
      <c r="B14" s="378" t="s">
        <v>575</v>
      </c>
      <c r="C14" s="380">
        <v>30</v>
      </c>
      <c r="D14" s="382">
        <f t="shared" si="2"/>
        <v>30</v>
      </c>
      <c r="E14" s="383">
        <f>$D$23-SUM($D$11:D14)+1</f>
        <v>246</v>
      </c>
      <c r="F14" s="384">
        <f t="shared" si="3"/>
        <v>0.67213114754098358</v>
      </c>
      <c r="G14" s="379"/>
      <c r="H14" s="381">
        <f t="shared" si="4"/>
        <v>0</v>
      </c>
      <c r="I14" s="380">
        <f t="shared" si="5"/>
        <v>0</v>
      </c>
      <c r="J14" s="380">
        <f t="shared" si="1"/>
        <v>0</v>
      </c>
      <c r="K14" s="379"/>
    </row>
    <row r="15" spans="1:11">
      <c r="A15" s="367">
        <f t="shared" si="0"/>
        <v>10</v>
      </c>
      <c r="B15" s="378" t="s">
        <v>576</v>
      </c>
      <c r="C15" s="380">
        <v>31</v>
      </c>
      <c r="D15" s="382">
        <f t="shared" si="2"/>
        <v>31</v>
      </c>
      <c r="E15" s="383">
        <f>$D$23-SUM($D$11:D15)+1</f>
        <v>215</v>
      </c>
      <c r="F15" s="384">
        <f t="shared" si="3"/>
        <v>0.58743169398907102</v>
      </c>
      <c r="G15" s="379"/>
      <c r="H15" s="381">
        <f t="shared" si="4"/>
        <v>0</v>
      </c>
      <c r="I15" s="380">
        <f t="shared" si="5"/>
        <v>0</v>
      </c>
      <c r="J15" s="380">
        <f t="shared" si="1"/>
        <v>0</v>
      </c>
      <c r="K15" s="379"/>
    </row>
    <row r="16" spans="1:11">
      <c r="A16" s="367">
        <f t="shared" si="0"/>
        <v>11</v>
      </c>
      <c r="B16" s="378" t="s">
        <v>577</v>
      </c>
      <c r="C16" s="380">
        <v>30</v>
      </c>
      <c r="D16" s="382">
        <f t="shared" si="2"/>
        <v>30</v>
      </c>
      <c r="E16" s="383">
        <f>$D$23-SUM($D$11:D16)+1</f>
        <v>185</v>
      </c>
      <c r="F16" s="384">
        <f t="shared" si="3"/>
        <v>0.50546448087431695</v>
      </c>
      <c r="G16" s="379"/>
      <c r="H16" s="381">
        <f t="shared" si="4"/>
        <v>0</v>
      </c>
      <c r="I16" s="380">
        <f t="shared" si="5"/>
        <v>0</v>
      </c>
      <c r="J16" s="380">
        <f t="shared" si="1"/>
        <v>0</v>
      </c>
      <c r="K16" s="379"/>
    </row>
    <row r="17" spans="1:11">
      <c r="A17" s="367">
        <f t="shared" si="0"/>
        <v>12</v>
      </c>
      <c r="B17" s="378" t="s">
        <v>578</v>
      </c>
      <c r="C17" s="380">
        <v>31</v>
      </c>
      <c r="D17" s="382">
        <f t="shared" si="2"/>
        <v>31</v>
      </c>
      <c r="E17" s="383">
        <f>$D$23-SUM($D$11:D17)+1</f>
        <v>154</v>
      </c>
      <c r="F17" s="384">
        <f t="shared" si="3"/>
        <v>0.42076502732240439</v>
      </c>
      <c r="G17" s="379"/>
      <c r="H17" s="381">
        <f t="shared" si="4"/>
        <v>0</v>
      </c>
      <c r="I17" s="380">
        <f t="shared" si="5"/>
        <v>0</v>
      </c>
      <c r="J17" s="380">
        <f t="shared" si="1"/>
        <v>0</v>
      </c>
      <c r="K17" s="379"/>
    </row>
    <row r="18" spans="1:11">
      <c r="A18" s="367">
        <f t="shared" si="0"/>
        <v>13</v>
      </c>
      <c r="B18" s="378" t="s">
        <v>643</v>
      </c>
      <c r="C18" s="380">
        <v>31</v>
      </c>
      <c r="D18" s="382">
        <f t="shared" si="2"/>
        <v>31</v>
      </c>
      <c r="E18" s="383">
        <f>$D$23-SUM($D$11:D18)+1</f>
        <v>123</v>
      </c>
      <c r="F18" s="384">
        <f t="shared" si="3"/>
        <v>0.33606557377049179</v>
      </c>
      <c r="G18" s="379"/>
      <c r="H18" s="381">
        <f t="shared" si="4"/>
        <v>0</v>
      </c>
      <c r="I18" s="380">
        <f t="shared" si="5"/>
        <v>0</v>
      </c>
      <c r="J18" s="380">
        <f t="shared" si="1"/>
        <v>0</v>
      </c>
      <c r="K18" s="379"/>
    </row>
    <row r="19" spans="1:11">
      <c r="A19" s="367">
        <f t="shared" si="0"/>
        <v>14</v>
      </c>
      <c r="B19" s="378" t="s">
        <v>580</v>
      </c>
      <c r="C19" s="380">
        <v>30</v>
      </c>
      <c r="D19" s="382">
        <f t="shared" si="2"/>
        <v>30</v>
      </c>
      <c r="E19" s="383">
        <f>$D$23-SUM($D$11:D19)+1</f>
        <v>93</v>
      </c>
      <c r="F19" s="384">
        <f t="shared" si="3"/>
        <v>0.25409836065573771</v>
      </c>
      <c r="G19" s="379"/>
      <c r="H19" s="381">
        <f t="shared" si="4"/>
        <v>0</v>
      </c>
      <c r="I19" s="380">
        <f t="shared" si="5"/>
        <v>0</v>
      </c>
      <c r="J19" s="380">
        <f t="shared" si="1"/>
        <v>0</v>
      </c>
      <c r="K19" s="379"/>
    </row>
    <row r="20" spans="1:11">
      <c r="A20" s="367">
        <f t="shared" si="0"/>
        <v>15</v>
      </c>
      <c r="B20" s="378" t="s">
        <v>581</v>
      </c>
      <c r="C20" s="380">
        <v>31</v>
      </c>
      <c r="D20" s="382">
        <f t="shared" si="2"/>
        <v>31</v>
      </c>
      <c r="E20" s="383">
        <f>$D$23-SUM($D$11:D20)+1</f>
        <v>62</v>
      </c>
      <c r="F20" s="384">
        <f t="shared" si="3"/>
        <v>0.16939890710382513</v>
      </c>
      <c r="G20" s="379"/>
      <c r="H20" s="381">
        <f t="shared" si="4"/>
        <v>0</v>
      </c>
      <c r="I20" s="380">
        <f t="shared" si="5"/>
        <v>0</v>
      </c>
      <c r="J20" s="380">
        <f t="shared" si="1"/>
        <v>0</v>
      </c>
      <c r="K20" s="379"/>
    </row>
    <row r="21" spans="1:11">
      <c r="A21" s="367">
        <f t="shared" si="0"/>
        <v>16</v>
      </c>
      <c r="B21" s="378" t="s">
        <v>582</v>
      </c>
      <c r="C21" s="380">
        <v>30</v>
      </c>
      <c r="D21" s="382">
        <f t="shared" si="2"/>
        <v>30</v>
      </c>
      <c r="E21" s="383">
        <f>$D$23-SUM($D$11:D21)+1</f>
        <v>32</v>
      </c>
      <c r="F21" s="384">
        <f t="shared" si="3"/>
        <v>8.7431693989071038E-2</v>
      </c>
      <c r="G21" s="379"/>
      <c r="H21" s="381">
        <f t="shared" si="4"/>
        <v>0</v>
      </c>
      <c r="I21" s="380">
        <f t="shared" si="5"/>
        <v>0</v>
      </c>
      <c r="J21" s="380">
        <f t="shared" si="1"/>
        <v>0</v>
      </c>
      <c r="K21" s="379"/>
    </row>
    <row r="22" spans="1:11">
      <c r="A22" s="367">
        <f t="shared" si="0"/>
        <v>17</v>
      </c>
      <c r="B22" s="378" t="s">
        <v>644</v>
      </c>
      <c r="C22" s="380">
        <v>31</v>
      </c>
      <c r="D22" s="382">
        <f t="shared" si="2"/>
        <v>31</v>
      </c>
      <c r="E22" s="383">
        <f>$D$23-SUM($D$11:D22)+1</f>
        <v>1</v>
      </c>
      <c r="F22" s="384">
        <f t="shared" si="3"/>
        <v>2.7322404371584699E-3</v>
      </c>
      <c r="G22" s="379"/>
      <c r="H22" s="381">
        <f t="shared" si="4"/>
        <v>0</v>
      </c>
      <c r="I22" s="380">
        <f t="shared" si="5"/>
        <v>0</v>
      </c>
      <c r="J22" s="380">
        <f t="shared" si="1"/>
        <v>0</v>
      </c>
      <c r="K22" s="379"/>
    </row>
    <row r="23" spans="1:11">
      <c r="A23" s="367">
        <f t="shared" si="0"/>
        <v>18</v>
      </c>
      <c r="B23" s="385"/>
      <c r="C23" s="385" t="s">
        <v>21</v>
      </c>
      <c r="D23" s="386">
        <f>SUM(D11:D22)</f>
        <v>366</v>
      </c>
      <c r="E23" s="385"/>
      <c r="F23" s="387"/>
      <c r="G23" s="379"/>
      <c r="H23" s="388">
        <f>SUM(H11:H22)</f>
        <v>0</v>
      </c>
      <c r="I23" s="388">
        <f>SUM(I11:I22)</f>
        <v>0</v>
      </c>
      <c r="J23" s="387"/>
      <c r="K23" s="389"/>
    </row>
    <row r="24" spans="1:11">
      <c r="B24" s="390"/>
      <c r="C24" s="390"/>
      <c r="D24" s="390"/>
      <c r="E24" s="390"/>
      <c r="F24" s="389"/>
      <c r="G24" s="389"/>
      <c r="I24" s="391"/>
      <c r="J24" s="389"/>
      <c r="K24" s="389"/>
    </row>
    <row r="25" spans="1:11">
      <c r="A25" s="367">
        <f>+A23+1</f>
        <v>19</v>
      </c>
      <c r="B25" s="367" t="s">
        <v>645</v>
      </c>
      <c r="F25" s="367" t="s">
        <v>646</v>
      </c>
      <c r="G25" s="389"/>
      <c r="I25" s="389"/>
      <c r="J25" s="381">
        <v>0</v>
      </c>
    </row>
    <row r="26" spans="1:11">
      <c r="A26" s="367">
        <f>+A25+1</f>
        <v>20</v>
      </c>
      <c r="B26" s="367" t="s">
        <v>647</v>
      </c>
      <c r="F26" s="367" t="str">
        <f>"(Line "&amp;A25&amp;" less line "&amp;A27&amp;")"</f>
        <v>(Line 19 less line 21)</v>
      </c>
      <c r="G26" s="389"/>
      <c r="I26" s="389"/>
      <c r="J26" s="380">
        <f>+J25-J27</f>
        <v>0</v>
      </c>
    </row>
    <row r="27" spans="1:11">
      <c r="A27" s="367">
        <f t="shared" ref="A27:A33" si="6">+A26+1</f>
        <v>21</v>
      </c>
      <c r="B27" s="367" t="s">
        <v>648</v>
      </c>
      <c r="F27" s="367" t="str">
        <f>"(Line "&amp;A10&amp;", Col H)"</f>
        <v>(Line 5, Col H)</v>
      </c>
      <c r="G27" s="389"/>
      <c r="I27" s="389"/>
      <c r="J27" s="380">
        <f>+J10</f>
        <v>0</v>
      </c>
    </row>
    <row r="28" spans="1:11">
      <c r="A28" s="367">
        <f t="shared" si="6"/>
        <v>22</v>
      </c>
      <c r="B28" s="367" t="s">
        <v>649</v>
      </c>
      <c r="F28" s="367" t="s">
        <v>650</v>
      </c>
      <c r="G28" s="389"/>
      <c r="I28" s="389"/>
      <c r="J28" s="381">
        <v>0</v>
      </c>
    </row>
    <row r="29" spans="1:11">
      <c r="A29" s="367">
        <f t="shared" si="6"/>
        <v>23</v>
      </c>
      <c r="B29" s="367" t="str">
        <f>+B26</f>
        <v>Less non Prorated Items</v>
      </c>
      <c r="F29" s="367" t="str">
        <f>"(Line "&amp;A28&amp;" less line "&amp;A30&amp;")"</f>
        <v>(Line 22 less line 24)</v>
      </c>
      <c r="G29" s="389"/>
      <c r="I29" s="389"/>
      <c r="J29" s="380">
        <f>+J28-J30</f>
        <v>0</v>
      </c>
    </row>
    <row r="30" spans="1:11">
      <c r="A30" s="367">
        <f t="shared" si="6"/>
        <v>24</v>
      </c>
      <c r="B30" s="367" t="s">
        <v>651</v>
      </c>
      <c r="F30" s="367" t="str">
        <f>"(Line "&amp;A22&amp;", Col H)"</f>
        <v>(Line 17, Col H)</v>
      </c>
      <c r="G30" s="389"/>
      <c r="I30" s="389"/>
      <c r="J30" s="380">
        <f>+J22</f>
        <v>0</v>
      </c>
    </row>
    <row r="31" spans="1:11">
      <c r="A31" s="367">
        <f t="shared" si="6"/>
        <v>25</v>
      </c>
      <c r="B31" s="367" t="s">
        <v>652</v>
      </c>
      <c r="F31" s="367" t="str">
        <f>"([Lines "&amp;A27&amp;" + "&amp;A30&amp;"] /2)+([Lines "&amp;A26&amp;" +"&amp;A29&amp;")/2])"</f>
        <v>([Lines 21 + 24] /2)+([Lines 20 +23)/2])</v>
      </c>
      <c r="G31" s="389"/>
      <c r="I31" s="376"/>
      <c r="J31" s="388">
        <f>(J27+J30)/2+(J26+J29)/2</f>
        <v>0</v>
      </c>
    </row>
    <row r="32" spans="1:11">
      <c r="A32" s="367">
        <f t="shared" si="6"/>
        <v>26</v>
      </c>
      <c r="B32" s="367" t="s">
        <v>653</v>
      </c>
      <c r="F32" s="367" t="s">
        <v>654</v>
      </c>
      <c r="G32" s="389"/>
      <c r="I32" s="376"/>
      <c r="J32" s="381">
        <v>0</v>
      </c>
    </row>
    <row r="33" spans="1:10">
      <c r="A33" s="367">
        <f t="shared" si="6"/>
        <v>27</v>
      </c>
      <c r="B33" s="367" t="s">
        <v>655</v>
      </c>
      <c r="F33" s="367" t="str">
        <f>"(Line "&amp;A31&amp;" less line "&amp;A32&amp;")"</f>
        <v>(Line 25 less line 26)</v>
      </c>
      <c r="J33" s="392">
        <f>+J31-J32</f>
        <v>0</v>
      </c>
    </row>
    <row r="35" spans="1:10">
      <c r="B35" s="370"/>
    </row>
    <row r="36" spans="1:10">
      <c r="A36" s="367">
        <f>+A33+1</f>
        <v>28</v>
      </c>
      <c r="B36" s="370" t="s">
        <v>656</v>
      </c>
      <c r="H36" s="371"/>
      <c r="I36" s="371"/>
      <c r="J36" s="371"/>
    </row>
    <row r="37" spans="1:10">
      <c r="A37" s="367">
        <f>+A36+1</f>
        <v>29</v>
      </c>
      <c r="B37" s="559" t="s">
        <v>632</v>
      </c>
      <c r="C37" s="560"/>
      <c r="D37" s="560"/>
      <c r="E37" s="560"/>
      <c r="F37" s="561"/>
      <c r="G37" s="372"/>
      <c r="H37" s="562" t="s">
        <v>633</v>
      </c>
      <c r="I37" s="563"/>
      <c r="J37" s="564"/>
    </row>
    <row r="38" spans="1:10">
      <c r="B38" s="373" t="s">
        <v>430</v>
      </c>
      <c r="C38" s="373" t="s">
        <v>432</v>
      </c>
      <c r="D38" s="373" t="s">
        <v>285</v>
      </c>
      <c r="E38" s="373" t="s">
        <v>287</v>
      </c>
      <c r="F38" s="373" t="s">
        <v>289</v>
      </c>
      <c r="G38" s="372"/>
      <c r="H38" s="373" t="s">
        <v>291</v>
      </c>
      <c r="I38" s="373" t="s">
        <v>293</v>
      </c>
      <c r="J38" s="373" t="s">
        <v>301</v>
      </c>
    </row>
    <row r="39" spans="1:10" ht="47.25">
      <c r="A39" s="367">
        <f>+A37+1</f>
        <v>30</v>
      </c>
      <c r="B39" s="375" t="s">
        <v>553</v>
      </c>
      <c r="C39" s="375" t="s">
        <v>634</v>
      </c>
      <c r="D39" s="375" t="s">
        <v>635</v>
      </c>
      <c r="E39" s="375" t="s">
        <v>636</v>
      </c>
      <c r="F39" s="375" t="s">
        <v>637</v>
      </c>
      <c r="G39" s="376"/>
      <c r="H39" s="375" t="s">
        <v>638</v>
      </c>
      <c r="I39" s="375" t="s">
        <v>639</v>
      </c>
      <c r="J39" s="375" t="s">
        <v>640</v>
      </c>
    </row>
    <row r="40" spans="1:10">
      <c r="A40" s="367">
        <f t="shared" ref="A40:A54" si="7">+A39+1</f>
        <v>31</v>
      </c>
      <c r="C40" s="376"/>
      <c r="D40" s="376"/>
      <c r="E40" s="376"/>
      <c r="F40" s="376"/>
      <c r="G40" s="376"/>
      <c r="H40" s="376"/>
      <c r="I40" s="376"/>
      <c r="J40" s="376"/>
    </row>
    <row r="41" spans="1:10">
      <c r="A41" s="367">
        <f t="shared" si="7"/>
        <v>32</v>
      </c>
      <c r="B41" s="377" t="s">
        <v>641</v>
      </c>
      <c r="C41" s="378"/>
      <c r="D41" s="379"/>
      <c r="E41" s="379"/>
      <c r="F41" s="379"/>
      <c r="G41" s="379"/>
      <c r="H41" s="380"/>
      <c r="I41" s="380"/>
      <c r="J41" s="381">
        <v>0</v>
      </c>
    </row>
    <row r="42" spans="1:10">
      <c r="A42" s="367">
        <f t="shared" si="7"/>
        <v>33</v>
      </c>
      <c r="B42" s="378" t="s">
        <v>572</v>
      </c>
      <c r="C42" s="380">
        <v>31</v>
      </c>
      <c r="D42" s="382">
        <f>C42</f>
        <v>31</v>
      </c>
      <c r="E42" s="383">
        <f>D54-D42+1</f>
        <v>336</v>
      </c>
      <c r="F42" s="384">
        <f>IF(E42=0,0,E42/$D$54)</f>
        <v>0.91803278688524592</v>
      </c>
      <c r="G42" s="379"/>
      <c r="H42" s="381">
        <v>0</v>
      </c>
      <c r="I42" s="380">
        <f>+H42*F42</f>
        <v>0</v>
      </c>
      <c r="J42" s="380">
        <f t="shared" ref="J42:J53" si="8">+I42+J41</f>
        <v>0</v>
      </c>
    </row>
    <row r="43" spans="1:10">
      <c r="A43" s="367">
        <f t="shared" si="7"/>
        <v>34</v>
      </c>
      <c r="B43" s="378" t="s">
        <v>573</v>
      </c>
      <c r="C43" s="381">
        <f>C12</f>
        <v>29</v>
      </c>
      <c r="D43" s="382">
        <f t="shared" ref="D43:D53" si="9">C43</f>
        <v>29</v>
      </c>
      <c r="E43" s="383">
        <f>$D$23-SUM($D$42:D43)+1</f>
        <v>307</v>
      </c>
      <c r="F43" s="384">
        <f t="shared" ref="F43:F53" si="10">IF(E43=0,0,E43/$D$54)</f>
        <v>0.83879781420765032</v>
      </c>
      <c r="G43" s="379"/>
      <c r="H43" s="381">
        <f t="shared" ref="H43:H53" si="11">+H42</f>
        <v>0</v>
      </c>
      <c r="I43" s="380">
        <f t="shared" ref="I43:I53" si="12">+H43*F43</f>
        <v>0</v>
      </c>
      <c r="J43" s="380">
        <f t="shared" si="8"/>
        <v>0</v>
      </c>
    </row>
    <row r="44" spans="1:10">
      <c r="A44" s="367">
        <f t="shared" si="7"/>
        <v>35</v>
      </c>
      <c r="B44" s="378" t="s">
        <v>642</v>
      </c>
      <c r="C44" s="380">
        <v>31</v>
      </c>
      <c r="D44" s="382">
        <f t="shared" si="9"/>
        <v>31</v>
      </c>
      <c r="E44" s="383">
        <f>$D$23-SUM($D$42:D44)+1</f>
        <v>276</v>
      </c>
      <c r="F44" s="384">
        <f t="shared" si="10"/>
        <v>0.75409836065573765</v>
      </c>
      <c r="G44" s="379"/>
      <c r="H44" s="381">
        <f t="shared" si="11"/>
        <v>0</v>
      </c>
      <c r="I44" s="380">
        <f t="shared" si="12"/>
        <v>0</v>
      </c>
      <c r="J44" s="380">
        <f t="shared" si="8"/>
        <v>0</v>
      </c>
    </row>
    <row r="45" spans="1:10">
      <c r="A45" s="367">
        <f t="shared" si="7"/>
        <v>36</v>
      </c>
      <c r="B45" s="378" t="s">
        <v>575</v>
      </c>
      <c r="C45" s="380">
        <v>30</v>
      </c>
      <c r="D45" s="382">
        <f t="shared" si="9"/>
        <v>30</v>
      </c>
      <c r="E45" s="383">
        <f>$D$23-SUM($D$42:D45)+1</f>
        <v>246</v>
      </c>
      <c r="F45" s="384">
        <f t="shared" si="10"/>
        <v>0.67213114754098358</v>
      </c>
      <c r="G45" s="379"/>
      <c r="H45" s="381">
        <f t="shared" si="11"/>
        <v>0</v>
      </c>
      <c r="I45" s="380">
        <f t="shared" si="12"/>
        <v>0</v>
      </c>
      <c r="J45" s="380">
        <f t="shared" si="8"/>
        <v>0</v>
      </c>
    </row>
    <row r="46" spans="1:10">
      <c r="A46" s="367">
        <f t="shared" si="7"/>
        <v>37</v>
      </c>
      <c r="B46" s="378" t="s">
        <v>576</v>
      </c>
      <c r="C46" s="380">
        <v>31</v>
      </c>
      <c r="D46" s="382">
        <f t="shared" si="9"/>
        <v>31</v>
      </c>
      <c r="E46" s="383">
        <f>$D$23-SUM($D$42:D46)+1</f>
        <v>215</v>
      </c>
      <c r="F46" s="384">
        <f t="shared" si="10"/>
        <v>0.58743169398907102</v>
      </c>
      <c r="G46" s="379"/>
      <c r="H46" s="381">
        <f t="shared" si="11"/>
        <v>0</v>
      </c>
      <c r="I46" s="380">
        <f t="shared" si="12"/>
        <v>0</v>
      </c>
      <c r="J46" s="380">
        <f t="shared" si="8"/>
        <v>0</v>
      </c>
    </row>
    <row r="47" spans="1:10">
      <c r="A47" s="367">
        <f t="shared" si="7"/>
        <v>38</v>
      </c>
      <c r="B47" s="378" t="s">
        <v>577</v>
      </c>
      <c r="C47" s="380">
        <v>30</v>
      </c>
      <c r="D47" s="382">
        <f t="shared" si="9"/>
        <v>30</v>
      </c>
      <c r="E47" s="383">
        <f>$D$23-SUM($D$42:D47)+1</f>
        <v>185</v>
      </c>
      <c r="F47" s="384">
        <f t="shared" si="10"/>
        <v>0.50546448087431695</v>
      </c>
      <c r="G47" s="379"/>
      <c r="H47" s="381">
        <f t="shared" si="11"/>
        <v>0</v>
      </c>
      <c r="I47" s="380">
        <f t="shared" si="12"/>
        <v>0</v>
      </c>
      <c r="J47" s="380">
        <f t="shared" si="8"/>
        <v>0</v>
      </c>
    </row>
    <row r="48" spans="1:10">
      <c r="A48" s="367">
        <f t="shared" si="7"/>
        <v>39</v>
      </c>
      <c r="B48" s="378" t="s">
        <v>578</v>
      </c>
      <c r="C48" s="380">
        <v>31</v>
      </c>
      <c r="D48" s="382">
        <f t="shared" si="9"/>
        <v>31</v>
      </c>
      <c r="E48" s="383">
        <f>$D$23-SUM($D$42:D48)+1</f>
        <v>154</v>
      </c>
      <c r="F48" s="384">
        <f t="shared" si="10"/>
        <v>0.42076502732240439</v>
      </c>
      <c r="G48" s="379"/>
      <c r="H48" s="381">
        <f t="shared" si="11"/>
        <v>0</v>
      </c>
      <c r="I48" s="380">
        <f t="shared" si="12"/>
        <v>0</v>
      </c>
      <c r="J48" s="380">
        <f t="shared" si="8"/>
        <v>0</v>
      </c>
    </row>
    <row r="49" spans="1:10">
      <c r="A49" s="367">
        <f t="shared" si="7"/>
        <v>40</v>
      </c>
      <c r="B49" s="378" t="s">
        <v>643</v>
      </c>
      <c r="C49" s="380">
        <v>31</v>
      </c>
      <c r="D49" s="382">
        <f t="shared" si="9"/>
        <v>31</v>
      </c>
      <c r="E49" s="383">
        <f>$D$23-SUM($D$42:D49)+1</f>
        <v>123</v>
      </c>
      <c r="F49" s="384">
        <f t="shared" si="10"/>
        <v>0.33606557377049179</v>
      </c>
      <c r="G49" s="379"/>
      <c r="H49" s="381">
        <f t="shared" si="11"/>
        <v>0</v>
      </c>
      <c r="I49" s="380">
        <f t="shared" si="12"/>
        <v>0</v>
      </c>
      <c r="J49" s="380">
        <f t="shared" si="8"/>
        <v>0</v>
      </c>
    </row>
    <row r="50" spans="1:10">
      <c r="A50" s="367">
        <f t="shared" si="7"/>
        <v>41</v>
      </c>
      <c r="B50" s="378" t="s">
        <v>580</v>
      </c>
      <c r="C50" s="380">
        <v>30</v>
      </c>
      <c r="D50" s="382">
        <f t="shared" si="9"/>
        <v>30</v>
      </c>
      <c r="E50" s="383">
        <f>$D$23-SUM($D$42:D50)+1</f>
        <v>93</v>
      </c>
      <c r="F50" s="384">
        <f t="shared" si="10"/>
        <v>0.25409836065573771</v>
      </c>
      <c r="G50" s="379"/>
      <c r="H50" s="381">
        <f t="shared" si="11"/>
        <v>0</v>
      </c>
      <c r="I50" s="380">
        <f t="shared" si="12"/>
        <v>0</v>
      </c>
      <c r="J50" s="380">
        <f t="shared" si="8"/>
        <v>0</v>
      </c>
    </row>
    <row r="51" spans="1:10">
      <c r="A51" s="367">
        <f t="shared" si="7"/>
        <v>42</v>
      </c>
      <c r="B51" s="378" t="s">
        <v>581</v>
      </c>
      <c r="C51" s="380">
        <v>31</v>
      </c>
      <c r="D51" s="382">
        <f t="shared" si="9"/>
        <v>31</v>
      </c>
      <c r="E51" s="383">
        <f>$D$23-SUM($D$42:D51)+1</f>
        <v>62</v>
      </c>
      <c r="F51" s="384">
        <f t="shared" si="10"/>
        <v>0.16939890710382513</v>
      </c>
      <c r="G51" s="379"/>
      <c r="H51" s="381">
        <f t="shared" si="11"/>
        <v>0</v>
      </c>
      <c r="I51" s="380">
        <f t="shared" si="12"/>
        <v>0</v>
      </c>
      <c r="J51" s="380">
        <f t="shared" si="8"/>
        <v>0</v>
      </c>
    </row>
    <row r="52" spans="1:10">
      <c r="A52" s="367">
        <f t="shared" si="7"/>
        <v>43</v>
      </c>
      <c r="B52" s="378" t="s">
        <v>582</v>
      </c>
      <c r="C52" s="380">
        <v>30</v>
      </c>
      <c r="D52" s="382">
        <f t="shared" si="9"/>
        <v>30</v>
      </c>
      <c r="E52" s="383">
        <f>$D$23-SUM($D$42:D52)+1</f>
        <v>32</v>
      </c>
      <c r="F52" s="384">
        <f t="shared" si="10"/>
        <v>8.7431693989071038E-2</v>
      </c>
      <c r="G52" s="379"/>
      <c r="H52" s="381">
        <f t="shared" si="11"/>
        <v>0</v>
      </c>
      <c r="I52" s="380">
        <f t="shared" si="12"/>
        <v>0</v>
      </c>
      <c r="J52" s="380">
        <f t="shared" si="8"/>
        <v>0</v>
      </c>
    </row>
    <row r="53" spans="1:10">
      <c r="A53" s="367">
        <f t="shared" si="7"/>
        <v>44</v>
      </c>
      <c r="B53" s="378" t="s">
        <v>644</v>
      </c>
      <c r="C53" s="380">
        <v>31</v>
      </c>
      <c r="D53" s="382">
        <f t="shared" si="9"/>
        <v>31</v>
      </c>
      <c r="E53" s="383">
        <f>$D$23-SUM($D$42:D53)+1</f>
        <v>1</v>
      </c>
      <c r="F53" s="384">
        <f t="shared" si="10"/>
        <v>2.7322404371584699E-3</v>
      </c>
      <c r="G53" s="379"/>
      <c r="H53" s="381">
        <f t="shared" si="11"/>
        <v>0</v>
      </c>
      <c r="I53" s="380">
        <f t="shared" si="12"/>
        <v>0</v>
      </c>
      <c r="J53" s="380">
        <f t="shared" si="8"/>
        <v>0</v>
      </c>
    </row>
    <row r="54" spans="1:10">
      <c r="A54" s="367">
        <f t="shared" si="7"/>
        <v>45</v>
      </c>
      <c r="B54" s="385"/>
      <c r="C54" s="385" t="s">
        <v>21</v>
      </c>
      <c r="D54" s="386">
        <f>SUM(D42:D53)</f>
        <v>366</v>
      </c>
      <c r="E54" s="385"/>
      <c r="F54" s="387"/>
      <c r="G54" s="379"/>
      <c r="H54" s="388">
        <f>SUM(H42:H53)</f>
        <v>0</v>
      </c>
      <c r="I54" s="388">
        <f>SUM(I42:I53)</f>
        <v>0</v>
      </c>
      <c r="J54" s="387"/>
    </row>
    <row r="55" spans="1:10">
      <c r="B55" s="390"/>
      <c r="C55" s="390"/>
      <c r="D55" s="390"/>
      <c r="E55" s="390"/>
      <c r="F55" s="389"/>
      <c r="G55" s="389"/>
      <c r="I55" s="391"/>
      <c r="J55" s="389"/>
    </row>
    <row r="56" spans="1:10">
      <c r="A56" s="367">
        <f>+A54+1</f>
        <v>46</v>
      </c>
      <c r="B56" s="367" t="s">
        <v>645</v>
      </c>
      <c r="F56" s="367" t="s">
        <v>657</v>
      </c>
      <c r="G56" s="389"/>
      <c r="I56" s="389"/>
      <c r="J56" s="381">
        <v>0</v>
      </c>
    </row>
    <row r="57" spans="1:10">
      <c r="A57" s="367">
        <f>+A56+1</f>
        <v>47</v>
      </c>
      <c r="B57" s="367" t="s">
        <v>647</v>
      </c>
      <c r="F57" s="367" t="str">
        <f>"(Line "&amp;A56&amp;" less line "&amp;A58&amp;")"</f>
        <v>(Line 46 less line 48)</v>
      </c>
      <c r="G57" s="389"/>
      <c r="I57" s="389"/>
      <c r="J57" s="380">
        <f>+J56-J58</f>
        <v>0</v>
      </c>
    </row>
    <row r="58" spans="1:10">
      <c r="A58" s="367">
        <f t="shared" ref="A58:A64" si="13">+A57+1</f>
        <v>48</v>
      </c>
      <c r="B58" s="367" t="s">
        <v>648</v>
      </c>
      <c r="F58" s="367" t="str">
        <f>"(Line "&amp;A41&amp;", Col H)"</f>
        <v>(Line 32, Col H)</v>
      </c>
      <c r="G58" s="389"/>
      <c r="I58" s="389"/>
      <c r="J58" s="380">
        <f>+J41</f>
        <v>0</v>
      </c>
    </row>
    <row r="59" spans="1:10">
      <c r="A59" s="367">
        <f t="shared" si="13"/>
        <v>49</v>
      </c>
      <c r="B59" s="367" t="s">
        <v>649</v>
      </c>
      <c r="F59" s="367" t="s">
        <v>658</v>
      </c>
      <c r="G59" s="389"/>
      <c r="I59" s="389"/>
      <c r="J59" s="381">
        <v>0</v>
      </c>
    </row>
    <row r="60" spans="1:10">
      <c r="A60" s="367">
        <f t="shared" si="13"/>
        <v>50</v>
      </c>
      <c r="B60" s="367" t="str">
        <f>+B57</f>
        <v>Less non Prorated Items</v>
      </c>
      <c r="F60" s="367" t="str">
        <f>"(Line "&amp;A59&amp;" less line "&amp;A61&amp;")"</f>
        <v>(Line 49 less line 51)</v>
      </c>
      <c r="G60" s="389"/>
      <c r="I60" s="389"/>
      <c r="J60" s="380">
        <f>+J59-J61</f>
        <v>0</v>
      </c>
    </row>
    <row r="61" spans="1:10">
      <c r="A61" s="367">
        <f t="shared" si="13"/>
        <v>51</v>
      </c>
      <c r="B61" s="367" t="s">
        <v>651</v>
      </c>
      <c r="F61" s="367" t="str">
        <f>"(Line "&amp;A53&amp;", Col H)"</f>
        <v>(Line 44, Col H)</v>
      </c>
      <c r="G61" s="389"/>
      <c r="I61" s="389"/>
      <c r="J61" s="380">
        <f>+J53</f>
        <v>0</v>
      </c>
    </row>
    <row r="62" spans="1:10">
      <c r="A62" s="367">
        <f t="shared" si="13"/>
        <v>52</v>
      </c>
      <c r="B62" s="367" t="s">
        <v>652</v>
      </c>
      <c r="F62" s="367" t="str">
        <f>"([Lines "&amp;A58&amp;" + "&amp;A61&amp;"] /2)+([Lines "&amp;A57&amp;" +"&amp;A60&amp;")/2])"</f>
        <v>([Lines 48 + 51] /2)+([Lines 47 +50)/2])</v>
      </c>
      <c r="G62" s="389"/>
      <c r="I62" s="376"/>
      <c r="J62" s="388">
        <f>(J58+J61)/2+(J57+J60)/2</f>
        <v>0</v>
      </c>
    </row>
    <row r="63" spans="1:10">
      <c r="A63" s="367">
        <f t="shared" si="13"/>
        <v>53</v>
      </c>
      <c r="B63" s="367" t="s">
        <v>653</v>
      </c>
      <c r="F63" s="367" t="s">
        <v>654</v>
      </c>
      <c r="G63" s="389"/>
      <c r="I63" s="376"/>
      <c r="J63" s="381">
        <v>0</v>
      </c>
    </row>
    <row r="64" spans="1:10">
      <c r="A64" s="367">
        <f t="shared" si="13"/>
        <v>54</v>
      </c>
      <c r="B64" s="367" t="s">
        <v>655</v>
      </c>
      <c r="F64" s="367" t="str">
        <f>"(Line "&amp;A62&amp;" less line "&amp;A63&amp;")"</f>
        <v>(Line 52 less line 53)</v>
      </c>
      <c r="J64" s="392">
        <f>+J62-J63</f>
        <v>0</v>
      </c>
    </row>
    <row r="66" spans="1:16">
      <c r="B66" s="370"/>
    </row>
    <row r="67" spans="1:16">
      <c r="A67" s="367">
        <f>+A64+1</f>
        <v>55</v>
      </c>
      <c r="B67" s="370" t="s">
        <v>659</v>
      </c>
      <c r="H67" s="371"/>
      <c r="I67" s="371"/>
      <c r="J67" s="371"/>
    </row>
    <row r="68" spans="1:16">
      <c r="A68" s="367">
        <f>+A67+1</f>
        <v>56</v>
      </c>
      <c r="B68" s="559" t="s">
        <v>632</v>
      </c>
      <c r="C68" s="560"/>
      <c r="D68" s="560"/>
      <c r="E68" s="560"/>
      <c r="F68" s="561"/>
      <c r="G68" s="372"/>
      <c r="H68" s="562" t="s">
        <v>633</v>
      </c>
      <c r="I68" s="563"/>
      <c r="J68" s="564"/>
    </row>
    <row r="69" spans="1:16">
      <c r="B69" s="373" t="s">
        <v>430</v>
      </c>
      <c r="C69" s="373" t="s">
        <v>432</v>
      </c>
      <c r="D69" s="373" t="s">
        <v>285</v>
      </c>
      <c r="E69" s="373" t="s">
        <v>287</v>
      </c>
      <c r="F69" s="373" t="s">
        <v>289</v>
      </c>
      <c r="G69" s="372"/>
      <c r="H69" s="373" t="s">
        <v>291</v>
      </c>
      <c r="I69" s="373" t="s">
        <v>293</v>
      </c>
      <c r="J69" s="373" t="s">
        <v>301</v>
      </c>
    </row>
    <row r="70" spans="1:16" ht="47.25">
      <c r="A70" s="367">
        <f>+A68+1</f>
        <v>57</v>
      </c>
      <c r="B70" s="375" t="s">
        <v>553</v>
      </c>
      <c r="C70" s="375" t="s">
        <v>634</v>
      </c>
      <c r="D70" s="375" t="s">
        <v>635</v>
      </c>
      <c r="E70" s="375" t="s">
        <v>636</v>
      </c>
      <c r="F70" s="375" t="s">
        <v>637</v>
      </c>
      <c r="G70" s="376"/>
      <c r="H70" s="375" t="s">
        <v>638</v>
      </c>
      <c r="I70" s="375" t="s">
        <v>639</v>
      </c>
      <c r="J70" s="375" t="s">
        <v>640</v>
      </c>
    </row>
    <row r="71" spans="1:16">
      <c r="A71" s="367">
        <f t="shared" ref="A71:A85" si="14">+A70+1</f>
        <v>58</v>
      </c>
      <c r="C71" s="376"/>
      <c r="D71" s="376"/>
      <c r="E71" s="376"/>
      <c r="F71" s="376"/>
      <c r="G71" s="376"/>
      <c r="H71" s="376"/>
      <c r="I71" s="376"/>
      <c r="J71" s="376"/>
    </row>
    <row r="72" spans="1:16">
      <c r="A72" s="367">
        <f t="shared" si="14"/>
        <v>59</v>
      </c>
      <c r="B72" s="377" t="s">
        <v>641</v>
      </c>
      <c r="C72" s="378"/>
      <c r="D72" s="379"/>
      <c r="E72" s="379"/>
      <c r="F72" s="379"/>
      <c r="G72" s="379"/>
      <c r="H72" s="380"/>
      <c r="I72" s="380"/>
      <c r="J72" s="381">
        <v>666</v>
      </c>
      <c r="K72" s="393"/>
    </row>
    <row r="73" spans="1:16">
      <c r="A73" s="367">
        <f t="shared" si="14"/>
        <v>60</v>
      </c>
      <c r="B73" s="378" t="s">
        <v>572</v>
      </c>
      <c r="C73" s="380">
        <v>31</v>
      </c>
      <c r="D73" s="382">
        <f>C73</f>
        <v>31</v>
      </c>
      <c r="E73" s="383">
        <f>D85-D73+1</f>
        <v>336</v>
      </c>
      <c r="F73" s="384">
        <f>IF(E73=0,0,E73/$D$85)</f>
        <v>0.91803278688524592</v>
      </c>
      <c r="G73" s="379"/>
      <c r="H73" s="381">
        <v>-900.58214408666754</v>
      </c>
      <c r="I73" s="380">
        <f>+H73*F73</f>
        <v>-826.7639355549735</v>
      </c>
      <c r="J73" s="380">
        <f t="shared" ref="J73:J83" si="15">+I73+J72</f>
        <v>-160.7639355549735</v>
      </c>
      <c r="L73" s="394"/>
      <c r="M73" s="395"/>
    </row>
    <row r="74" spans="1:16">
      <c r="A74" s="367">
        <f t="shared" si="14"/>
        <v>61</v>
      </c>
      <c r="B74" s="378" t="s">
        <v>573</v>
      </c>
      <c r="C74" s="381">
        <f>C12</f>
        <v>29</v>
      </c>
      <c r="D74" s="382">
        <f t="shared" ref="D74:D84" si="16">C74</f>
        <v>29</v>
      </c>
      <c r="E74" s="383">
        <f>$D$23-SUM($D$73:D74)+1</f>
        <v>307</v>
      </c>
      <c r="F74" s="384">
        <f t="shared" ref="F74:F84" si="17">IF(E74=0,0,E74/$D$85)</f>
        <v>0.83879781420765032</v>
      </c>
      <c r="G74" s="396"/>
      <c r="H74" s="381">
        <f>+H73</f>
        <v>-900.58214408666754</v>
      </c>
      <c r="I74" s="380">
        <f t="shared" ref="I74:I82" si="18">+H74*F74</f>
        <v>-755.40633397433589</v>
      </c>
      <c r="J74" s="380">
        <f t="shared" si="15"/>
        <v>-916.17026952930939</v>
      </c>
      <c r="L74" s="394"/>
      <c r="M74" s="394"/>
    </row>
    <row r="75" spans="1:16">
      <c r="A75" s="367">
        <f t="shared" si="14"/>
        <v>62</v>
      </c>
      <c r="B75" s="378" t="s">
        <v>642</v>
      </c>
      <c r="C75" s="380">
        <v>31</v>
      </c>
      <c r="D75" s="382">
        <f t="shared" si="16"/>
        <v>31</v>
      </c>
      <c r="E75" s="383">
        <f>$D$23-SUM($D$73:D75)+1</f>
        <v>276</v>
      </c>
      <c r="F75" s="384">
        <f t="shared" si="17"/>
        <v>0.75409836065573765</v>
      </c>
      <c r="G75" s="396"/>
      <c r="H75" s="381">
        <f t="shared" ref="H75:H84" si="19">+H74</f>
        <v>-900.58214408666754</v>
      </c>
      <c r="I75" s="380">
        <f t="shared" si="18"/>
        <v>-679.12751849158531</v>
      </c>
      <c r="J75" s="380">
        <f t="shared" si="15"/>
        <v>-1595.2977880208946</v>
      </c>
      <c r="L75" s="394"/>
      <c r="M75" s="394"/>
    </row>
    <row r="76" spans="1:16">
      <c r="A76" s="367">
        <f t="shared" si="14"/>
        <v>63</v>
      </c>
      <c r="B76" s="378" t="s">
        <v>575</v>
      </c>
      <c r="C76" s="380">
        <v>30</v>
      </c>
      <c r="D76" s="382">
        <f t="shared" si="16"/>
        <v>30</v>
      </c>
      <c r="E76" s="383">
        <f>$D$23-SUM($D$73:D76)+1</f>
        <v>246</v>
      </c>
      <c r="F76" s="384">
        <f t="shared" si="17"/>
        <v>0.67213114754098358</v>
      </c>
      <c r="G76" s="396"/>
      <c r="H76" s="381">
        <f t="shared" si="19"/>
        <v>-900.58214408666754</v>
      </c>
      <c r="I76" s="380">
        <f t="shared" si="18"/>
        <v>-605.30930995989127</v>
      </c>
      <c r="J76" s="380">
        <f t="shared" si="15"/>
        <v>-2200.607097980786</v>
      </c>
      <c r="L76" s="394"/>
      <c r="M76" s="394"/>
    </row>
    <row r="77" spans="1:16">
      <c r="A77" s="367">
        <f t="shared" si="14"/>
        <v>64</v>
      </c>
      <c r="B77" s="378" t="s">
        <v>576</v>
      </c>
      <c r="C77" s="380">
        <v>31</v>
      </c>
      <c r="D77" s="382">
        <f t="shared" si="16"/>
        <v>31</v>
      </c>
      <c r="E77" s="383">
        <f>$D$23-SUM($D$73:D77)+1</f>
        <v>215</v>
      </c>
      <c r="F77" s="384">
        <f t="shared" si="17"/>
        <v>0.58743169398907102</v>
      </c>
      <c r="G77" s="396"/>
      <c r="H77" s="381">
        <f t="shared" si="19"/>
        <v>-900.58214408666754</v>
      </c>
      <c r="I77" s="380">
        <f t="shared" si="18"/>
        <v>-529.03049447714079</v>
      </c>
      <c r="J77" s="380">
        <f t="shared" si="15"/>
        <v>-2729.637592457927</v>
      </c>
      <c r="L77" s="394"/>
      <c r="M77" s="394"/>
    </row>
    <row r="78" spans="1:16">
      <c r="A78" s="367">
        <f t="shared" si="14"/>
        <v>65</v>
      </c>
      <c r="B78" s="378" t="s">
        <v>577</v>
      </c>
      <c r="C78" s="380">
        <v>30</v>
      </c>
      <c r="D78" s="382">
        <f t="shared" si="16"/>
        <v>30</v>
      </c>
      <c r="E78" s="383">
        <f>$D$23-SUM($D$73:D78)+1</f>
        <v>185</v>
      </c>
      <c r="F78" s="384">
        <f t="shared" si="17"/>
        <v>0.50546448087431695</v>
      </c>
      <c r="G78" s="396"/>
      <c r="H78" s="381">
        <f t="shared" si="19"/>
        <v>-900.58214408666754</v>
      </c>
      <c r="I78" s="380">
        <f t="shared" si="18"/>
        <v>-455.21228594544669</v>
      </c>
      <c r="J78" s="380">
        <f t="shared" si="15"/>
        <v>-3184.8498784033736</v>
      </c>
      <c r="L78" s="394"/>
      <c r="M78" s="394"/>
    </row>
    <row r="79" spans="1:16">
      <c r="A79" s="367">
        <f t="shared" si="14"/>
        <v>66</v>
      </c>
      <c r="B79" s="378" t="s">
        <v>578</v>
      </c>
      <c r="C79" s="380">
        <v>31</v>
      </c>
      <c r="D79" s="382">
        <f t="shared" si="16"/>
        <v>31</v>
      </c>
      <c r="E79" s="383">
        <f>$D$23-SUM($D$73:D79)+1</f>
        <v>154</v>
      </c>
      <c r="F79" s="384">
        <f t="shared" si="17"/>
        <v>0.42076502732240439</v>
      </c>
      <c r="G79" s="396"/>
      <c r="H79" s="381">
        <f t="shared" si="19"/>
        <v>-900.58214408666754</v>
      </c>
      <c r="I79" s="380">
        <f t="shared" si="18"/>
        <v>-378.93347046269622</v>
      </c>
      <c r="J79" s="380">
        <f t="shared" si="15"/>
        <v>-3563.7833488660699</v>
      </c>
      <c r="L79" s="394"/>
      <c r="M79" s="394"/>
      <c r="N79" s="397"/>
      <c r="P79" s="394"/>
    </row>
    <row r="80" spans="1:16">
      <c r="A80" s="367">
        <f t="shared" si="14"/>
        <v>67</v>
      </c>
      <c r="B80" s="378" t="s">
        <v>643</v>
      </c>
      <c r="C80" s="380">
        <v>31</v>
      </c>
      <c r="D80" s="382">
        <f t="shared" si="16"/>
        <v>31</v>
      </c>
      <c r="E80" s="383">
        <f>$D$23-SUM($D$73:D80)+1</f>
        <v>123</v>
      </c>
      <c r="F80" s="384">
        <f t="shared" si="17"/>
        <v>0.33606557377049179</v>
      </c>
      <c r="G80" s="396"/>
      <c r="H80" s="381">
        <f t="shared" si="19"/>
        <v>-900.58214408666754</v>
      </c>
      <c r="I80" s="380">
        <f t="shared" si="18"/>
        <v>-302.65465497994563</v>
      </c>
      <c r="J80" s="380">
        <f t="shared" si="15"/>
        <v>-3866.4380038460154</v>
      </c>
      <c r="L80" s="394"/>
      <c r="M80" s="394"/>
      <c r="N80" s="397"/>
      <c r="P80" s="394"/>
    </row>
    <row r="81" spans="1:16">
      <c r="A81" s="367">
        <f t="shared" si="14"/>
        <v>68</v>
      </c>
      <c r="B81" s="378" t="s">
        <v>580</v>
      </c>
      <c r="C81" s="380">
        <v>30</v>
      </c>
      <c r="D81" s="382">
        <f t="shared" si="16"/>
        <v>30</v>
      </c>
      <c r="E81" s="383">
        <f>$D$23-SUM($D$73:D81)+1</f>
        <v>93</v>
      </c>
      <c r="F81" s="384">
        <f t="shared" si="17"/>
        <v>0.25409836065573771</v>
      </c>
      <c r="G81" s="396"/>
      <c r="H81" s="381">
        <f t="shared" si="19"/>
        <v>-900.58214408666754</v>
      </c>
      <c r="I81" s="380">
        <f t="shared" si="18"/>
        <v>-228.83644644825159</v>
      </c>
      <c r="J81" s="380">
        <f t="shared" si="15"/>
        <v>-4095.2744502942669</v>
      </c>
      <c r="L81" s="394"/>
      <c r="M81" s="394"/>
      <c r="N81" s="397"/>
      <c r="P81" s="394"/>
    </row>
    <row r="82" spans="1:16">
      <c r="A82" s="367">
        <f t="shared" si="14"/>
        <v>69</v>
      </c>
      <c r="B82" s="378" t="s">
        <v>581</v>
      </c>
      <c r="C82" s="380">
        <v>31</v>
      </c>
      <c r="D82" s="382">
        <f t="shared" si="16"/>
        <v>31</v>
      </c>
      <c r="E82" s="383">
        <f>$D$23-SUM($D$73:D82)+1</f>
        <v>62</v>
      </c>
      <c r="F82" s="384">
        <f t="shared" si="17"/>
        <v>0.16939890710382513</v>
      </c>
      <c r="G82" s="396"/>
      <c r="H82" s="381">
        <f t="shared" si="19"/>
        <v>-900.58214408666754</v>
      </c>
      <c r="I82" s="380">
        <f t="shared" si="18"/>
        <v>-152.55763096550106</v>
      </c>
      <c r="J82" s="380">
        <f t="shared" si="15"/>
        <v>-4247.8320812597676</v>
      </c>
      <c r="L82" s="394"/>
      <c r="M82" s="394"/>
      <c r="N82" s="397"/>
      <c r="P82" s="394"/>
    </row>
    <row r="83" spans="1:16">
      <c r="A83" s="367">
        <f t="shared" si="14"/>
        <v>70</v>
      </c>
      <c r="B83" s="378" t="s">
        <v>582</v>
      </c>
      <c r="C83" s="380">
        <v>30</v>
      </c>
      <c r="D83" s="382">
        <f t="shared" si="16"/>
        <v>30</v>
      </c>
      <c r="E83" s="383">
        <f>$D$23-SUM($D$73:D83)+1</f>
        <v>32</v>
      </c>
      <c r="F83" s="384">
        <f t="shared" si="17"/>
        <v>8.7431693989071038E-2</v>
      </c>
      <c r="G83" s="396"/>
      <c r="H83" s="381">
        <f t="shared" si="19"/>
        <v>-900.58214408666754</v>
      </c>
      <c r="I83" s="380">
        <f>+H83*F83</f>
        <v>-78.739422433806993</v>
      </c>
      <c r="J83" s="380">
        <f t="shared" si="15"/>
        <v>-4326.5715036935744</v>
      </c>
      <c r="L83" s="394"/>
      <c r="M83" s="394"/>
      <c r="N83" s="397"/>
      <c r="P83" s="394"/>
    </row>
    <row r="84" spans="1:16">
      <c r="A84" s="367">
        <f t="shared" si="14"/>
        <v>71</v>
      </c>
      <c r="B84" s="378" t="s">
        <v>644</v>
      </c>
      <c r="C84" s="380">
        <v>31</v>
      </c>
      <c r="D84" s="382">
        <f t="shared" si="16"/>
        <v>31</v>
      </c>
      <c r="E84" s="383">
        <f>$D$23-SUM($D$73:D84)+1</f>
        <v>1</v>
      </c>
      <c r="F84" s="384">
        <f t="shared" si="17"/>
        <v>2.7322404371584699E-3</v>
      </c>
      <c r="G84" s="396"/>
      <c r="H84" s="381">
        <f t="shared" si="19"/>
        <v>-900.58214408666754</v>
      </c>
      <c r="I84" s="380">
        <f>+H84*F84</f>
        <v>-2.4606069510564685</v>
      </c>
      <c r="J84" s="380">
        <f>+I84+J83</f>
        <v>-4329.0321106446308</v>
      </c>
      <c r="K84" s="398"/>
      <c r="L84" s="394"/>
      <c r="M84" s="394"/>
      <c r="N84" s="397"/>
      <c r="P84" s="394"/>
    </row>
    <row r="85" spans="1:16">
      <c r="A85" s="367">
        <f t="shared" si="14"/>
        <v>72</v>
      </c>
      <c r="B85" s="385"/>
      <c r="C85" s="385" t="s">
        <v>21</v>
      </c>
      <c r="D85" s="386">
        <f>SUM(D73:D84)</f>
        <v>366</v>
      </c>
      <c r="E85" s="385"/>
      <c r="F85" s="387"/>
      <c r="G85" s="379"/>
      <c r="H85" s="388"/>
      <c r="I85" s="388">
        <f>SUM(I73:I84)</f>
        <v>-4995.0321106446318</v>
      </c>
      <c r="J85" s="387"/>
    </row>
    <row r="86" spans="1:16">
      <c r="B86" s="390"/>
      <c r="C86" s="390"/>
      <c r="D86" s="390"/>
      <c r="E86" s="390"/>
      <c r="F86" s="389"/>
      <c r="G86" s="389"/>
      <c r="H86" s="399"/>
      <c r="I86" s="391"/>
      <c r="J86" s="389"/>
    </row>
    <row r="87" spans="1:16">
      <c r="A87" s="367">
        <f>+A85+1</f>
        <v>73</v>
      </c>
      <c r="B87" s="367" t="s">
        <v>645</v>
      </c>
      <c r="F87" s="367" t="s">
        <v>657</v>
      </c>
      <c r="G87" s="389"/>
      <c r="H87" s="399"/>
      <c r="I87" s="389"/>
      <c r="J87" s="381">
        <v>666</v>
      </c>
      <c r="M87" s="400"/>
    </row>
    <row r="88" spans="1:16">
      <c r="A88" s="367">
        <f>+A87+1</f>
        <v>74</v>
      </c>
      <c r="B88" s="367" t="s">
        <v>660</v>
      </c>
      <c r="F88" s="367" t="str">
        <f>"(Line "&amp;A87&amp;" less line "&amp;A89&amp;")"</f>
        <v>(Line 73 less line 75)</v>
      </c>
      <c r="G88" s="389"/>
      <c r="I88" s="389"/>
      <c r="J88" s="380">
        <f>+J87-J89</f>
        <v>0</v>
      </c>
    </row>
    <row r="89" spans="1:16">
      <c r="A89" s="367">
        <f t="shared" ref="A89:A95" si="20">+A88+1</f>
        <v>75</v>
      </c>
      <c r="B89" s="367" t="s">
        <v>648</v>
      </c>
      <c r="F89" s="367" t="str">
        <f>"(Line "&amp;A72&amp;", Col H)"</f>
        <v>(Line 59, Col H)</v>
      </c>
      <c r="G89" s="389"/>
      <c r="I89" s="389"/>
      <c r="J89" s="380">
        <f>+J72</f>
        <v>666</v>
      </c>
    </row>
    <row r="90" spans="1:16">
      <c r="A90" s="367">
        <f t="shared" si="20"/>
        <v>76</v>
      </c>
      <c r="B90" s="367" t="s">
        <v>649</v>
      </c>
      <c r="F90" s="367" t="s">
        <v>658</v>
      </c>
      <c r="G90" s="389"/>
      <c r="I90" s="389"/>
      <c r="J90" s="381">
        <v>-10140.98572904001</v>
      </c>
    </row>
    <row r="91" spans="1:16">
      <c r="A91" s="367">
        <f t="shared" si="20"/>
        <v>77</v>
      </c>
      <c r="B91" s="367" t="str">
        <f>+B88</f>
        <v xml:space="preserve">Less non Prorated Items </v>
      </c>
      <c r="F91" s="367" t="str">
        <f>"(Line "&amp;A90&amp;" less line "&amp;A92&amp;")"</f>
        <v>(Line 76 less line 78)</v>
      </c>
      <c r="G91" s="389"/>
      <c r="I91" s="389"/>
      <c r="J91" s="380">
        <f>J90-J92</f>
        <v>-5811.9536183953796</v>
      </c>
    </row>
    <row r="92" spans="1:16">
      <c r="A92" s="367">
        <f t="shared" si="20"/>
        <v>78</v>
      </c>
      <c r="B92" s="367" t="s">
        <v>651</v>
      </c>
      <c r="F92" s="367" t="str">
        <f>"(Line "&amp;A84&amp;", Col H)"</f>
        <v>(Line 71, Col H)</v>
      </c>
      <c r="G92" s="389"/>
      <c r="I92" s="389"/>
      <c r="J92" s="401">
        <f>J84</f>
        <v>-4329.0321106446308</v>
      </c>
    </row>
    <row r="93" spans="1:16">
      <c r="A93" s="367">
        <f t="shared" si="20"/>
        <v>79</v>
      </c>
      <c r="B93" s="367" t="s">
        <v>652</v>
      </c>
      <c r="F93" s="367" t="str">
        <f>"([Lines "&amp;A89&amp;" + "&amp;A92&amp;"] /2)+([Lines "&amp;A88&amp;" +"&amp;A91&amp;")/2])"</f>
        <v>([Lines 75 + 78] /2)+([Lines 74 +77)/2])</v>
      </c>
      <c r="G93" s="389"/>
      <c r="I93" s="376"/>
      <c r="J93" s="388">
        <f>(J89+J92)/2+(J88+J91)/2</f>
        <v>-4737.4928645200052</v>
      </c>
    </row>
    <row r="94" spans="1:16">
      <c r="A94" s="367">
        <f t="shared" si="20"/>
        <v>80</v>
      </c>
      <c r="B94" s="367" t="s">
        <v>653</v>
      </c>
      <c r="F94" s="367" t="s">
        <v>654</v>
      </c>
      <c r="G94" s="389"/>
      <c r="I94" s="376"/>
      <c r="J94" s="381">
        <v>0</v>
      </c>
    </row>
    <row r="95" spans="1:16">
      <c r="A95" s="367">
        <f t="shared" si="20"/>
        <v>81</v>
      </c>
      <c r="B95" s="367" t="s">
        <v>655</v>
      </c>
      <c r="F95" s="367" t="str">
        <f>"(Line "&amp;A93&amp;" less line "&amp;A94&amp;")"</f>
        <v>(Line 79 less line 80)</v>
      </c>
      <c r="J95" s="392">
        <f>+J93-J94</f>
        <v>-4737.4928645200052</v>
      </c>
    </row>
    <row r="98" spans="1:10">
      <c r="A98" s="367">
        <f>+A95+1</f>
        <v>82</v>
      </c>
      <c r="B98" s="370" t="s">
        <v>661</v>
      </c>
      <c r="H98" s="371"/>
      <c r="I98" s="371"/>
      <c r="J98" s="371"/>
    </row>
    <row r="99" spans="1:10">
      <c r="A99" s="367">
        <f>+A98+1</f>
        <v>83</v>
      </c>
      <c r="B99" s="559" t="s">
        <v>632</v>
      </c>
      <c r="C99" s="560"/>
      <c r="D99" s="560"/>
      <c r="E99" s="560"/>
      <c r="F99" s="561"/>
      <c r="G99" s="372"/>
      <c r="H99" s="562" t="s">
        <v>633</v>
      </c>
      <c r="I99" s="563"/>
      <c r="J99" s="564"/>
    </row>
    <row r="100" spans="1:10">
      <c r="B100" s="373" t="s">
        <v>430</v>
      </c>
      <c r="C100" s="373" t="s">
        <v>432</v>
      </c>
      <c r="D100" s="373" t="s">
        <v>285</v>
      </c>
      <c r="E100" s="373" t="s">
        <v>287</v>
      </c>
      <c r="F100" s="373" t="s">
        <v>289</v>
      </c>
      <c r="G100" s="372"/>
      <c r="H100" s="373" t="s">
        <v>291</v>
      </c>
      <c r="I100" s="373" t="s">
        <v>293</v>
      </c>
      <c r="J100" s="373" t="s">
        <v>301</v>
      </c>
    </row>
    <row r="101" spans="1:10" ht="47.25">
      <c r="A101" s="367">
        <f>+A99+1</f>
        <v>84</v>
      </c>
      <c r="B101" s="375" t="s">
        <v>553</v>
      </c>
      <c r="C101" s="375" t="s">
        <v>634</v>
      </c>
      <c r="D101" s="375" t="s">
        <v>635</v>
      </c>
      <c r="E101" s="375" t="s">
        <v>636</v>
      </c>
      <c r="F101" s="375" t="s">
        <v>637</v>
      </c>
      <c r="G101" s="376"/>
      <c r="H101" s="375" t="s">
        <v>638</v>
      </c>
      <c r="I101" s="375" t="s">
        <v>639</v>
      </c>
      <c r="J101" s="375" t="s">
        <v>640</v>
      </c>
    </row>
    <row r="102" spans="1:10">
      <c r="A102" s="367">
        <f t="shared" ref="A102:A116" si="21">+A101+1</f>
        <v>85</v>
      </c>
      <c r="C102" s="376"/>
      <c r="D102" s="376"/>
      <c r="E102" s="376"/>
      <c r="F102" s="376"/>
      <c r="G102" s="376"/>
      <c r="H102" s="376"/>
      <c r="I102" s="376"/>
      <c r="J102" s="376"/>
    </row>
    <row r="103" spans="1:10">
      <c r="A103" s="367">
        <f t="shared" si="21"/>
        <v>86</v>
      </c>
      <c r="B103" s="377" t="s">
        <v>641</v>
      </c>
      <c r="C103" s="378"/>
      <c r="D103" s="379"/>
      <c r="E103" s="379"/>
      <c r="F103" s="379"/>
      <c r="G103" s="379"/>
      <c r="H103" s="380"/>
      <c r="I103" s="380"/>
      <c r="J103" s="381">
        <v>0</v>
      </c>
    </row>
    <row r="104" spans="1:10">
      <c r="A104" s="367">
        <f t="shared" si="21"/>
        <v>87</v>
      </c>
      <c r="B104" s="378" t="s">
        <v>572</v>
      </c>
      <c r="C104" s="380">
        <v>31</v>
      </c>
      <c r="D104" s="382">
        <f>C104</f>
        <v>31</v>
      </c>
      <c r="E104" s="383">
        <f>D116-D104+1</f>
        <v>336</v>
      </c>
      <c r="F104" s="384">
        <f>IF(E104=0,0,E104/$D$116)</f>
        <v>0.91803278688524592</v>
      </c>
      <c r="G104" s="379"/>
      <c r="H104" s="381">
        <v>0</v>
      </c>
      <c r="I104" s="380">
        <f>+H104*F104</f>
        <v>0</v>
      </c>
      <c r="J104" s="380">
        <f t="shared" ref="J104:J115" si="22">+I104+J103</f>
        <v>0</v>
      </c>
    </row>
    <row r="105" spans="1:10">
      <c r="A105" s="367">
        <f t="shared" si="21"/>
        <v>88</v>
      </c>
      <c r="B105" s="378" t="s">
        <v>573</v>
      </c>
      <c r="C105" s="381">
        <v>29</v>
      </c>
      <c r="D105" s="382">
        <f t="shared" ref="D105:D115" si="23">C105</f>
        <v>29</v>
      </c>
      <c r="E105" s="383">
        <f>$D$23-SUM($D$104:D105)+1</f>
        <v>307</v>
      </c>
      <c r="F105" s="384">
        <f t="shared" ref="F105:F115" si="24">IF(E105=0,0,E105/$D$116)</f>
        <v>0.83879781420765032</v>
      </c>
      <c r="G105" s="379"/>
      <c r="H105" s="381">
        <f t="shared" ref="H105:H115" si="25">+H104</f>
        <v>0</v>
      </c>
      <c r="I105" s="380">
        <f t="shared" ref="I105:I115" si="26">+H105*F105</f>
        <v>0</v>
      </c>
      <c r="J105" s="380">
        <f t="shared" si="22"/>
        <v>0</v>
      </c>
    </row>
    <row r="106" spans="1:10">
      <c r="A106" s="367">
        <f t="shared" si="21"/>
        <v>89</v>
      </c>
      <c r="B106" s="378" t="s">
        <v>642</v>
      </c>
      <c r="C106" s="380">
        <v>31</v>
      </c>
      <c r="D106" s="382">
        <f t="shared" si="23"/>
        <v>31</v>
      </c>
      <c r="E106" s="383">
        <f>$D$23-SUM($D$104:D106)+1</f>
        <v>276</v>
      </c>
      <c r="F106" s="384">
        <f t="shared" si="24"/>
        <v>0.75409836065573765</v>
      </c>
      <c r="G106" s="379"/>
      <c r="H106" s="381">
        <f t="shared" si="25"/>
        <v>0</v>
      </c>
      <c r="I106" s="380">
        <f t="shared" si="26"/>
        <v>0</v>
      </c>
      <c r="J106" s="380">
        <f t="shared" si="22"/>
        <v>0</v>
      </c>
    </row>
    <row r="107" spans="1:10">
      <c r="A107" s="367">
        <f t="shared" si="21"/>
        <v>90</v>
      </c>
      <c r="B107" s="378" t="s">
        <v>575</v>
      </c>
      <c r="C107" s="380">
        <v>30</v>
      </c>
      <c r="D107" s="382">
        <f t="shared" si="23"/>
        <v>30</v>
      </c>
      <c r="E107" s="383">
        <f>$D$23-SUM($D$104:D107)+1</f>
        <v>246</v>
      </c>
      <c r="F107" s="384">
        <f t="shared" si="24"/>
        <v>0.67213114754098358</v>
      </c>
      <c r="G107" s="379"/>
      <c r="H107" s="381">
        <f t="shared" si="25"/>
        <v>0</v>
      </c>
      <c r="I107" s="380">
        <f t="shared" si="26"/>
        <v>0</v>
      </c>
      <c r="J107" s="380">
        <f t="shared" si="22"/>
        <v>0</v>
      </c>
    </row>
    <row r="108" spans="1:10">
      <c r="A108" s="367">
        <f t="shared" si="21"/>
        <v>91</v>
      </c>
      <c r="B108" s="378" t="s">
        <v>576</v>
      </c>
      <c r="C108" s="380">
        <v>31</v>
      </c>
      <c r="D108" s="382">
        <f t="shared" si="23"/>
        <v>31</v>
      </c>
      <c r="E108" s="383">
        <f>$D$23-SUM($D$104:D108)+1</f>
        <v>215</v>
      </c>
      <c r="F108" s="384">
        <f t="shared" si="24"/>
        <v>0.58743169398907102</v>
      </c>
      <c r="G108" s="379"/>
      <c r="H108" s="381">
        <f t="shared" si="25"/>
        <v>0</v>
      </c>
      <c r="I108" s="380">
        <f t="shared" si="26"/>
        <v>0</v>
      </c>
      <c r="J108" s="380">
        <f t="shared" si="22"/>
        <v>0</v>
      </c>
    </row>
    <row r="109" spans="1:10">
      <c r="A109" s="367">
        <f t="shared" si="21"/>
        <v>92</v>
      </c>
      <c r="B109" s="378" t="s">
        <v>577</v>
      </c>
      <c r="C109" s="380">
        <v>30</v>
      </c>
      <c r="D109" s="382">
        <f t="shared" si="23"/>
        <v>30</v>
      </c>
      <c r="E109" s="383">
        <f>$D$23-SUM($D$104:D109)+1</f>
        <v>185</v>
      </c>
      <c r="F109" s="384">
        <f t="shared" si="24"/>
        <v>0.50546448087431695</v>
      </c>
      <c r="G109" s="379"/>
      <c r="H109" s="381">
        <f t="shared" si="25"/>
        <v>0</v>
      </c>
      <c r="I109" s="380">
        <f t="shared" si="26"/>
        <v>0</v>
      </c>
      <c r="J109" s="380">
        <f t="shared" si="22"/>
        <v>0</v>
      </c>
    </row>
    <row r="110" spans="1:10">
      <c r="A110" s="367">
        <f t="shared" si="21"/>
        <v>93</v>
      </c>
      <c r="B110" s="378" t="s">
        <v>578</v>
      </c>
      <c r="C110" s="380">
        <v>31</v>
      </c>
      <c r="D110" s="382">
        <f t="shared" si="23"/>
        <v>31</v>
      </c>
      <c r="E110" s="383">
        <f>$D$23-SUM($D$104:D110)+1</f>
        <v>154</v>
      </c>
      <c r="F110" s="384">
        <f t="shared" si="24"/>
        <v>0.42076502732240439</v>
      </c>
      <c r="G110" s="379"/>
      <c r="H110" s="381">
        <f t="shared" si="25"/>
        <v>0</v>
      </c>
      <c r="I110" s="380">
        <f t="shared" si="26"/>
        <v>0</v>
      </c>
      <c r="J110" s="380">
        <f t="shared" si="22"/>
        <v>0</v>
      </c>
    </row>
    <row r="111" spans="1:10">
      <c r="A111" s="367">
        <f t="shared" si="21"/>
        <v>94</v>
      </c>
      <c r="B111" s="378" t="s">
        <v>643</v>
      </c>
      <c r="C111" s="380">
        <v>31</v>
      </c>
      <c r="D111" s="382">
        <f t="shared" si="23"/>
        <v>31</v>
      </c>
      <c r="E111" s="383">
        <f>$D$23-SUM($D$104:D111)+1</f>
        <v>123</v>
      </c>
      <c r="F111" s="384">
        <f t="shared" si="24"/>
        <v>0.33606557377049179</v>
      </c>
      <c r="G111" s="379"/>
      <c r="H111" s="381">
        <f t="shared" si="25"/>
        <v>0</v>
      </c>
      <c r="I111" s="380">
        <f t="shared" si="26"/>
        <v>0</v>
      </c>
      <c r="J111" s="380">
        <f t="shared" si="22"/>
        <v>0</v>
      </c>
    </row>
    <row r="112" spans="1:10">
      <c r="A112" s="367">
        <f t="shared" si="21"/>
        <v>95</v>
      </c>
      <c r="B112" s="378" t="s">
        <v>580</v>
      </c>
      <c r="C112" s="380">
        <v>30</v>
      </c>
      <c r="D112" s="382">
        <f t="shared" si="23"/>
        <v>30</v>
      </c>
      <c r="E112" s="383">
        <f>$D$23-SUM($D$104:D112)+1</f>
        <v>93</v>
      </c>
      <c r="F112" s="384">
        <f t="shared" si="24"/>
        <v>0.25409836065573771</v>
      </c>
      <c r="G112" s="379"/>
      <c r="H112" s="381">
        <f t="shared" si="25"/>
        <v>0</v>
      </c>
      <c r="I112" s="380">
        <f t="shared" si="26"/>
        <v>0</v>
      </c>
      <c r="J112" s="380">
        <f t="shared" si="22"/>
        <v>0</v>
      </c>
    </row>
    <row r="113" spans="1:10">
      <c r="A113" s="367">
        <f t="shared" si="21"/>
        <v>96</v>
      </c>
      <c r="B113" s="378" t="s">
        <v>581</v>
      </c>
      <c r="C113" s="380">
        <v>31</v>
      </c>
      <c r="D113" s="382">
        <f t="shared" si="23"/>
        <v>31</v>
      </c>
      <c r="E113" s="383">
        <f>$D$23-SUM($D$104:D113)+1</f>
        <v>62</v>
      </c>
      <c r="F113" s="384">
        <f t="shared" si="24"/>
        <v>0.16939890710382513</v>
      </c>
      <c r="G113" s="379"/>
      <c r="H113" s="381">
        <f t="shared" si="25"/>
        <v>0</v>
      </c>
      <c r="I113" s="380">
        <f t="shared" si="26"/>
        <v>0</v>
      </c>
      <c r="J113" s="380">
        <f t="shared" si="22"/>
        <v>0</v>
      </c>
    </row>
    <row r="114" spans="1:10">
      <c r="A114" s="367">
        <f t="shared" si="21"/>
        <v>97</v>
      </c>
      <c r="B114" s="378" t="s">
        <v>582</v>
      </c>
      <c r="C114" s="380">
        <v>30</v>
      </c>
      <c r="D114" s="382">
        <f t="shared" si="23"/>
        <v>30</v>
      </c>
      <c r="E114" s="383">
        <f>$D$23-SUM($D$104:D114)+1</f>
        <v>32</v>
      </c>
      <c r="F114" s="384">
        <f t="shared" si="24"/>
        <v>8.7431693989071038E-2</v>
      </c>
      <c r="G114" s="379"/>
      <c r="H114" s="381">
        <f t="shared" si="25"/>
        <v>0</v>
      </c>
      <c r="I114" s="380">
        <f t="shared" si="26"/>
        <v>0</v>
      </c>
      <c r="J114" s="380">
        <f t="shared" si="22"/>
        <v>0</v>
      </c>
    </row>
    <row r="115" spans="1:10">
      <c r="A115" s="367">
        <f t="shared" si="21"/>
        <v>98</v>
      </c>
      <c r="B115" s="378" t="s">
        <v>644</v>
      </c>
      <c r="C115" s="380">
        <v>31</v>
      </c>
      <c r="D115" s="382">
        <f t="shared" si="23"/>
        <v>31</v>
      </c>
      <c r="E115" s="383">
        <f>$D$23-SUM($D$104:D115)+1</f>
        <v>1</v>
      </c>
      <c r="F115" s="384">
        <f t="shared" si="24"/>
        <v>2.7322404371584699E-3</v>
      </c>
      <c r="G115" s="379"/>
      <c r="H115" s="381">
        <f t="shared" si="25"/>
        <v>0</v>
      </c>
      <c r="I115" s="380">
        <f t="shared" si="26"/>
        <v>0</v>
      </c>
      <c r="J115" s="380">
        <f t="shared" si="22"/>
        <v>0</v>
      </c>
    </row>
    <row r="116" spans="1:10">
      <c r="A116" s="367">
        <f t="shared" si="21"/>
        <v>99</v>
      </c>
      <c r="B116" s="385"/>
      <c r="C116" s="385" t="s">
        <v>21</v>
      </c>
      <c r="D116" s="386">
        <f>SUM(D104:D115)</f>
        <v>366</v>
      </c>
      <c r="E116" s="385"/>
      <c r="F116" s="387"/>
      <c r="G116" s="379"/>
      <c r="H116" s="388">
        <f>SUM(H104:H115)</f>
        <v>0</v>
      </c>
      <c r="I116" s="388">
        <f>SUM(I104:I115)</f>
        <v>0</v>
      </c>
      <c r="J116" s="387"/>
    </row>
    <row r="117" spans="1:10">
      <c r="B117" s="390"/>
      <c r="C117" s="390"/>
      <c r="D117" s="390"/>
      <c r="E117" s="390"/>
      <c r="F117" s="389"/>
      <c r="G117" s="389"/>
      <c r="I117" s="391"/>
      <c r="J117" s="389"/>
    </row>
    <row r="118" spans="1:10">
      <c r="A118" s="367">
        <f>+A116+1</f>
        <v>100</v>
      </c>
      <c r="B118" s="367" t="s">
        <v>645</v>
      </c>
      <c r="F118" s="367" t="s">
        <v>662</v>
      </c>
      <c r="G118" s="389"/>
      <c r="I118" s="389"/>
      <c r="J118" s="381">
        <v>0</v>
      </c>
    </row>
    <row r="119" spans="1:10">
      <c r="A119" s="367">
        <f>+A118+1</f>
        <v>101</v>
      </c>
      <c r="B119" s="367" t="s">
        <v>647</v>
      </c>
      <c r="F119" s="367" t="str">
        <f>"(Line "&amp;A118&amp;" less line "&amp;A120&amp;")"</f>
        <v>(Line 100 less line 102)</v>
      </c>
      <c r="G119" s="389"/>
      <c r="I119" s="389"/>
      <c r="J119" s="380">
        <f>+J118-J120</f>
        <v>0</v>
      </c>
    </row>
    <row r="120" spans="1:10">
      <c r="A120" s="367">
        <f t="shared" ref="A120:A126" si="27">+A119+1</f>
        <v>102</v>
      </c>
      <c r="B120" s="367" t="s">
        <v>648</v>
      </c>
      <c r="F120" s="367" t="str">
        <f>"(Line "&amp;A103&amp;", Col H)"</f>
        <v>(Line 86, Col H)</v>
      </c>
      <c r="G120" s="389"/>
      <c r="I120" s="389"/>
      <c r="J120" s="380">
        <f>+J103</f>
        <v>0</v>
      </c>
    </row>
    <row r="121" spans="1:10">
      <c r="A121" s="367">
        <f t="shared" si="27"/>
        <v>103</v>
      </c>
      <c r="B121" s="367" t="s">
        <v>649</v>
      </c>
      <c r="F121" s="367" t="s">
        <v>663</v>
      </c>
      <c r="G121" s="389"/>
      <c r="I121" s="389"/>
      <c r="J121" s="381">
        <v>0</v>
      </c>
    </row>
    <row r="122" spans="1:10">
      <c r="A122" s="367">
        <f t="shared" si="27"/>
        <v>104</v>
      </c>
      <c r="B122" s="367" t="str">
        <f>+B119</f>
        <v>Less non Prorated Items</v>
      </c>
      <c r="F122" s="367" t="str">
        <f>"(Line "&amp;A121&amp;" less line "&amp;A123&amp;")"</f>
        <v>(Line 103 less line 105)</v>
      </c>
      <c r="G122" s="389"/>
      <c r="I122" s="389"/>
      <c r="J122" s="380">
        <f>+J121-J123</f>
        <v>0</v>
      </c>
    </row>
    <row r="123" spans="1:10">
      <c r="A123" s="367">
        <f t="shared" si="27"/>
        <v>105</v>
      </c>
      <c r="B123" s="367" t="s">
        <v>651</v>
      </c>
      <c r="F123" s="367" t="str">
        <f>"(Line "&amp;A115&amp;", Col H)"</f>
        <v>(Line 98, Col H)</v>
      </c>
      <c r="G123" s="389"/>
      <c r="I123" s="389"/>
      <c r="J123" s="380">
        <f>+J115</f>
        <v>0</v>
      </c>
    </row>
    <row r="124" spans="1:10">
      <c r="A124" s="367">
        <f t="shared" si="27"/>
        <v>106</v>
      </c>
      <c r="B124" s="367" t="s">
        <v>652</v>
      </c>
      <c r="F124" s="367" t="str">
        <f>"([Lines "&amp;A120&amp;" + "&amp;A123&amp;"] /2)+([Lines "&amp;A119&amp;" +"&amp;A122&amp;")/2])"</f>
        <v>([Lines 102 + 105] /2)+([Lines 101 +104)/2])</v>
      </c>
      <c r="G124" s="389"/>
      <c r="I124" s="376"/>
      <c r="J124" s="388">
        <f>(J120+J123)/2+(J119+J122)/2</f>
        <v>0</v>
      </c>
    </row>
    <row r="125" spans="1:10">
      <c r="A125" s="367">
        <f t="shared" si="27"/>
        <v>107</v>
      </c>
      <c r="B125" s="367" t="s">
        <v>653</v>
      </c>
      <c r="F125" s="367" t="s">
        <v>654</v>
      </c>
      <c r="G125" s="389"/>
      <c r="I125" s="376"/>
      <c r="J125" s="381">
        <v>0</v>
      </c>
    </row>
    <row r="126" spans="1:10">
      <c r="A126" s="367">
        <f t="shared" si="27"/>
        <v>108</v>
      </c>
      <c r="B126" s="367" t="s">
        <v>655</v>
      </c>
      <c r="F126" s="367" t="str">
        <f>"(Line "&amp;A124&amp;" less line "&amp;A125&amp;")"</f>
        <v>(Line 106 less line 107)</v>
      </c>
      <c r="J126" s="392">
        <f>+J124-J125</f>
        <v>0</v>
      </c>
    </row>
    <row r="128" spans="1:10">
      <c r="A128" s="402"/>
      <c r="B128" s="402"/>
      <c r="C128" s="402"/>
      <c r="D128" s="402"/>
      <c r="E128" s="402"/>
      <c r="F128" s="402"/>
      <c r="G128" s="402"/>
      <c r="H128" s="402"/>
    </row>
    <row r="129" spans="1:8">
      <c r="A129" s="402"/>
      <c r="B129" s="402"/>
      <c r="C129" s="402"/>
      <c r="D129" s="402"/>
      <c r="E129" s="402"/>
      <c r="F129" s="402"/>
      <c r="G129" s="402"/>
      <c r="H129" s="402"/>
    </row>
  </sheetData>
  <mergeCells count="11">
    <mergeCell ref="B68:F68"/>
    <mergeCell ref="H68:J68"/>
    <mergeCell ref="B99:F99"/>
    <mergeCell ref="H99:J99"/>
    <mergeCell ref="B1:K1"/>
    <mergeCell ref="B2:K2"/>
    <mergeCell ref="B3:K3"/>
    <mergeCell ref="B6:F6"/>
    <mergeCell ref="H6:J6"/>
    <mergeCell ref="B37:F37"/>
    <mergeCell ref="H37:J37"/>
  </mergeCells>
  <printOptions horizontalCentered="1"/>
  <pageMargins left="0.45" right="0.45" top="0.5" bottom="0.5" header="0.3" footer="0.3"/>
  <pageSetup scale="34"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8A72A-31FC-42E8-98E8-D99EE619B2F0}">
  <dimension ref="A1:O96"/>
  <sheetViews>
    <sheetView zoomScaleNormal="100" workbookViewId="0">
      <selection activeCell="K108" sqref="K108"/>
    </sheetView>
  </sheetViews>
  <sheetFormatPr defaultColWidth="14" defaultRowHeight="12.75"/>
  <cols>
    <col min="1" max="1" width="5.77734375" style="403" bestFit="1" customWidth="1"/>
    <col min="2" max="2" width="23.77734375" style="3" customWidth="1"/>
    <col min="3" max="3" width="16.77734375" style="3" customWidth="1"/>
    <col min="4" max="4" width="16.21875" style="3" customWidth="1"/>
    <col min="5" max="5" width="12" style="3" customWidth="1"/>
    <col min="6" max="7" width="10.77734375" style="3" customWidth="1"/>
    <col min="8" max="8" width="12.44140625" style="3" bestFit="1" customWidth="1"/>
    <col min="9" max="9" width="12.44140625" style="3" customWidth="1"/>
    <col min="10" max="10" width="13.77734375" style="3" bestFit="1" customWidth="1"/>
    <col min="11" max="11" width="12.5546875" style="3" bestFit="1" customWidth="1"/>
    <col min="12" max="12" width="13.21875" style="3" customWidth="1"/>
    <col min="13" max="13" width="12.77734375" style="3" customWidth="1"/>
    <col min="14" max="14" width="14" style="3"/>
    <col min="15" max="15" width="10" style="3" bestFit="1" customWidth="1"/>
    <col min="16" max="16384" width="14" style="3"/>
  </cols>
  <sheetData>
    <row r="1" spans="1:15">
      <c r="G1" s="142" t="s">
        <v>664</v>
      </c>
      <c r="M1" s="325" t="s">
        <v>338</v>
      </c>
    </row>
    <row r="2" spans="1:15" ht="15" customHeight="1">
      <c r="G2" s="276" t="s">
        <v>665</v>
      </c>
    </row>
    <row r="3" spans="1:15">
      <c r="D3" s="13"/>
      <c r="E3" s="13"/>
      <c r="F3" s="13"/>
      <c r="G3" s="50" t="str">
        <f>'Attachment H'!$D$5</f>
        <v>NextEra Energy Transmission MidAtlantic Indiana, Inc.</v>
      </c>
      <c r="H3" s="13"/>
      <c r="J3" s="13"/>
      <c r="K3" s="13"/>
      <c r="L3" s="13"/>
      <c r="M3" s="13"/>
      <c r="N3" s="13"/>
    </row>
    <row r="4" spans="1:15">
      <c r="B4" s="11"/>
    </row>
    <row r="6" spans="1:15" s="406" customFormat="1" ht="69.75" customHeight="1">
      <c r="A6" s="404" t="s">
        <v>395</v>
      </c>
      <c r="B6" s="405" t="s">
        <v>553</v>
      </c>
      <c r="C6" s="405" t="s">
        <v>666</v>
      </c>
      <c r="D6" s="405" t="s">
        <v>667</v>
      </c>
      <c r="E6" s="405" t="s">
        <v>668</v>
      </c>
      <c r="F6" s="405" t="s">
        <v>669</v>
      </c>
      <c r="G6" s="405" t="s">
        <v>670</v>
      </c>
      <c r="H6" s="405" t="s">
        <v>671</v>
      </c>
      <c r="I6" s="405" t="s">
        <v>672</v>
      </c>
      <c r="J6" s="405" t="s">
        <v>673</v>
      </c>
      <c r="K6" s="405" t="s">
        <v>674</v>
      </c>
      <c r="L6" s="334" t="s">
        <v>143</v>
      </c>
      <c r="M6" s="405" t="s">
        <v>675</v>
      </c>
      <c r="O6" s="407"/>
    </row>
    <row r="7" spans="1:15" s="406" customFormat="1">
      <c r="A7" s="404"/>
      <c r="B7" s="405"/>
      <c r="C7" s="408" t="s">
        <v>535</v>
      </c>
      <c r="D7" s="324" t="s">
        <v>536</v>
      </c>
      <c r="E7" s="324" t="s">
        <v>537</v>
      </c>
      <c r="F7" s="333" t="s">
        <v>538</v>
      </c>
      <c r="G7" s="333" t="s">
        <v>558</v>
      </c>
      <c r="H7" s="333" t="s">
        <v>559</v>
      </c>
      <c r="I7" s="334" t="s">
        <v>560</v>
      </c>
      <c r="J7" s="334" t="s">
        <v>561</v>
      </c>
      <c r="K7" s="334" t="s">
        <v>562</v>
      </c>
      <c r="L7" s="276" t="s">
        <v>676</v>
      </c>
      <c r="M7" s="276" t="s">
        <v>677</v>
      </c>
      <c r="O7" s="407"/>
    </row>
    <row r="8" spans="1:15" ht="25.5" customHeight="1">
      <c r="A8" s="409"/>
      <c r="B8" s="332" t="s">
        <v>678</v>
      </c>
      <c r="C8" s="408">
        <v>1</v>
      </c>
      <c r="D8" s="408">
        <v>2</v>
      </c>
      <c r="E8" s="408">
        <v>3</v>
      </c>
      <c r="F8" s="408">
        <v>4</v>
      </c>
      <c r="G8" s="408">
        <v>5</v>
      </c>
      <c r="H8" s="408">
        <v>6</v>
      </c>
      <c r="I8" s="408">
        <v>7</v>
      </c>
      <c r="J8" s="408">
        <v>9</v>
      </c>
      <c r="K8" s="408">
        <v>11</v>
      </c>
      <c r="L8" s="408">
        <v>12</v>
      </c>
      <c r="M8" s="408">
        <v>16</v>
      </c>
      <c r="O8" s="410"/>
    </row>
    <row r="9" spans="1:15" s="413" customFormat="1" ht="24.75" customHeight="1">
      <c r="A9" s="409"/>
      <c r="B9" s="411" t="s">
        <v>679</v>
      </c>
      <c r="C9" s="276" t="s">
        <v>680</v>
      </c>
      <c r="D9" s="276" t="s">
        <v>681</v>
      </c>
      <c r="E9" s="276" t="s">
        <v>682</v>
      </c>
      <c r="F9" s="276" t="s">
        <v>683</v>
      </c>
      <c r="G9" s="412" t="s">
        <v>684</v>
      </c>
      <c r="H9" s="412" t="str">
        <f>+G9</f>
        <v>(Note E)</v>
      </c>
      <c r="I9" s="412" t="str">
        <f>+H9</f>
        <v>(Note E)</v>
      </c>
      <c r="J9" s="412" t="s">
        <v>685</v>
      </c>
      <c r="K9" s="412" t="s">
        <v>686</v>
      </c>
      <c r="L9" s="412" t="s">
        <v>687</v>
      </c>
      <c r="M9" s="276" t="s">
        <v>688</v>
      </c>
    </row>
    <row r="10" spans="1:15" s="413" customFormat="1">
      <c r="A10" s="409"/>
      <c r="B10" s="411"/>
    </row>
    <row r="11" spans="1:15">
      <c r="A11" s="409"/>
      <c r="B11" s="414"/>
      <c r="C11" s="408"/>
      <c r="D11" s="408"/>
      <c r="E11" s="408"/>
      <c r="F11" s="408"/>
      <c r="G11" s="408"/>
      <c r="H11" s="408"/>
      <c r="I11" s="408"/>
      <c r="J11" s="408"/>
      <c r="K11" s="408"/>
      <c r="L11" s="408"/>
      <c r="M11" s="408"/>
      <c r="O11" s="410"/>
    </row>
    <row r="12" spans="1:15">
      <c r="A12" s="409" t="s">
        <v>689</v>
      </c>
      <c r="B12" s="415" t="s">
        <v>572</v>
      </c>
      <c r="C12" s="416">
        <v>6150</v>
      </c>
      <c r="D12" s="56">
        <v>0</v>
      </c>
      <c r="E12" s="56">
        <v>0</v>
      </c>
      <c r="F12" s="56">
        <v>7788</v>
      </c>
      <c r="G12" s="56">
        <v>0</v>
      </c>
      <c r="H12" s="56">
        <v>0</v>
      </c>
      <c r="I12" s="56">
        <v>0</v>
      </c>
      <c r="J12" s="56">
        <v>0</v>
      </c>
      <c r="K12" s="56">
        <v>0</v>
      </c>
      <c r="L12" s="56">
        <v>0</v>
      </c>
      <c r="M12" s="56">
        <v>4754.3699999999953</v>
      </c>
      <c r="O12" s="417"/>
    </row>
    <row r="13" spans="1:15">
      <c r="A13" s="409" t="s">
        <v>690</v>
      </c>
      <c r="B13" s="415" t="s">
        <v>573</v>
      </c>
      <c r="C13" s="416">
        <f>261848-252406</f>
        <v>9442</v>
      </c>
      <c r="D13" s="56">
        <v>0</v>
      </c>
      <c r="E13" s="56">
        <v>0</v>
      </c>
      <c r="F13" s="56">
        <v>26257</v>
      </c>
      <c r="G13" s="56">
        <v>0</v>
      </c>
      <c r="H13" s="56">
        <v>0</v>
      </c>
      <c r="I13" s="56">
        <v>0</v>
      </c>
      <c r="J13" s="56">
        <v>0</v>
      </c>
      <c r="K13" s="56">
        <v>0</v>
      </c>
      <c r="L13" s="56">
        <v>0</v>
      </c>
      <c r="M13" s="56">
        <v>4754.3700000000099</v>
      </c>
      <c r="O13" s="417"/>
    </row>
    <row r="14" spans="1:15">
      <c r="A14" s="409" t="s">
        <v>691</v>
      </c>
      <c r="B14" s="415" t="s">
        <v>642</v>
      </c>
      <c r="C14" s="416">
        <v>2261</v>
      </c>
      <c r="D14" s="56">
        <v>0</v>
      </c>
      <c r="E14" s="56">
        <v>0</v>
      </c>
      <c r="F14" s="56">
        <v>13273</v>
      </c>
      <c r="G14" s="56">
        <v>0</v>
      </c>
      <c r="H14" s="56">
        <v>0</v>
      </c>
      <c r="I14" s="56">
        <v>0</v>
      </c>
      <c r="J14" s="56">
        <v>0</v>
      </c>
      <c r="K14" s="56">
        <v>0</v>
      </c>
      <c r="L14" s="56">
        <v>0</v>
      </c>
      <c r="M14" s="56">
        <v>4728.0299999999988</v>
      </c>
      <c r="O14" s="417"/>
    </row>
    <row r="15" spans="1:15">
      <c r="A15" s="409" t="s">
        <v>692</v>
      </c>
      <c r="B15" s="415" t="s">
        <v>575</v>
      </c>
      <c r="C15" s="416">
        <v>2107</v>
      </c>
      <c r="D15" s="56">
        <v>0</v>
      </c>
      <c r="E15" s="56">
        <v>0</v>
      </c>
      <c r="F15" s="56">
        <f>119392</f>
        <v>119392</v>
      </c>
      <c r="G15" s="56">
        <v>0</v>
      </c>
      <c r="H15" s="56">
        <v>0</v>
      </c>
      <c r="I15" s="56">
        <v>0</v>
      </c>
      <c r="J15" s="56">
        <v>0</v>
      </c>
      <c r="K15" s="56">
        <v>0</v>
      </c>
      <c r="L15" s="56">
        <v>0</v>
      </c>
      <c r="M15" s="56">
        <v>4728.0299999999988</v>
      </c>
      <c r="O15" s="417"/>
    </row>
    <row r="16" spans="1:15">
      <c r="A16" s="409" t="s">
        <v>352</v>
      </c>
      <c r="B16" s="415" t="s">
        <v>576</v>
      </c>
      <c r="C16" s="416">
        <v>13991.666666666666</v>
      </c>
      <c r="D16" s="56">
        <v>0</v>
      </c>
      <c r="E16" s="56">
        <v>0</v>
      </c>
      <c r="F16" s="56">
        <v>26000.915206666668</v>
      </c>
      <c r="G16" s="56">
        <v>0</v>
      </c>
      <c r="H16" s="56">
        <v>0</v>
      </c>
      <c r="I16" s="56">
        <v>0</v>
      </c>
      <c r="J16" s="56">
        <v>0</v>
      </c>
      <c r="K16" s="56">
        <v>0</v>
      </c>
      <c r="L16" s="56">
        <v>0</v>
      </c>
      <c r="M16" s="56">
        <v>4842.1582551666661</v>
      </c>
      <c r="O16" s="417"/>
    </row>
    <row r="17" spans="1:15">
      <c r="A17" s="409" t="s">
        <v>355</v>
      </c>
      <c r="B17" s="415" t="s">
        <v>577</v>
      </c>
      <c r="C17" s="416">
        <v>13991.666666666666</v>
      </c>
      <c r="D17" s="56">
        <v>0</v>
      </c>
      <c r="E17" s="56">
        <v>0</v>
      </c>
      <c r="F17" s="56">
        <v>26000.915206666668</v>
      </c>
      <c r="G17" s="56">
        <v>0</v>
      </c>
      <c r="H17" s="56">
        <v>0</v>
      </c>
      <c r="I17" s="56">
        <v>0</v>
      </c>
      <c r="J17" s="56">
        <v>0</v>
      </c>
      <c r="K17" s="56">
        <v>0</v>
      </c>
      <c r="L17" s="56">
        <v>0</v>
      </c>
      <c r="M17" s="56">
        <v>4842.1582551666661</v>
      </c>
      <c r="O17" s="417"/>
    </row>
    <row r="18" spans="1:15">
      <c r="A18" s="409" t="s">
        <v>359</v>
      </c>
      <c r="B18" s="415" t="s">
        <v>578</v>
      </c>
      <c r="C18" s="416">
        <v>13991.666666666666</v>
      </c>
      <c r="D18" s="56">
        <v>0</v>
      </c>
      <c r="E18" s="56">
        <v>0</v>
      </c>
      <c r="F18" s="56">
        <v>26000.915206666668</v>
      </c>
      <c r="G18" s="56">
        <v>0</v>
      </c>
      <c r="H18" s="56">
        <v>0</v>
      </c>
      <c r="I18" s="56">
        <v>0</v>
      </c>
      <c r="J18" s="56">
        <v>0</v>
      </c>
      <c r="K18" s="56">
        <v>0</v>
      </c>
      <c r="L18" s="56">
        <v>0</v>
      </c>
      <c r="M18" s="56">
        <v>4842.1582551666661</v>
      </c>
      <c r="O18" s="417"/>
    </row>
    <row r="19" spans="1:15">
      <c r="A19" s="409" t="s">
        <v>362</v>
      </c>
      <c r="B19" s="415" t="s">
        <v>643</v>
      </c>
      <c r="C19" s="416">
        <v>13991.666666666666</v>
      </c>
      <c r="D19" s="56">
        <v>0</v>
      </c>
      <c r="E19" s="56">
        <v>0</v>
      </c>
      <c r="F19" s="56">
        <v>26000.915206666668</v>
      </c>
      <c r="G19" s="56">
        <v>0</v>
      </c>
      <c r="H19" s="56">
        <v>0</v>
      </c>
      <c r="I19" s="56">
        <v>0</v>
      </c>
      <c r="J19" s="56">
        <v>0</v>
      </c>
      <c r="K19" s="56">
        <v>0</v>
      </c>
      <c r="L19" s="56">
        <v>0</v>
      </c>
      <c r="M19" s="56">
        <v>4842.1582551666661</v>
      </c>
      <c r="O19" s="417"/>
    </row>
    <row r="20" spans="1:15">
      <c r="A20" s="409" t="s">
        <v>365</v>
      </c>
      <c r="B20" s="415" t="s">
        <v>580</v>
      </c>
      <c r="C20" s="416">
        <v>13991.666666666666</v>
      </c>
      <c r="D20" s="56">
        <v>0</v>
      </c>
      <c r="E20" s="56">
        <v>0</v>
      </c>
      <c r="F20" s="56">
        <v>26000.915206666668</v>
      </c>
      <c r="G20" s="56">
        <v>0</v>
      </c>
      <c r="H20" s="56">
        <v>0</v>
      </c>
      <c r="I20" s="56">
        <v>0</v>
      </c>
      <c r="J20" s="56">
        <v>0</v>
      </c>
      <c r="K20" s="56">
        <v>0</v>
      </c>
      <c r="L20" s="56">
        <v>0</v>
      </c>
      <c r="M20" s="56">
        <v>4842.1582551666661</v>
      </c>
      <c r="O20" s="417"/>
    </row>
    <row r="21" spans="1:15">
      <c r="A21" s="409" t="s">
        <v>368</v>
      </c>
      <c r="B21" s="415" t="s">
        <v>581</v>
      </c>
      <c r="C21" s="416">
        <v>13991.666666666666</v>
      </c>
      <c r="D21" s="56">
        <v>0</v>
      </c>
      <c r="E21" s="56">
        <v>0</v>
      </c>
      <c r="F21" s="56">
        <v>26000.915206666668</v>
      </c>
      <c r="G21" s="56">
        <v>0</v>
      </c>
      <c r="H21" s="56">
        <v>0</v>
      </c>
      <c r="I21" s="56">
        <v>0</v>
      </c>
      <c r="J21" s="56">
        <v>0</v>
      </c>
      <c r="K21" s="56">
        <v>0</v>
      </c>
      <c r="L21" s="56">
        <v>0</v>
      </c>
      <c r="M21" s="56">
        <v>4842.1582551666661</v>
      </c>
      <c r="O21" s="417"/>
    </row>
    <row r="22" spans="1:15">
      <c r="A22" s="409" t="s">
        <v>371</v>
      </c>
      <c r="B22" s="415" t="s">
        <v>582</v>
      </c>
      <c r="C22" s="416">
        <v>13991.666666666666</v>
      </c>
      <c r="D22" s="56">
        <v>0</v>
      </c>
      <c r="E22" s="56">
        <v>0</v>
      </c>
      <c r="F22" s="56">
        <v>26000.915206666668</v>
      </c>
      <c r="G22" s="56">
        <v>0</v>
      </c>
      <c r="H22" s="56">
        <v>0</v>
      </c>
      <c r="I22" s="56">
        <v>0</v>
      </c>
      <c r="J22" s="56">
        <v>0</v>
      </c>
      <c r="K22" s="56">
        <v>0</v>
      </c>
      <c r="L22" s="56">
        <v>0</v>
      </c>
      <c r="M22" s="56">
        <v>4842.1582551666661</v>
      </c>
      <c r="O22" s="417"/>
    </row>
    <row r="23" spans="1:15">
      <c r="A23" s="409" t="s">
        <v>375</v>
      </c>
      <c r="B23" s="415" t="s">
        <v>644</v>
      </c>
      <c r="C23" s="416">
        <v>13991.666666666666</v>
      </c>
      <c r="D23" s="56">
        <v>0</v>
      </c>
      <c r="E23" s="56">
        <v>0</v>
      </c>
      <c r="F23" s="56">
        <v>26000.915206666668</v>
      </c>
      <c r="G23" s="56">
        <v>0</v>
      </c>
      <c r="H23" s="56">
        <v>0</v>
      </c>
      <c r="I23" s="56">
        <v>0</v>
      </c>
      <c r="J23" s="56">
        <v>0</v>
      </c>
      <c r="K23" s="56">
        <v>0</v>
      </c>
      <c r="L23" s="56">
        <v>0</v>
      </c>
      <c r="M23" s="56">
        <v>4842.1582551666661</v>
      </c>
      <c r="O23" s="417"/>
    </row>
    <row r="24" spans="1:15">
      <c r="A24" s="409" t="s">
        <v>378</v>
      </c>
      <c r="B24" s="418" t="s">
        <v>21</v>
      </c>
      <c r="C24" s="419">
        <f t="shared" ref="C24:M24" si="0">SUM(C12:C23)</f>
        <v>131893.33333333334</v>
      </c>
      <c r="D24" s="419">
        <f t="shared" si="0"/>
        <v>0</v>
      </c>
      <c r="E24" s="419">
        <f t="shared" si="0"/>
        <v>0</v>
      </c>
      <c r="F24" s="419">
        <f t="shared" si="0"/>
        <v>374717.32165333338</v>
      </c>
      <c r="G24" s="419">
        <f t="shared" si="0"/>
        <v>0</v>
      </c>
      <c r="H24" s="419">
        <f t="shared" si="0"/>
        <v>0</v>
      </c>
      <c r="I24" s="419">
        <f t="shared" si="0"/>
        <v>0</v>
      </c>
      <c r="J24" s="419">
        <f t="shared" si="0"/>
        <v>0</v>
      </c>
      <c r="K24" s="419">
        <f t="shared" si="0"/>
        <v>0</v>
      </c>
      <c r="L24" s="419">
        <f t="shared" si="0"/>
        <v>0</v>
      </c>
      <c r="M24" s="419">
        <f t="shared" si="0"/>
        <v>57702.066041333324</v>
      </c>
      <c r="O24" s="420"/>
    </row>
    <row r="25" spans="1:15">
      <c r="A25" s="409"/>
      <c r="B25" s="415"/>
      <c r="C25" s="421"/>
      <c r="D25" s="415"/>
      <c r="E25" s="415"/>
      <c r="F25" s="421"/>
      <c r="G25" s="415"/>
      <c r="H25" s="415"/>
      <c r="I25" s="415"/>
      <c r="J25" s="415"/>
      <c r="N25" s="415"/>
      <c r="O25" s="422"/>
    </row>
    <row r="26" spans="1:15">
      <c r="A26" s="409"/>
      <c r="B26" s="415"/>
      <c r="C26" s="415"/>
      <c r="D26" s="415"/>
      <c r="E26" s="415"/>
      <c r="F26" s="415"/>
      <c r="G26" s="415"/>
      <c r="H26" s="415"/>
      <c r="I26" s="415"/>
      <c r="J26" s="415"/>
      <c r="N26" s="415"/>
      <c r="O26" s="422"/>
    </row>
    <row r="27" spans="1:15" ht="38.25">
      <c r="A27" s="409"/>
      <c r="C27" s="405" t="s">
        <v>693</v>
      </c>
      <c r="D27" s="406" t="s">
        <v>694</v>
      </c>
      <c r="E27" s="405" t="s">
        <v>695</v>
      </c>
      <c r="F27" s="406" t="s">
        <v>696</v>
      </c>
      <c r="G27" s="406" t="s">
        <v>697</v>
      </c>
      <c r="H27" s="405" t="s">
        <v>698</v>
      </c>
      <c r="I27" s="405" t="s">
        <v>699</v>
      </c>
      <c r="J27" s="405" t="s">
        <v>700</v>
      </c>
      <c r="K27" s="405" t="s">
        <v>701</v>
      </c>
      <c r="L27" s="405" t="s">
        <v>702</v>
      </c>
      <c r="M27" s="405" t="s">
        <v>186</v>
      </c>
      <c r="N27" s="415"/>
    </row>
    <row r="28" spans="1:15">
      <c r="A28" s="409"/>
      <c r="C28" s="408" t="s">
        <v>535</v>
      </c>
      <c r="D28" s="324" t="s">
        <v>536</v>
      </c>
      <c r="E28" s="324" t="s">
        <v>537</v>
      </c>
      <c r="F28" s="333" t="s">
        <v>538</v>
      </c>
      <c r="G28" s="333" t="s">
        <v>558</v>
      </c>
      <c r="H28" s="333" t="s">
        <v>559</v>
      </c>
      <c r="I28" s="333" t="s">
        <v>560</v>
      </c>
      <c r="J28" s="334" t="s">
        <v>561</v>
      </c>
      <c r="K28" s="334" t="s">
        <v>562</v>
      </c>
      <c r="L28" s="276" t="s">
        <v>676</v>
      </c>
      <c r="M28" s="276" t="s">
        <v>677</v>
      </c>
      <c r="N28" s="415"/>
    </row>
    <row r="29" spans="1:15">
      <c r="A29" s="409"/>
      <c r="B29" s="332" t="s">
        <v>703</v>
      </c>
      <c r="C29" s="408">
        <v>17</v>
      </c>
      <c r="D29" s="409">
        <v>19</v>
      </c>
      <c r="E29" s="408">
        <v>23</v>
      </c>
      <c r="F29" s="408">
        <v>24</v>
      </c>
      <c r="G29" s="408">
        <v>26</v>
      </c>
      <c r="H29" s="408">
        <v>27</v>
      </c>
      <c r="I29" s="408">
        <v>28</v>
      </c>
      <c r="J29" s="408">
        <v>29</v>
      </c>
      <c r="K29" s="411">
        <v>37</v>
      </c>
      <c r="L29" s="408">
        <v>38</v>
      </c>
      <c r="M29" s="408">
        <v>39</v>
      </c>
      <c r="N29" s="415"/>
    </row>
    <row r="30" spans="1:15" ht="25.5">
      <c r="A30" s="409"/>
      <c r="B30" s="411" t="s">
        <v>679</v>
      </c>
      <c r="C30" s="412" t="s">
        <v>704</v>
      </c>
      <c r="D30" s="276" t="s">
        <v>705</v>
      </c>
      <c r="E30" s="276" t="s">
        <v>706</v>
      </c>
      <c r="F30" s="276" t="str">
        <f>+E30</f>
        <v>263.i</v>
      </c>
      <c r="G30" s="276" t="str">
        <f>+F30</f>
        <v>263.i</v>
      </c>
      <c r="H30" s="276" t="str">
        <f>+G30</f>
        <v>263.i</v>
      </c>
      <c r="I30" s="276" t="str">
        <f>+H30</f>
        <v>263.i</v>
      </c>
      <c r="J30" s="276" t="str">
        <f>+I30</f>
        <v>263.i</v>
      </c>
      <c r="K30" s="276" t="s">
        <v>707</v>
      </c>
      <c r="L30" s="276" t="s">
        <v>181</v>
      </c>
      <c r="M30" s="276" t="s">
        <v>708</v>
      </c>
      <c r="N30" s="415"/>
    </row>
    <row r="31" spans="1:15" s="413" customFormat="1">
      <c r="A31" s="409"/>
      <c r="B31" s="411"/>
      <c r="N31" s="276"/>
    </row>
    <row r="32" spans="1:15">
      <c r="A32" s="409"/>
      <c r="C32" s="408"/>
      <c r="E32" s="408"/>
      <c r="F32" s="408"/>
      <c r="G32" s="408"/>
      <c r="H32" s="408"/>
      <c r="I32" s="408"/>
      <c r="J32" s="408"/>
      <c r="K32" s="408"/>
      <c r="L32" s="408"/>
      <c r="M32" s="408"/>
      <c r="N32" s="415"/>
    </row>
    <row r="33" spans="1:15">
      <c r="A33" s="409" t="s">
        <v>381</v>
      </c>
      <c r="B33" s="415" t="s">
        <v>572</v>
      </c>
      <c r="C33" s="423">
        <v>0</v>
      </c>
      <c r="D33" s="423">
        <v>0</v>
      </c>
      <c r="E33" s="423">
        <v>0</v>
      </c>
      <c r="F33" s="423">
        <v>0</v>
      </c>
      <c r="G33" s="423">
        <v>204.95030440837971</v>
      </c>
      <c r="H33" s="423">
        <v>0</v>
      </c>
      <c r="I33" s="423">
        <v>0</v>
      </c>
      <c r="J33" s="423">
        <v>0</v>
      </c>
      <c r="K33" s="423">
        <v>0</v>
      </c>
      <c r="L33" s="423">
        <v>0</v>
      </c>
      <c r="M33" s="423">
        <v>0</v>
      </c>
      <c r="N33" s="415"/>
    </row>
    <row r="34" spans="1:15">
      <c r="A34" s="409" t="s">
        <v>384</v>
      </c>
      <c r="B34" s="415" t="s">
        <v>573</v>
      </c>
      <c r="C34" s="423">
        <v>0</v>
      </c>
      <c r="D34" s="423">
        <v>0</v>
      </c>
      <c r="E34" s="423">
        <v>0</v>
      </c>
      <c r="F34" s="423">
        <v>0</v>
      </c>
      <c r="G34" s="423">
        <v>204.95030440837971</v>
      </c>
      <c r="H34" s="423">
        <v>0</v>
      </c>
      <c r="I34" s="423">
        <v>0</v>
      </c>
      <c r="J34" s="423">
        <v>0</v>
      </c>
      <c r="K34" s="423">
        <v>0</v>
      </c>
      <c r="L34" s="423">
        <v>0</v>
      </c>
      <c r="M34" s="423">
        <v>0</v>
      </c>
      <c r="N34" s="415"/>
    </row>
    <row r="35" spans="1:15">
      <c r="A35" s="409" t="s">
        <v>387</v>
      </c>
      <c r="B35" s="415" t="s">
        <v>642</v>
      </c>
      <c r="C35" s="423">
        <v>0</v>
      </c>
      <c r="D35" s="423">
        <v>0</v>
      </c>
      <c r="E35" s="423">
        <v>0</v>
      </c>
      <c r="F35" s="423">
        <v>0</v>
      </c>
      <c r="G35" s="423">
        <v>204.95030440837971</v>
      </c>
      <c r="H35" s="423">
        <v>0</v>
      </c>
      <c r="I35" s="423">
        <v>0</v>
      </c>
      <c r="J35" s="423">
        <v>0</v>
      </c>
      <c r="K35" s="423">
        <v>0</v>
      </c>
      <c r="L35" s="423">
        <v>0</v>
      </c>
      <c r="M35" s="423">
        <v>0</v>
      </c>
      <c r="N35" s="415"/>
    </row>
    <row r="36" spans="1:15">
      <c r="A36" s="409" t="s">
        <v>709</v>
      </c>
      <c r="B36" s="415" t="s">
        <v>575</v>
      </c>
      <c r="C36" s="423">
        <v>0</v>
      </c>
      <c r="D36" s="423">
        <v>0</v>
      </c>
      <c r="E36" s="423">
        <v>0</v>
      </c>
      <c r="F36" s="423">
        <v>0</v>
      </c>
      <c r="G36" s="423">
        <v>204.95030440837971</v>
      </c>
      <c r="H36" s="423">
        <v>0</v>
      </c>
      <c r="I36" s="423">
        <v>0</v>
      </c>
      <c r="J36" s="423">
        <v>0</v>
      </c>
      <c r="K36" s="423">
        <v>0</v>
      </c>
      <c r="L36" s="423">
        <v>0</v>
      </c>
      <c r="M36" s="423">
        <v>0</v>
      </c>
      <c r="N36" s="415"/>
    </row>
    <row r="37" spans="1:15">
      <c r="A37" s="409" t="s">
        <v>710</v>
      </c>
      <c r="B37" s="415" t="s">
        <v>576</v>
      </c>
      <c r="C37" s="423">
        <v>0</v>
      </c>
      <c r="D37" s="423">
        <v>0</v>
      </c>
      <c r="E37" s="423">
        <v>0</v>
      </c>
      <c r="F37" s="423">
        <v>0</v>
      </c>
      <c r="G37" s="423">
        <v>204.95030440837971</v>
      </c>
      <c r="H37" s="423">
        <v>0</v>
      </c>
      <c r="I37" s="423">
        <v>0</v>
      </c>
      <c r="J37" s="423">
        <v>0</v>
      </c>
      <c r="K37" s="423">
        <v>0</v>
      </c>
      <c r="L37" s="423">
        <v>0</v>
      </c>
      <c r="M37" s="423">
        <v>0</v>
      </c>
      <c r="N37" s="415"/>
    </row>
    <row r="38" spans="1:15">
      <c r="A38" s="409" t="s">
        <v>711</v>
      </c>
      <c r="B38" s="415" t="s">
        <v>577</v>
      </c>
      <c r="C38" s="423">
        <v>0</v>
      </c>
      <c r="D38" s="423">
        <v>0</v>
      </c>
      <c r="E38" s="423">
        <v>0</v>
      </c>
      <c r="F38" s="423">
        <v>0</v>
      </c>
      <c r="G38" s="423">
        <v>204.95030440837971</v>
      </c>
      <c r="H38" s="423">
        <v>0</v>
      </c>
      <c r="I38" s="423">
        <v>0</v>
      </c>
      <c r="J38" s="423">
        <v>0</v>
      </c>
      <c r="K38" s="423">
        <v>0</v>
      </c>
      <c r="L38" s="423">
        <v>0</v>
      </c>
      <c r="M38" s="423">
        <v>0</v>
      </c>
      <c r="N38" s="415"/>
    </row>
    <row r="39" spans="1:15">
      <c r="A39" s="409" t="s">
        <v>712</v>
      </c>
      <c r="B39" s="415" t="s">
        <v>578</v>
      </c>
      <c r="C39" s="423">
        <v>0</v>
      </c>
      <c r="D39" s="423">
        <v>0</v>
      </c>
      <c r="E39" s="423">
        <v>0</v>
      </c>
      <c r="F39" s="56">
        <v>0</v>
      </c>
      <c r="G39" s="423">
        <v>204.95030440837971</v>
      </c>
      <c r="H39" s="423">
        <v>0</v>
      </c>
      <c r="I39" s="423">
        <v>0</v>
      </c>
      <c r="J39" s="423">
        <v>0</v>
      </c>
      <c r="K39" s="423">
        <v>0</v>
      </c>
      <c r="L39" s="423">
        <v>0</v>
      </c>
      <c r="M39" s="423">
        <v>0</v>
      </c>
      <c r="N39" s="415"/>
    </row>
    <row r="40" spans="1:15">
      <c r="A40" s="409" t="s">
        <v>713</v>
      </c>
      <c r="B40" s="415" t="s">
        <v>643</v>
      </c>
      <c r="C40" s="423">
        <v>0</v>
      </c>
      <c r="D40" s="423">
        <v>0</v>
      </c>
      <c r="E40" s="423">
        <v>0</v>
      </c>
      <c r="F40" s="56">
        <v>0</v>
      </c>
      <c r="G40" s="423">
        <v>204.95030440837971</v>
      </c>
      <c r="H40" s="423">
        <v>0</v>
      </c>
      <c r="I40" s="423">
        <v>0</v>
      </c>
      <c r="J40" s="423">
        <v>0</v>
      </c>
      <c r="K40" s="423">
        <v>0</v>
      </c>
      <c r="L40" s="423">
        <v>0</v>
      </c>
      <c r="M40" s="423">
        <v>0</v>
      </c>
      <c r="N40" s="415"/>
    </row>
    <row r="41" spans="1:15">
      <c r="A41" s="409" t="s">
        <v>714</v>
      </c>
      <c r="B41" s="415" t="s">
        <v>580</v>
      </c>
      <c r="C41" s="423">
        <v>0</v>
      </c>
      <c r="D41" s="423">
        <v>0</v>
      </c>
      <c r="E41" s="423">
        <v>0</v>
      </c>
      <c r="F41" s="56">
        <v>0</v>
      </c>
      <c r="G41" s="423">
        <v>204.95030440837971</v>
      </c>
      <c r="H41" s="423">
        <v>0</v>
      </c>
      <c r="I41" s="423">
        <v>0</v>
      </c>
      <c r="J41" s="423">
        <v>0</v>
      </c>
      <c r="K41" s="423">
        <v>0</v>
      </c>
      <c r="L41" s="423">
        <v>0</v>
      </c>
      <c r="M41" s="423">
        <v>0</v>
      </c>
      <c r="N41" s="415"/>
    </row>
    <row r="42" spans="1:15">
      <c r="A42" s="409" t="s">
        <v>715</v>
      </c>
      <c r="B42" s="415" t="s">
        <v>581</v>
      </c>
      <c r="C42" s="423">
        <v>0</v>
      </c>
      <c r="D42" s="423">
        <v>0</v>
      </c>
      <c r="E42" s="423">
        <v>0</v>
      </c>
      <c r="F42" s="56">
        <v>0</v>
      </c>
      <c r="G42" s="423">
        <v>204.95030440837971</v>
      </c>
      <c r="H42" s="423">
        <v>0</v>
      </c>
      <c r="I42" s="423">
        <v>0</v>
      </c>
      <c r="J42" s="423">
        <v>0</v>
      </c>
      <c r="K42" s="423">
        <v>0</v>
      </c>
      <c r="L42" s="423">
        <v>0</v>
      </c>
      <c r="M42" s="423">
        <v>0</v>
      </c>
      <c r="N42" s="415"/>
    </row>
    <row r="43" spans="1:15">
      <c r="A43" s="409" t="s">
        <v>716</v>
      </c>
      <c r="B43" s="415" t="s">
        <v>582</v>
      </c>
      <c r="C43" s="423">
        <v>0</v>
      </c>
      <c r="D43" s="423">
        <v>0</v>
      </c>
      <c r="E43" s="423">
        <v>0</v>
      </c>
      <c r="F43" s="56">
        <v>0</v>
      </c>
      <c r="G43" s="423">
        <v>204.95030440837971</v>
      </c>
      <c r="H43" s="423">
        <v>0</v>
      </c>
      <c r="I43" s="423">
        <v>0</v>
      </c>
      <c r="J43" s="423">
        <v>0</v>
      </c>
      <c r="K43" s="423">
        <v>0</v>
      </c>
      <c r="L43" s="423">
        <v>0</v>
      </c>
      <c r="M43" s="423">
        <v>0</v>
      </c>
      <c r="N43" s="415"/>
    </row>
    <row r="44" spans="1:15">
      <c r="A44" s="409" t="s">
        <v>717</v>
      </c>
      <c r="B44" s="415" t="s">
        <v>644</v>
      </c>
      <c r="C44" s="423">
        <v>0</v>
      </c>
      <c r="D44" s="423">
        <v>0</v>
      </c>
      <c r="E44" s="423">
        <v>0</v>
      </c>
      <c r="F44" s="56">
        <v>0</v>
      </c>
      <c r="G44" s="423">
        <v>204.95030440837971</v>
      </c>
      <c r="H44" s="423">
        <v>0</v>
      </c>
      <c r="I44" s="423">
        <v>0</v>
      </c>
      <c r="J44" s="423">
        <v>0</v>
      </c>
      <c r="K44" s="423">
        <v>0</v>
      </c>
      <c r="L44" s="423">
        <v>0</v>
      </c>
      <c r="M44" s="423">
        <v>0</v>
      </c>
      <c r="N44" s="415"/>
    </row>
    <row r="45" spans="1:15">
      <c r="A45" s="409" t="s">
        <v>718</v>
      </c>
      <c r="B45" s="418" t="s">
        <v>21</v>
      </c>
      <c r="C45" s="419">
        <f t="shared" ref="C45:M45" si="1">SUM(C33:C44)</f>
        <v>0</v>
      </c>
      <c r="D45" s="419">
        <f t="shared" si="1"/>
        <v>0</v>
      </c>
      <c r="E45" s="419">
        <f t="shared" si="1"/>
        <v>0</v>
      </c>
      <c r="F45" s="419">
        <f t="shared" si="1"/>
        <v>0</v>
      </c>
      <c r="G45" s="419">
        <f t="shared" si="1"/>
        <v>2459.4036529005571</v>
      </c>
      <c r="H45" s="419">
        <f t="shared" si="1"/>
        <v>0</v>
      </c>
      <c r="I45" s="419">
        <f t="shared" si="1"/>
        <v>0</v>
      </c>
      <c r="J45" s="419">
        <f t="shared" si="1"/>
        <v>0</v>
      </c>
      <c r="K45" s="419">
        <f t="shared" si="1"/>
        <v>0</v>
      </c>
      <c r="L45" s="419">
        <f t="shared" si="1"/>
        <v>0</v>
      </c>
      <c r="M45" s="419">
        <f t="shared" si="1"/>
        <v>0</v>
      </c>
      <c r="N45" s="415"/>
    </row>
    <row r="46" spans="1:15">
      <c r="B46" s="415"/>
      <c r="C46" s="415"/>
      <c r="D46" s="415"/>
      <c r="E46" s="415"/>
      <c r="F46" s="415"/>
      <c r="G46" s="408" t="s">
        <v>664</v>
      </c>
      <c r="H46" s="415"/>
      <c r="I46" s="415"/>
      <c r="J46" s="415"/>
      <c r="M46" s="325" t="s">
        <v>390</v>
      </c>
      <c r="N46" s="415"/>
      <c r="O46" s="422"/>
    </row>
    <row r="47" spans="1:15">
      <c r="B47" s="415"/>
      <c r="C47" s="415"/>
      <c r="D47" s="415"/>
      <c r="E47" s="415"/>
      <c r="F47" s="415"/>
      <c r="G47" s="408" t="s">
        <v>665</v>
      </c>
      <c r="H47" s="415"/>
      <c r="I47" s="415"/>
      <c r="J47" s="415"/>
      <c r="N47" s="415"/>
      <c r="O47" s="422"/>
    </row>
    <row r="48" spans="1:15">
      <c r="B48" s="415"/>
      <c r="C48" s="415"/>
      <c r="D48" s="415"/>
      <c r="E48" s="415"/>
      <c r="F48" s="415"/>
      <c r="G48" s="50" t="str">
        <f>'Attachment H'!$D$5</f>
        <v>NextEra Energy Transmission MidAtlantic Indiana, Inc.</v>
      </c>
      <c r="H48" s="415"/>
      <c r="I48" s="415"/>
      <c r="J48" s="415"/>
      <c r="N48" s="415"/>
      <c r="O48" s="422"/>
    </row>
    <row r="49" spans="1:15">
      <c r="B49" s="415"/>
      <c r="C49" s="415"/>
      <c r="D49" s="415"/>
      <c r="E49" s="415"/>
      <c r="F49" s="415"/>
      <c r="G49" s="415"/>
      <c r="H49" s="415"/>
      <c r="I49" s="415"/>
      <c r="J49" s="415"/>
      <c r="N49" s="415"/>
      <c r="O49" s="422"/>
    </row>
    <row r="50" spans="1:15">
      <c r="B50" s="415"/>
      <c r="C50" s="415"/>
      <c r="D50" s="415"/>
      <c r="E50" s="415"/>
      <c r="F50" s="415"/>
      <c r="G50" s="415"/>
      <c r="H50" s="415"/>
      <c r="I50" s="415"/>
      <c r="J50" s="415"/>
      <c r="N50" s="415"/>
      <c r="O50" s="422"/>
    </row>
    <row r="51" spans="1:15" ht="129" customHeight="1">
      <c r="B51" s="424"/>
      <c r="C51" s="425" t="s">
        <v>719</v>
      </c>
      <c r="D51" s="426" t="s">
        <v>268</v>
      </c>
      <c r="E51" s="426" t="s">
        <v>720</v>
      </c>
      <c r="F51" s="427" t="s">
        <v>721</v>
      </c>
      <c r="G51" s="428" t="s">
        <v>26</v>
      </c>
      <c r="H51" s="415"/>
      <c r="I51" s="415"/>
      <c r="J51" s="415"/>
      <c r="N51" s="415"/>
      <c r="O51" s="415"/>
    </row>
    <row r="52" spans="1:15">
      <c r="C52" s="408" t="s">
        <v>535</v>
      </c>
      <c r="D52" s="324" t="s">
        <v>536</v>
      </c>
      <c r="E52" s="324" t="s">
        <v>537</v>
      </c>
      <c r="F52" s="333" t="s">
        <v>538</v>
      </c>
      <c r="G52" s="333" t="s">
        <v>558</v>
      </c>
      <c r="H52" s="415"/>
      <c r="I52" s="415"/>
      <c r="J52" s="415"/>
      <c r="N52" s="415"/>
      <c r="O52" s="415"/>
    </row>
    <row r="53" spans="1:15" ht="25.5">
      <c r="B53" s="332" t="s">
        <v>722</v>
      </c>
      <c r="C53" s="408">
        <v>27</v>
      </c>
      <c r="D53" s="409" t="s">
        <v>723</v>
      </c>
      <c r="E53" s="408">
        <v>31</v>
      </c>
      <c r="F53" s="408">
        <v>32</v>
      </c>
      <c r="G53" s="411" t="s">
        <v>724</v>
      </c>
      <c r="H53" s="408"/>
      <c r="I53" s="408"/>
      <c r="J53" s="415"/>
    </row>
    <row r="54" spans="1:15" ht="25.5">
      <c r="B54" s="411"/>
      <c r="C54" s="412" t="s">
        <v>725</v>
      </c>
      <c r="D54" s="276" t="s">
        <v>726</v>
      </c>
      <c r="E54" s="330" t="s">
        <v>727</v>
      </c>
      <c r="F54" s="3" t="str">
        <f>+E54</f>
        <v>Portion of Account 456.1</v>
      </c>
      <c r="H54" s="408"/>
      <c r="L54" s="408"/>
      <c r="M54" s="408"/>
    </row>
    <row r="55" spans="1:15">
      <c r="C55" s="408"/>
      <c r="E55" s="408"/>
      <c r="F55" s="408"/>
      <c r="G55" s="408"/>
      <c r="H55" s="408"/>
      <c r="I55" s="4"/>
      <c r="L55" s="408"/>
      <c r="M55" s="408"/>
    </row>
    <row r="56" spans="1:15">
      <c r="A56" s="429">
        <f>+A45+1</f>
        <v>27</v>
      </c>
      <c r="B56" s="415" t="s">
        <v>572</v>
      </c>
      <c r="C56" s="423">
        <v>0</v>
      </c>
      <c r="D56" s="423">
        <v>0</v>
      </c>
      <c r="E56" s="423">
        <v>0</v>
      </c>
      <c r="F56" s="423">
        <v>0</v>
      </c>
      <c r="G56" s="423">
        <v>0</v>
      </c>
      <c r="H56" s="415"/>
      <c r="I56" s="4"/>
      <c r="L56" s="415"/>
      <c r="M56" s="415"/>
    </row>
    <row r="57" spans="1:15">
      <c r="A57" s="429">
        <f t="shared" ref="A57:A88" si="2">+A56+1</f>
        <v>28</v>
      </c>
      <c r="B57" s="415" t="s">
        <v>573</v>
      </c>
      <c r="C57" s="423">
        <v>0</v>
      </c>
      <c r="D57" s="423">
        <v>0</v>
      </c>
      <c r="E57" s="423">
        <v>0</v>
      </c>
      <c r="F57" s="423">
        <v>0</v>
      </c>
      <c r="G57" s="423">
        <v>0</v>
      </c>
      <c r="H57" s="415"/>
      <c r="L57" s="415"/>
      <c r="M57" s="415"/>
    </row>
    <row r="58" spans="1:15">
      <c r="A58" s="429">
        <f t="shared" si="2"/>
        <v>29</v>
      </c>
      <c r="B58" s="415" t="s">
        <v>642</v>
      </c>
      <c r="C58" s="423">
        <v>0</v>
      </c>
      <c r="D58" s="423">
        <v>0</v>
      </c>
      <c r="E58" s="423">
        <v>0</v>
      </c>
      <c r="F58" s="423">
        <v>0</v>
      </c>
      <c r="G58" s="423">
        <v>0</v>
      </c>
      <c r="H58" s="415"/>
      <c r="I58" s="4"/>
      <c r="L58" s="415"/>
      <c r="M58" s="415"/>
    </row>
    <row r="59" spans="1:15">
      <c r="A59" s="429">
        <f t="shared" si="2"/>
        <v>30</v>
      </c>
      <c r="B59" s="415" t="s">
        <v>575</v>
      </c>
      <c r="C59" s="423">
        <v>0</v>
      </c>
      <c r="D59" s="423">
        <v>0</v>
      </c>
      <c r="E59" s="423">
        <v>0</v>
      </c>
      <c r="F59" s="423">
        <v>0</v>
      </c>
      <c r="G59" s="423">
        <v>0</v>
      </c>
      <c r="H59" s="415"/>
      <c r="I59" s="5"/>
      <c r="L59" s="415"/>
      <c r="M59" s="415"/>
    </row>
    <row r="60" spans="1:15">
      <c r="A60" s="429">
        <f t="shared" si="2"/>
        <v>31</v>
      </c>
      <c r="B60" s="415" t="s">
        <v>576</v>
      </c>
      <c r="C60" s="423">
        <v>0</v>
      </c>
      <c r="D60" s="423">
        <v>0</v>
      </c>
      <c r="E60" s="423">
        <v>0</v>
      </c>
      <c r="F60" s="423">
        <v>0</v>
      </c>
      <c r="G60" s="423">
        <v>0</v>
      </c>
      <c r="H60" s="415"/>
      <c r="L60" s="415"/>
      <c r="M60" s="415"/>
    </row>
    <row r="61" spans="1:15">
      <c r="A61" s="429">
        <f t="shared" si="2"/>
        <v>32</v>
      </c>
      <c r="B61" s="415" t="s">
        <v>577</v>
      </c>
      <c r="C61" s="423">
        <v>0</v>
      </c>
      <c r="D61" s="423">
        <v>0</v>
      </c>
      <c r="E61" s="423">
        <v>0</v>
      </c>
      <c r="F61" s="423">
        <v>0</v>
      </c>
      <c r="G61" s="423">
        <v>0</v>
      </c>
      <c r="H61" s="415"/>
      <c r="L61" s="415"/>
      <c r="M61" s="415"/>
    </row>
    <row r="62" spans="1:15">
      <c r="A62" s="429">
        <f t="shared" si="2"/>
        <v>33</v>
      </c>
      <c r="B62" s="415" t="s">
        <v>578</v>
      </c>
      <c r="C62" s="423">
        <v>0</v>
      </c>
      <c r="D62" s="423">
        <v>0</v>
      </c>
      <c r="E62" s="423">
        <v>0</v>
      </c>
      <c r="F62" s="423">
        <v>0</v>
      </c>
      <c r="G62" s="423">
        <v>0</v>
      </c>
      <c r="H62" s="415"/>
      <c r="L62" s="415"/>
      <c r="M62" s="415"/>
    </row>
    <row r="63" spans="1:15">
      <c r="A63" s="429">
        <f t="shared" si="2"/>
        <v>34</v>
      </c>
      <c r="B63" s="415" t="s">
        <v>643</v>
      </c>
      <c r="C63" s="423">
        <v>0</v>
      </c>
      <c r="D63" s="423">
        <v>0</v>
      </c>
      <c r="E63" s="423">
        <v>0</v>
      </c>
      <c r="F63" s="423">
        <v>0</v>
      </c>
      <c r="G63" s="423">
        <v>0</v>
      </c>
      <c r="H63" s="415"/>
      <c r="L63" s="415"/>
      <c r="M63" s="415"/>
    </row>
    <row r="64" spans="1:15">
      <c r="A64" s="429">
        <f t="shared" si="2"/>
        <v>35</v>
      </c>
      <c r="B64" s="415" t="s">
        <v>580</v>
      </c>
      <c r="C64" s="423">
        <v>0</v>
      </c>
      <c r="D64" s="423">
        <v>0</v>
      </c>
      <c r="E64" s="423">
        <v>0</v>
      </c>
      <c r="F64" s="423">
        <v>0</v>
      </c>
      <c r="G64" s="423">
        <v>0</v>
      </c>
      <c r="H64" s="415"/>
      <c r="L64" s="415"/>
      <c r="M64" s="415"/>
    </row>
    <row r="65" spans="1:15">
      <c r="A65" s="429">
        <f t="shared" si="2"/>
        <v>36</v>
      </c>
      <c r="B65" s="415" t="s">
        <v>581</v>
      </c>
      <c r="C65" s="423">
        <v>0</v>
      </c>
      <c r="D65" s="423">
        <v>0</v>
      </c>
      <c r="E65" s="423">
        <v>0</v>
      </c>
      <c r="F65" s="423">
        <v>0</v>
      </c>
      <c r="G65" s="423">
        <v>0</v>
      </c>
      <c r="H65" s="415"/>
      <c r="L65" s="415"/>
      <c r="M65" s="415"/>
    </row>
    <row r="66" spans="1:15">
      <c r="A66" s="429">
        <f t="shared" si="2"/>
        <v>37</v>
      </c>
      <c r="B66" s="415" t="s">
        <v>582</v>
      </c>
      <c r="C66" s="423">
        <v>0</v>
      </c>
      <c r="D66" s="423">
        <v>0</v>
      </c>
      <c r="E66" s="423">
        <v>0</v>
      </c>
      <c r="F66" s="423">
        <v>0</v>
      </c>
      <c r="G66" s="423">
        <v>0</v>
      </c>
      <c r="H66" s="415"/>
      <c r="L66" s="415"/>
      <c r="M66" s="415"/>
    </row>
    <row r="67" spans="1:15">
      <c r="A67" s="429">
        <f t="shared" si="2"/>
        <v>38</v>
      </c>
      <c r="B67" s="415" t="s">
        <v>644</v>
      </c>
      <c r="C67" s="423">
        <v>0</v>
      </c>
      <c r="D67" s="423">
        <v>0</v>
      </c>
      <c r="E67" s="423">
        <v>0</v>
      </c>
      <c r="F67" s="423">
        <v>0</v>
      </c>
      <c r="G67" s="423">
        <v>0</v>
      </c>
      <c r="H67" s="415"/>
      <c r="L67" s="415"/>
      <c r="M67" s="415"/>
      <c r="N67" s="415"/>
      <c r="O67" s="415"/>
    </row>
    <row r="68" spans="1:15">
      <c r="A68" s="429">
        <f t="shared" si="2"/>
        <v>39</v>
      </c>
      <c r="B68" s="418" t="s">
        <v>21</v>
      </c>
      <c r="C68" s="419">
        <f>SUM(C56:C67)</f>
        <v>0</v>
      </c>
      <c r="D68" s="419">
        <f>SUM(D56:D67)</f>
        <v>0</v>
      </c>
      <c r="E68" s="419">
        <f>SUM(E56:E67)</f>
        <v>0</v>
      </c>
      <c r="F68" s="419">
        <f>SUM(F56:F67)</f>
        <v>0</v>
      </c>
      <c r="G68" s="419">
        <f>SUM(G56:G67)</f>
        <v>0</v>
      </c>
      <c r="H68" s="415"/>
      <c r="I68" s="415"/>
      <c r="J68" s="415"/>
      <c r="N68" s="415"/>
      <c r="O68" s="415"/>
    </row>
    <row r="69" spans="1:15">
      <c r="A69" s="429">
        <f t="shared" si="2"/>
        <v>40</v>
      </c>
      <c r="B69" s="415"/>
      <c r="C69" s="415"/>
      <c r="D69" s="415"/>
      <c r="E69" s="415"/>
      <c r="F69" s="415"/>
      <c r="G69" s="415"/>
      <c r="H69" s="415"/>
      <c r="I69" s="415"/>
      <c r="J69" s="415"/>
      <c r="N69" s="415"/>
      <c r="O69" s="415"/>
    </row>
    <row r="70" spans="1:15">
      <c r="A70" s="429">
        <f t="shared" si="2"/>
        <v>41</v>
      </c>
      <c r="B70" s="5" t="s">
        <v>245</v>
      </c>
      <c r="C70" s="11"/>
      <c r="F70" s="11"/>
      <c r="G70" s="11"/>
      <c r="H70" s="11"/>
      <c r="I70" s="11"/>
      <c r="J70" s="11"/>
      <c r="K70" s="12"/>
      <c r="L70" s="11"/>
      <c r="N70" s="415"/>
      <c r="O70" s="415"/>
    </row>
    <row r="71" spans="1:15" ht="24" customHeight="1">
      <c r="A71" s="429"/>
      <c r="B71" s="5" t="s">
        <v>728</v>
      </c>
      <c r="C71" s="11"/>
      <c r="F71" s="11"/>
      <c r="G71" s="11"/>
      <c r="H71" s="11"/>
      <c r="I71" s="11"/>
      <c r="J71" s="11"/>
      <c r="K71" s="12"/>
      <c r="L71" s="11"/>
      <c r="N71" s="415"/>
      <c r="O71" s="415"/>
    </row>
    <row r="72" spans="1:15" ht="16.5" thickBot="1">
      <c r="A72" s="429"/>
      <c r="B72" s="5"/>
      <c r="C72" s="11"/>
      <c r="D72" s="430"/>
      <c r="E72" s="430"/>
      <c r="F72" s="430"/>
      <c r="G72" s="430"/>
      <c r="H72" s="430"/>
      <c r="I72" s="430"/>
      <c r="J72" s="431" t="s">
        <v>219</v>
      </c>
      <c r="K72" s="12"/>
      <c r="L72" s="11"/>
      <c r="N72" s="432"/>
      <c r="O72" s="432"/>
    </row>
    <row r="73" spans="1:15" ht="15.75">
      <c r="A73" s="429">
        <f>+A70+1</f>
        <v>42</v>
      </c>
      <c r="B73" s="5"/>
      <c r="C73" s="11"/>
      <c r="D73" s="430" t="s">
        <v>729</v>
      </c>
      <c r="E73" s="430"/>
      <c r="F73" s="430"/>
      <c r="G73" s="430"/>
      <c r="H73" s="430"/>
      <c r="I73" s="430"/>
      <c r="J73" s="433">
        <v>0</v>
      </c>
      <c r="N73" s="415"/>
      <c r="O73" s="415"/>
    </row>
    <row r="74" spans="1:15" ht="15.75">
      <c r="A74" s="429"/>
      <c r="B74" s="5"/>
      <c r="C74" s="11"/>
      <c r="D74" s="430"/>
      <c r="E74" s="430"/>
      <c r="F74" s="430"/>
      <c r="G74" s="430"/>
      <c r="H74" s="430"/>
      <c r="I74" s="430"/>
      <c r="J74" s="240"/>
      <c r="N74" s="415"/>
      <c r="O74" s="415"/>
    </row>
    <row r="75" spans="1:15" ht="15.75">
      <c r="A75" s="429">
        <f>+A73+1</f>
        <v>43</v>
      </c>
      <c r="B75" s="5"/>
      <c r="C75" s="11"/>
      <c r="D75" s="430" t="s">
        <v>730</v>
      </c>
      <c r="E75" s="430"/>
      <c r="F75" s="430"/>
      <c r="G75" s="430"/>
      <c r="H75" s="430"/>
      <c r="I75" s="430"/>
      <c r="J75" s="433">
        <v>0</v>
      </c>
      <c r="N75" s="415"/>
      <c r="O75" s="415"/>
    </row>
    <row r="76" spans="1:15" ht="15.75">
      <c r="A76" s="429"/>
      <c r="B76" s="5"/>
      <c r="C76" s="11"/>
      <c r="D76" s="430"/>
      <c r="E76" s="430"/>
      <c r="F76" s="430"/>
      <c r="G76" s="430"/>
      <c r="H76" s="430"/>
      <c r="I76" s="430"/>
      <c r="J76" s="240"/>
    </row>
    <row r="77" spans="1:15" ht="15.75">
      <c r="A77" s="429">
        <f>+A75+1</f>
        <v>44</v>
      </c>
      <c r="B77" s="5"/>
      <c r="C77" s="11"/>
      <c r="D77" s="430" t="s">
        <v>731</v>
      </c>
      <c r="E77" s="434"/>
      <c r="F77" s="430"/>
      <c r="G77" s="430"/>
      <c r="H77" s="430"/>
      <c r="I77" s="430"/>
      <c r="J77" s="433">
        <v>0</v>
      </c>
    </row>
    <row r="78" spans="1:15" ht="15.75">
      <c r="A78" s="429">
        <f t="shared" si="2"/>
        <v>45</v>
      </c>
      <c r="B78" s="5"/>
      <c r="C78" s="11"/>
      <c r="D78" s="430" t="s">
        <v>732</v>
      </c>
      <c r="E78" s="430"/>
      <c r="F78" s="430"/>
      <c r="G78" s="430"/>
      <c r="H78" s="430"/>
      <c r="I78" s="430"/>
      <c r="J78" s="435">
        <v>0</v>
      </c>
    </row>
    <row r="79" spans="1:15" ht="16.5" thickBot="1">
      <c r="A79" s="429">
        <f t="shared" si="2"/>
        <v>46</v>
      </c>
      <c r="B79" s="5"/>
      <c r="C79" s="11"/>
      <c r="D79" s="430" t="s">
        <v>733</v>
      </c>
      <c r="E79" s="430"/>
      <c r="F79" s="430"/>
      <c r="G79" s="430"/>
      <c r="H79" s="430"/>
      <c r="I79" s="430"/>
      <c r="J79" s="436">
        <v>0</v>
      </c>
    </row>
    <row r="80" spans="1:15" ht="15.75">
      <c r="A80" s="429">
        <f t="shared" si="2"/>
        <v>47</v>
      </c>
      <c r="B80" s="5"/>
      <c r="C80" s="11"/>
      <c r="D80" s="430" t="s">
        <v>734</v>
      </c>
      <c r="E80" s="434" t="s">
        <v>735</v>
      </c>
      <c r="F80" s="434"/>
      <c r="G80" s="434"/>
      <c r="H80" s="437"/>
      <c r="I80" s="434"/>
      <c r="J80" s="240">
        <f>+J77-J78-J79</f>
        <v>0</v>
      </c>
    </row>
    <row r="81" spans="1:12">
      <c r="A81" s="429"/>
      <c r="B81" s="5"/>
      <c r="C81" s="11"/>
      <c r="J81" s="25"/>
    </row>
    <row r="82" spans="1:12">
      <c r="A82" s="429"/>
      <c r="B82" s="5"/>
      <c r="C82" s="11"/>
      <c r="G82" s="11"/>
      <c r="H82" s="11"/>
      <c r="I82" s="11"/>
      <c r="J82" s="11"/>
      <c r="K82" s="12"/>
      <c r="L82" s="11"/>
    </row>
    <row r="83" spans="1:12">
      <c r="A83" s="429"/>
      <c r="B83" s="13"/>
      <c r="C83" s="11"/>
      <c r="F83" s="11"/>
      <c r="G83" s="11"/>
      <c r="H83" s="11"/>
      <c r="I83" s="12" t="s">
        <v>247</v>
      </c>
      <c r="J83" s="11"/>
      <c r="K83" s="11"/>
      <c r="L83" s="11"/>
    </row>
    <row r="84" spans="1:12" ht="13.5" thickBot="1">
      <c r="A84" s="429"/>
      <c r="B84" s="13"/>
      <c r="C84" s="11"/>
      <c r="F84" s="19" t="s">
        <v>219</v>
      </c>
      <c r="G84" s="19" t="s">
        <v>248</v>
      </c>
      <c r="H84" s="11"/>
      <c r="I84" s="43"/>
      <c r="J84" s="11"/>
      <c r="K84" s="19" t="s">
        <v>249</v>
      </c>
      <c r="L84" s="11"/>
    </row>
    <row r="85" spans="1:12">
      <c r="A85" s="429">
        <f>+A80+1</f>
        <v>48</v>
      </c>
      <c r="B85" s="5" t="s">
        <v>250</v>
      </c>
      <c r="C85" s="4" t="s">
        <v>736</v>
      </c>
      <c r="F85" s="350">
        <v>59999.796000000009</v>
      </c>
      <c r="G85" s="22">
        <f>IF(F$88=0,0,F85/F$88)</f>
        <v>0.4</v>
      </c>
      <c r="H85" s="22"/>
      <c r="I85" s="438">
        <v>3.7400000000000003E-2</v>
      </c>
      <c r="J85" s="22"/>
      <c r="K85" s="22">
        <f>G85*I85</f>
        <v>1.4960000000000001E-2</v>
      </c>
      <c r="L85" s="101" t="s">
        <v>252</v>
      </c>
    </row>
    <row r="86" spans="1:12">
      <c r="A86" s="429">
        <f t="shared" si="2"/>
        <v>49</v>
      </c>
      <c r="B86" s="5" t="s">
        <v>253</v>
      </c>
      <c r="C86" s="4" t="s">
        <v>541</v>
      </c>
      <c r="F86" s="350">
        <v>0</v>
      </c>
      <c r="G86" s="22">
        <f>IF(F$88=0,0,F86/F$88)</f>
        <v>0</v>
      </c>
      <c r="H86" s="22"/>
      <c r="I86" s="22">
        <v>0</v>
      </c>
      <c r="J86" s="22"/>
      <c r="K86" s="22">
        <f>G86*I86</f>
        <v>0</v>
      </c>
      <c r="L86" s="11"/>
    </row>
    <row r="87" spans="1:12" ht="13.5" thickBot="1">
      <c r="A87" s="429">
        <f t="shared" si="2"/>
        <v>50</v>
      </c>
      <c r="B87" s="5" t="s">
        <v>255</v>
      </c>
      <c r="C87" s="4" t="s">
        <v>737</v>
      </c>
      <c r="F87" s="439">
        <v>89999.694000000003</v>
      </c>
      <c r="G87" s="22">
        <f>IF(F$88=0,0,F87/F$88)</f>
        <v>0.6</v>
      </c>
      <c r="H87" s="47"/>
      <c r="I87" s="100">
        <v>0.10100000000000001</v>
      </c>
      <c r="J87" s="22"/>
      <c r="K87" s="26">
        <f>G87*I87</f>
        <v>6.0600000000000001E-2</v>
      </c>
      <c r="L87" s="11"/>
    </row>
    <row r="88" spans="1:12">
      <c r="A88" s="429">
        <f t="shared" si="2"/>
        <v>51</v>
      </c>
      <c r="B88" s="13" t="s">
        <v>257</v>
      </c>
      <c r="C88" s="4" t="s">
        <v>738</v>
      </c>
      <c r="F88" s="99">
        <f>SUM(F85:F87)</f>
        <v>149999.49000000002</v>
      </c>
      <c r="G88" s="22" t="s">
        <v>10</v>
      </c>
      <c r="H88" s="11"/>
      <c r="I88" s="22"/>
      <c r="J88" s="22"/>
      <c r="K88" s="22">
        <f>SUM(K85:K87)</f>
        <v>7.5560000000000002E-2</v>
      </c>
      <c r="L88" s="101" t="s">
        <v>259</v>
      </c>
    </row>
    <row r="89" spans="1:12">
      <c r="A89" s="429"/>
      <c r="G89" s="22"/>
    </row>
    <row r="90" spans="1:12">
      <c r="A90" s="3" t="s">
        <v>739</v>
      </c>
    </row>
    <row r="91" spans="1:12">
      <c r="A91" s="409" t="s">
        <v>430</v>
      </c>
      <c r="B91" s="3" t="s">
        <v>740</v>
      </c>
    </row>
    <row r="92" spans="1:12">
      <c r="A92" s="409"/>
      <c r="B92" s="440" t="s">
        <v>741</v>
      </c>
    </row>
    <row r="93" spans="1:12">
      <c r="A93" s="409" t="s">
        <v>432</v>
      </c>
      <c r="B93" s="3" t="s">
        <v>742</v>
      </c>
    </row>
    <row r="94" spans="1:12">
      <c r="A94" s="409" t="s">
        <v>285</v>
      </c>
      <c r="B94" s="3" t="s">
        <v>743</v>
      </c>
    </row>
    <row r="95" spans="1:12">
      <c r="A95" s="409"/>
      <c r="B95" s="534" t="s">
        <v>308</v>
      </c>
      <c r="C95" s="534"/>
      <c r="D95" s="534"/>
      <c r="E95" s="534"/>
      <c r="F95" s="534"/>
      <c r="G95" s="534"/>
      <c r="H95" s="534"/>
      <c r="I95" s="534"/>
      <c r="J95" s="534"/>
      <c r="K95" s="534"/>
    </row>
    <row r="96" spans="1:12">
      <c r="A96" s="409"/>
    </row>
  </sheetData>
  <mergeCells count="1">
    <mergeCell ref="B95:K95"/>
  </mergeCells>
  <pageMargins left="0.25" right="0.25" top="0.75" bottom="0.75" header="0.3" footer="0.3"/>
  <pageSetup scale="62" fitToHeight="0" orientation="landscape" r:id="rId1"/>
  <rowBreaks count="1" manualBreakCount="1">
    <brk id="45" max="12"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496EE-D623-4D74-8F35-E663FF9C085E}">
  <dimension ref="A1:Z70"/>
  <sheetViews>
    <sheetView zoomScale="85" zoomScaleNormal="85" zoomScaleSheetLayoutView="100" workbookViewId="0">
      <selection activeCell="K108" sqref="K108"/>
    </sheetView>
  </sheetViews>
  <sheetFormatPr defaultColWidth="8.77734375" defaultRowHeight="12.75"/>
  <cols>
    <col min="1" max="1" width="4" style="3" customWidth="1"/>
    <col min="2" max="2" width="12" style="3" bestFit="1" customWidth="1"/>
    <col min="3" max="3" width="8.77734375" style="3"/>
    <col min="4" max="6" width="7.77734375" style="3" customWidth="1"/>
    <col min="7" max="7" width="8.21875" style="3" customWidth="1"/>
    <col min="8" max="16" width="7.77734375" style="3" customWidth="1"/>
    <col min="17" max="17" width="10.77734375" style="3" bestFit="1" customWidth="1"/>
    <col min="18" max="16384" width="8.77734375" style="3"/>
  </cols>
  <sheetData>
    <row r="1" spans="1:26">
      <c r="I1" s="142" t="s">
        <v>744</v>
      </c>
      <c r="Q1" s="325" t="s">
        <v>450</v>
      </c>
    </row>
    <row r="2" spans="1:26">
      <c r="I2" s="276" t="s">
        <v>745</v>
      </c>
    </row>
    <row r="3" spans="1:26">
      <c r="I3" s="50" t="str">
        <f>'Attachment H'!$D$5</f>
        <v>NextEra Energy Transmission MidAtlantic Indiana, Inc.</v>
      </c>
    </row>
    <row r="4" spans="1:26">
      <c r="I4" s="18"/>
    </row>
    <row r="5" spans="1:26">
      <c r="I5" s="18"/>
    </row>
    <row r="6" spans="1:26" ht="15">
      <c r="E6" s="441" t="s">
        <v>746</v>
      </c>
      <c r="F6" s="441" t="s">
        <v>747</v>
      </c>
      <c r="G6" s="442" t="s">
        <v>748</v>
      </c>
      <c r="H6" s="441" t="s">
        <v>749</v>
      </c>
    </row>
    <row r="7" spans="1:26" ht="51.75">
      <c r="A7" s="443"/>
      <c r="B7" s="444"/>
      <c r="C7" s="445" t="s">
        <v>750</v>
      </c>
      <c r="D7" s="445"/>
      <c r="E7" s="446" t="s">
        <v>751</v>
      </c>
      <c r="F7" s="446" t="s">
        <v>752</v>
      </c>
      <c r="G7" s="446" t="s">
        <v>753</v>
      </c>
      <c r="H7" s="446" t="s">
        <v>754</v>
      </c>
    </row>
    <row r="8" spans="1:26" ht="15">
      <c r="A8" s="443">
        <v>1</v>
      </c>
      <c r="B8" s="447"/>
      <c r="C8" s="448" t="s">
        <v>755</v>
      </c>
      <c r="D8" s="449"/>
      <c r="E8" s="450">
        <v>4.9599999999999998E-2</v>
      </c>
      <c r="F8" s="450"/>
      <c r="G8" s="451">
        <f>IF(F8&gt;0,MIN(E8:F8),E8)</f>
        <v>4.9599999999999998E-2</v>
      </c>
      <c r="H8" s="451">
        <f>E8</f>
        <v>4.9599999999999998E-2</v>
      </c>
      <c r="R8" s="452"/>
      <c r="S8" s="453"/>
      <c r="T8" s="453"/>
      <c r="U8" s="453"/>
      <c r="V8" s="441"/>
      <c r="W8" s="441"/>
      <c r="X8" s="442"/>
      <c r="Y8" s="441"/>
      <c r="Z8" s="453"/>
    </row>
    <row r="9" spans="1:26" ht="15">
      <c r="A9" s="443">
        <v>2</v>
      </c>
      <c r="B9" s="447"/>
      <c r="C9" s="448" t="s">
        <v>756</v>
      </c>
      <c r="D9" s="449"/>
      <c r="E9" s="450">
        <v>4.7500000000000001E-2</v>
      </c>
      <c r="F9" s="450"/>
      <c r="G9" s="451">
        <f t="shared" ref="G9:G15" si="0">IF(F9&gt;0,MIN(E9:F9),E9)</f>
        <v>4.7500000000000001E-2</v>
      </c>
      <c r="H9" s="451">
        <f t="shared" ref="H9:H15" si="1">E9</f>
        <v>4.7500000000000001E-2</v>
      </c>
      <c r="R9" s="452"/>
      <c r="S9" s="453"/>
      <c r="T9" s="452"/>
      <c r="U9" s="452"/>
      <c r="V9" s="446"/>
      <c r="W9" s="446"/>
      <c r="X9" s="446"/>
      <c r="Y9" s="446"/>
      <c r="Z9" s="446"/>
    </row>
    <row r="10" spans="1:26" ht="15">
      <c r="A10" s="443">
        <v>3</v>
      </c>
      <c r="B10" s="447"/>
      <c r="C10" s="448" t="s">
        <v>757</v>
      </c>
      <c r="D10" s="449"/>
      <c r="E10" s="450">
        <v>3.4299999999999997E-2</v>
      </c>
      <c r="F10" s="450"/>
      <c r="G10" s="451">
        <f t="shared" si="0"/>
        <v>3.4299999999999997E-2</v>
      </c>
      <c r="H10" s="451">
        <f t="shared" si="1"/>
        <v>3.4299999999999997E-2</v>
      </c>
      <c r="R10" s="452"/>
      <c r="S10" s="453"/>
      <c r="T10" s="452"/>
      <c r="U10" s="452"/>
      <c r="V10" s="454"/>
      <c r="W10" s="454"/>
      <c r="X10" s="455"/>
      <c r="Y10" s="455"/>
      <c r="Z10" s="455"/>
    </row>
    <row r="11" spans="1:26" ht="15">
      <c r="A11" s="443">
        <v>4</v>
      </c>
      <c r="B11" s="447"/>
      <c r="C11" s="448" t="s">
        <v>758</v>
      </c>
      <c r="D11" s="449"/>
      <c r="E11" s="450">
        <v>3.2500000000000001E-2</v>
      </c>
      <c r="F11" s="450"/>
      <c r="G11" s="451">
        <f t="shared" si="0"/>
        <v>3.2500000000000001E-2</v>
      </c>
      <c r="H11" s="451">
        <f t="shared" si="1"/>
        <v>3.2500000000000001E-2</v>
      </c>
      <c r="R11" s="452"/>
      <c r="S11" s="453"/>
      <c r="T11" s="452"/>
      <c r="U11" s="452"/>
      <c r="V11" s="454"/>
      <c r="W11" s="454"/>
      <c r="X11" s="455"/>
      <c r="Y11" s="455"/>
      <c r="Z11" s="455"/>
    </row>
    <row r="12" spans="1:26" ht="15.75" customHeight="1">
      <c r="A12" s="443">
        <v>5</v>
      </c>
      <c r="B12" s="447"/>
      <c r="C12" s="448" t="s">
        <v>759</v>
      </c>
      <c r="D12" s="449"/>
      <c r="E12" s="450">
        <v>3.2500000000000001E-2</v>
      </c>
      <c r="F12" s="450"/>
      <c r="G12" s="451">
        <f t="shared" si="0"/>
        <v>3.2500000000000001E-2</v>
      </c>
      <c r="H12" s="451">
        <f t="shared" si="1"/>
        <v>3.2500000000000001E-2</v>
      </c>
      <c r="R12" s="452"/>
      <c r="S12" s="453"/>
      <c r="T12" s="452"/>
      <c r="U12" s="452"/>
      <c r="V12" s="454"/>
      <c r="W12" s="454"/>
      <c r="X12" s="455"/>
      <c r="Y12" s="455"/>
      <c r="Z12" s="455"/>
    </row>
    <row r="13" spans="1:26" ht="15">
      <c r="A13" s="443">
        <v>6</v>
      </c>
      <c r="B13" s="447"/>
      <c r="C13" s="448" t="s">
        <v>756</v>
      </c>
      <c r="D13" s="449"/>
      <c r="E13" s="450">
        <v>3.2500000000000001E-2</v>
      </c>
      <c r="F13" s="450"/>
      <c r="G13" s="451">
        <f t="shared" si="0"/>
        <v>3.2500000000000001E-2</v>
      </c>
      <c r="H13" s="451">
        <f t="shared" si="1"/>
        <v>3.2500000000000001E-2</v>
      </c>
      <c r="R13" s="452"/>
      <c r="S13" s="453"/>
      <c r="T13" s="452"/>
      <c r="U13" s="452"/>
      <c r="V13" s="454"/>
      <c r="W13" s="454"/>
      <c r="X13" s="455"/>
      <c r="Y13" s="455"/>
      <c r="Z13" s="455"/>
    </row>
    <row r="14" spans="1:26" ht="15">
      <c r="A14" s="443">
        <v>7</v>
      </c>
      <c r="B14" s="447"/>
      <c r="C14" s="448" t="s">
        <v>757</v>
      </c>
      <c r="D14" s="449"/>
      <c r="E14" s="450">
        <v>3.2500000000000001E-2</v>
      </c>
      <c r="F14" s="450"/>
      <c r="G14" s="451">
        <f t="shared" si="0"/>
        <v>3.2500000000000001E-2</v>
      </c>
      <c r="H14" s="451">
        <f t="shared" si="1"/>
        <v>3.2500000000000001E-2</v>
      </c>
      <c r="R14" s="452"/>
      <c r="S14" s="453"/>
      <c r="T14" s="453"/>
      <c r="U14" s="453"/>
      <c r="V14" s="453"/>
      <c r="W14" s="453"/>
      <c r="X14" s="453"/>
      <c r="Y14" s="453"/>
      <c r="Z14" s="453"/>
    </row>
    <row r="15" spans="1:26" ht="15">
      <c r="A15" s="443"/>
      <c r="B15" s="447"/>
      <c r="C15" s="447"/>
      <c r="D15" s="449"/>
      <c r="E15" s="450"/>
      <c r="F15" s="450"/>
      <c r="G15" s="456">
        <f t="shared" si="0"/>
        <v>0</v>
      </c>
      <c r="H15" s="456">
        <f t="shared" si="1"/>
        <v>0</v>
      </c>
      <c r="R15" s="452"/>
      <c r="S15" s="453"/>
      <c r="T15" s="453"/>
      <c r="U15" s="453"/>
      <c r="V15" s="453"/>
      <c r="W15" s="453"/>
      <c r="X15" s="453"/>
      <c r="Y15" s="453"/>
      <c r="Z15" s="453"/>
    </row>
    <row r="16" spans="1:26" ht="15">
      <c r="A16" s="443"/>
      <c r="B16" s="447"/>
      <c r="C16" s="448"/>
      <c r="D16" s="449"/>
      <c r="E16" s="449"/>
      <c r="F16" s="449"/>
      <c r="G16" s="457"/>
      <c r="H16" s="457"/>
      <c r="R16" s="452"/>
      <c r="S16" s="453"/>
      <c r="T16" s="453"/>
      <c r="U16" s="453"/>
      <c r="V16" s="458"/>
      <c r="W16" s="455"/>
      <c r="X16" s="453"/>
      <c r="Y16" s="453"/>
      <c r="Z16" s="453"/>
    </row>
    <row r="17" spans="1:26" ht="15">
      <c r="A17" s="443">
        <v>8</v>
      </c>
      <c r="B17" s="459" t="s">
        <v>760</v>
      </c>
      <c r="C17" s="447"/>
      <c r="D17" s="449"/>
      <c r="E17" s="449"/>
      <c r="F17" s="449"/>
      <c r="G17" s="460">
        <f>AVERAGE(G8:G14)</f>
        <v>3.7342857142857136E-2</v>
      </c>
      <c r="H17" s="460">
        <f>AVERAGE(H8:H14)</f>
        <v>3.7342857142857136E-2</v>
      </c>
      <c r="R17" s="452"/>
      <c r="S17" s="453"/>
      <c r="T17" s="453"/>
      <c r="U17" s="453"/>
      <c r="V17" s="458"/>
      <c r="W17" s="455"/>
      <c r="X17" s="453"/>
      <c r="Y17" s="453"/>
      <c r="Z17" s="453"/>
    </row>
    <row r="18" spans="1:26" ht="15">
      <c r="A18" s="447"/>
      <c r="B18" s="447"/>
      <c r="C18" s="447"/>
      <c r="D18" s="449"/>
      <c r="E18" s="449"/>
      <c r="F18" s="449"/>
      <c r="G18" s="457"/>
      <c r="H18" s="457"/>
      <c r="R18" s="452"/>
      <c r="S18" s="453"/>
      <c r="T18" s="453"/>
      <c r="U18" s="453"/>
      <c r="V18" s="453"/>
      <c r="W18" s="453"/>
      <c r="X18" s="453"/>
      <c r="Y18" s="453"/>
      <c r="Z18" s="453"/>
    </row>
    <row r="19" spans="1:26" ht="15">
      <c r="A19" s="447" t="s">
        <v>761</v>
      </c>
      <c r="B19" s="447"/>
      <c r="C19" s="447"/>
      <c r="D19" s="447"/>
      <c r="E19" s="447"/>
      <c r="F19" s="447"/>
      <c r="G19" s="447"/>
      <c r="H19" s="447"/>
      <c r="R19" s="452"/>
      <c r="S19" s="453"/>
      <c r="T19" s="453"/>
      <c r="U19" s="453"/>
      <c r="V19" s="453"/>
      <c r="W19" s="453"/>
      <c r="X19" s="453"/>
      <c r="Y19" s="453"/>
      <c r="Z19" s="453"/>
    </row>
    <row r="20" spans="1:26" ht="15">
      <c r="A20" s="447"/>
      <c r="B20" s="453" t="s">
        <v>762</v>
      </c>
      <c r="C20" s="447"/>
      <c r="D20" s="447"/>
      <c r="E20" s="447"/>
      <c r="F20" s="447"/>
      <c r="G20" s="447"/>
      <c r="H20" s="447"/>
      <c r="R20" s="452"/>
      <c r="S20" s="452"/>
      <c r="U20" s="453"/>
      <c r="V20" s="453"/>
      <c r="W20" s="453"/>
      <c r="X20" s="453"/>
      <c r="Y20" s="453"/>
      <c r="Z20" s="453"/>
    </row>
    <row r="21" spans="1:26" ht="15">
      <c r="A21" s="447"/>
      <c r="B21" s="453" t="s">
        <v>763</v>
      </c>
      <c r="C21" s="447"/>
      <c r="D21" s="447"/>
      <c r="E21" s="447"/>
      <c r="F21" s="447"/>
      <c r="G21" s="447"/>
      <c r="H21" s="447"/>
      <c r="R21" s="452"/>
      <c r="S21" s="453"/>
      <c r="U21" s="453"/>
      <c r="V21" s="453"/>
      <c r="W21" s="453"/>
      <c r="X21" s="453"/>
      <c r="Y21" s="453"/>
      <c r="Z21" s="453"/>
    </row>
    <row r="22" spans="1:26" ht="15">
      <c r="A22" s="447"/>
      <c r="B22" s="453" t="s">
        <v>764</v>
      </c>
      <c r="C22" s="447"/>
      <c r="D22" s="447"/>
      <c r="E22" s="447"/>
      <c r="F22" s="447"/>
      <c r="G22" s="447"/>
      <c r="H22" s="447"/>
      <c r="R22" s="452"/>
      <c r="S22" s="453"/>
      <c r="T22" s="453"/>
      <c r="U22" s="453"/>
      <c r="V22" s="453"/>
      <c r="W22" s="453"/>
      <c r="X22" s="453"/>
      <c r="Y22" s="453"/>
      <c r="Z22" s="453"/>
    </row>
    <row r="23" spans="1:26" ht="15">
      <c r="A23" s="447"/>
      <c r="B23" s="447"/>
      <c r="C23" s="447"/>
      <c r="D23" s="447"/>
      <c r="E23" s="447"/>
      <c r="F23" s="447"/>
      <c r="G23" s="447"/>
      <c r="H23" s="447"/>
    </row>
    <row r="24" spans="1:26">
      <c r="A24" s="272"/>
      <c r="D24" s="567"/>
      <c r="E24" s="567"/>
      <c r="H24" s="276"/>
    </row>
    <row r="25" spans="1:26">
      <c r="A25" s="272">
        <v>9</v>
      </c>
      <c r="B25" s="3" t="s">
        <v>765</v>
      </c>
      <c r="D25" s="567"/>
      <c r="E25" s="567"/>
      <c r="F25" s="567"/>
      <c r="G25" s="567"/>
      <c r="H25" s="276"/>
      <c r="I25" s="567"/>
      <c r="J25" s="567"/>
      <c r="K25" s="567"/>
      <c r="L25" s="567"/>
    </row>
    <row r="26" spans="1:26">
      <c r="A26" s="272">
        <v>10</v>
      </c>
      <c r="B26" s="461">
        <v>2020</v>
      </c>
      <c r="F26" s="462"/>
    </row>
    <row r="27" spans="1:26">
      <c r="A27" s="275"/>
      <c r="B27" s="289" t="s">
        <v>430</v>
      </c>
      <c r="C27" s="289" t="s">
        <v>432</v>
      </c>
      <c r="D27" s="463" t="s">
        <v>285</v>
      </c>
      <c r="E27" s="464" t="s">
        <v>287</v>
      </c>
      <c r="F27" s="464" t="s">
        <v>289</v>
      </c>
      <c r="G27" s="464" t="s">
        <v>291</v>
      </c>
      <c r="H27" s="464" t="s">
        <v>293</v>
      </c>
      <c r="I27" s="464" t="s">
        <v>301</v>
      </c>
      <c r="J27" s="464" t="s">
        <v>303</v>
      </c>
      <c r="K27" s="464" t="s">
        <v>305</v>
      </c>
      <c r="L27" s="464" t="s">
        <v>307</v>
      </c>
      <c r="M27" s="464" t="s">
        <v>766</v>
      </c>
      <c r="N27" s="464" t="s">
        <v>311</v>
      </c>
      <c r="O27" s="465" t="s">
        <v>445</v>
      </c>
      <c r="P27" s="292" t="s">
        <v>315</v>
      </c>
      <c r="Q27" s="466" t="s">
        <v>317</v>
      </c>
    </row>
    <row r="28" spans="1:26">
      <c r="A28" s="272"/>
      <c r="B28" s="286"/>
      <c r="C28" s="278"/>
      <c r="D28" s="291"/>
      <c r="E28" s="276"/>
      <c r="F28" s="276"/>
      <c r="G28" s="275"/>
      <c r="H28" s="276"/>
      <c r="J28" s="276"/>
      <c r="O28" s="467"/>
      <c r="P28" s="277"/>
      <c r="Q28" s="286"/>
    </row>
    <row r="29" spans="1:26">
      <c r="A29" s="272"/>
      <c r="B29" s="288"/>
      <c r="C29" s="290"/>
      <c r="D29" s="291"/>
      <c r="E29" s="276"/>
      <c r="F29" s="276"/>
      <c r="G29" s="276"/>
      <c r="H29" s="276"/>
      <c r="I29" s="276"/>
      <c r="J29" s="276"/>
      <c r="K29" s="276"/>
      <c r="L29" s="276"/>
      <c r="M29" s="276"/>
      <c r="N29" s="276"/>
      <c r="O29" s="468"/>
      <c r="P29" s="291"/>
      <c r="Q29" s="290"/>
    </row>
    <row r="30" spans="1:26">
      <c r="A30" s="272"/>
      <c r="B30" s="290" t="s">
        <v>503</v>
      </c>
      <c r="C30" s="290"/>
      <c r="D30" s="568" t="s">
        <v>767</v>
      </c>
      <c r="E30" s="567"/>
      <c r="F30" s="567"/>
      <c r="G30" s="567"/>
      <c r="H30" s="567"/>
      <c r="I30" s="567"/>
      <c r="J30" s="567"/>
      <c r="K30" s="567"/>
      <c r="L30" s="567"/>
      <c r="M30" s="567"/>
      <c r="N30" s="567"/>
      <c r="O30" s="569"/>
      <c r="P30" s="291" t="s">
        <v>502</v>
      </c>
      <c r="Q30" s="290" t="s">
        <v>502</v>
      </c>
    </row>
    <row r="31" spans="1:26">
      <c r="A31" s="272"/>
      <c r="B31" s="282" t="s">
        <v>511</v>
      </c>
      <c r="C31" s="282" t="s">
        <v>512</v>
      </c>
      <c r="D31" s="469" t="s">
        <v>572</v>
      </c>
      <c r="E31" s="470" t="s">
        <v>573</v>
      </c>
      <c r="F31" s="471" t="s">
        <v>642</v>
      </c>
      <c r="G31" s="471" t="s">
        <v>575</v>
      </c>
      <c r="H31" s="470" t="s">
        <v>576</v>
      </c>
      <c r="I31" s="470" t="s">
        <v>577</v>
      </c>
      <c r="J31" s="470" t="s">
        <v>578</v>
      </c>
      <c r="K31" s="470" t="s">
        <v>643</v>
      </c>
      <c r="L31" s="470" t="s">
        <v>580</v>
      </c>
      <c r="M31" s="470" t="s">
        <v>581</v>
      </c>
      <c r="N31" s="470" t="s">
        <v>582</v>
      </c>
      <c r="O31" s="472" t="s">
        <v>644</v>
      </c>
      <c r="P31" s="469" t="s">
        <v>768</v>
      </c>
      <c r="Q31" s="282" t="s">
        <v>539</v>
      </c>
    </row>
    <row r="32" spans="1:26">
      <c r="A32" s="272">
        <v>11</v>
      </c>
      <c r="B32" s="300"/>
      <c r="C32" s="300"/>
      <c r="D32" s="301"/>
      <c r="E32" s="473"/>
      <c r="F32" s="473"/>
      <c r="G32" s="473"/>
      <c r="H32" s="473"/>
      <c r="I32" s="474"/>
      <c r="J32" s="474"/>
      <c r="K32" s="474"/>
      <c r="L32" s="474"/>
      <c r="M32" s="475"/>
      <c r="N32" s="475"/>
      <c r="O32" s="476"/>
      <c r="P32" s="477"/>
      <c r="Q32" s="288"/>
    </row>
    <row r="33" spans="1:17">
      <c r="A33" s="272" t="s">
        <v>769</v>
      </c>
      <c r="B33" s="300"/>
      <c r="C33" s="300"/>
      <c r="D33" s="301"/>
      <c r="E33" s="473"/>
      <c r="F33" s="473"/>
      <c r="G33" s="473"/>
      <c r="H33" s="473"/>
      <c r="I33" s="473"/>
      <c r="J33" s="473"/>
      <c r="K33" s="474"/>
      <c r="L33" s="474"/>
      <c r="M33" s="475"/>
      <c r="N33" s="475"/>
      <c r="O33" s="476"/>
      <c r="P33" s="478">
        <f>+H17</f>
        <v>3.7342857142857136E-2</v>
      </c>
      <c r="Q33" s="479">
        <f>+P33*(D33+E33*0.91667+F33*0.83333+G33*0.75+H33*0.66667+I33*7/12+J33*6/12+K33*5/12+L33*4/12+M33*3/12+N33*2/12+O33*1/12)+P33*1.5*SUM(D33:O33)</f>
        <v>0</v>
      </c>
    </row>
    <row r="34" spans="1:17">
      <c r="A34" s="272" t="s">
        <v>770</v>
      </c>
      <c r="B34" s="300"/>
      <c r="C34" s="300"/>
      <c r="D34" s="301"/>
      <c r="E34" s="473"/>
      <c r="F34" s="473"/>
      <c r="G34" s="473"/>
      <c r="H34" s="473"/>
      <c r="I34" s="473"/>
      <c r="J34" s="473"/>
      <c r="K34" s="474"/>
      <c r="L34" s="474"/>
      <c r="M34" s="475"/>
      <c r="N34" s="475"/>
      <c r="O34" s="476"/>
      <c r="P34" s="478">
        <f>+P33</f>
        <v>3.7342857142857136E-2</v>
      </c>
      <c r="Q34" s="479">
        <f t="shared" ref="Q34:Q51" si="2">+P34*(D34+E34*0.91667+F34*0.83333+G34*0.75+H34*0.66667+I34*7/12+J34*6/12+K34*5/12+L34*4/12+M34*3/12+N34*2/12+O34*1/12)+P34*1.5*SUM(D34:O34)</f>
        <v>0</v>
      </c>
    </row>
    <row r="35" spans="1:17">
      <c r="A35" s="272" t="s">
        <v>771</v>
      </c>
      <c r="B35" s="300"/>
      <c r="C35" s="300"/>
      <c r="D35" s="301"/>
      <c r="E35" s="473"/>
      <c r="F35" s="473"/>
      <c r="G35" s="473"/>
      <c r="H35" s="473"/>
      <c r="I35" s="473"/>
      <c r="J35" s="473"/>
      <c r="K35" s="474"/>
      <c r="L35" s="474"/>
      <c r="M35" s="475"/>
      <c r="N35" s="475"/>
      <c r="O35" s="476"/>
      <c r="P35" s="478">
        <f t="shared" ref="P35:P51" si="3">+P34</f>
        <v>3.7342857142857136E-2</v>
      </c>
      <c r="Q35" s="479">
        <f t="shared" si="2"/>
        <v>0</v>
      </c>
    </row>
    <row r="36" spans="1:17">
      <c r="A36" s="272" t="s">
        <v>617</v>
      </c>
      <c r="B36" s="300"/>
      <c r="C36" s="300"/>
      <c r="D36" s="301"/>
      <c r="E36" s="473"/>
      <c r="F36" s="473"/>
      <c r="G36" s="473"/>
      <c r="H36" s="473"/>
      <c r="I36" s="473"/>
      <c r="J36" s="473"/>
      <c r="K36" s="474"/>
      <c r="L36" s="474"/>
      <c r="M36" s="475"/>
      <c r="N36" s="475"/>
      <c r="O36" s="476"/>
      <c r="P36" s="478">
        <f t="shared" si="3"/>
        <v>3.7342857142857136E-2</v>
      </c>
      <c r="Q36" s="479">
        <f t="shared" si="2"/>
        <v>0</v>
      </c>
    </row>
    <row r="37" spans="1:17">
      <c r="A37" s="272"/>
      <c r="B37" s="300"/>
      <c r="C37" s="300"/>
      <c r="D37" s="301"/>
      <c r="E37" s="473"/>
      <c r="F37" s="473"/>
      <c r="G37" s="473"/>
      <c r="H37" s="473"/>
      <c r="I37" s="473"/>
      <c r="J37" s="473"/>
      <c r="K37" s="474"/>
      <c r="L37" s="474"/>
      <c r="M37" s="475"/>
      <c r="N37" s="475"/>
      <c r="O37" s="476"/>
      <c r="P37" s="478">
        <f t="shared" si="3"/>
        <v>3.7342857142857136E-2</v>
      </c>
      <c r="Q37" s="479">
        <f t="shared" si="2"/>
        <v>0</v>
      </c>
    </row>
    <row r="38" spans="1:17">
      <c r="A38" s="272"/>
      <c r="B38" s="300"/>
      <c r="C38" s="300"/>
      <c r="D38" s="301"/>
      <c r="E38" s="473"/>
      <c r="F38" s="473"/>
      <c r="G38" s="473"/>
      <c r="H38" s="473"/>
      <c r="I38" s="473"/>
      <c r="J38" s="473"/>
      <c r="K38" s="474"/>
      <c r="L38" s="474"/>
      <c r="M38" s="475"/>
      <c r="N38" s="475"/>
      <c r="O38" s="476"/>
      <c r="P38" s="478">
        <f t="shared" si="3"/>
        <v>3.7342857142857136E-2</v>
      </c>
      <c r="Q38" s="479">
        <f t="shared" si="2"/>
        <v>0</v>
      </c>
    </row>
    <row r="39" spans="1:17">
      <c r="A39" s="272"/>
      <c r="B39" s="300"/>
      <c r="C39" s="300"/>
      <c r="D39" s="301"/>
      <c r="E39" s="473"/>
      <c r="F39" s="473"/>
      <c r="G39" s="473"/>
      <c r="H39" s="473"/>
      <c r="I39" s="473"/>
      <c r="J39" s="473"/>
      <c r="K39" s="474"/>
      <c r="L39" s="474"/>
      <c r="M39" s="475"/>
      <c r="N39" s="475"/>
      <c r="O39" s="476"/>
      <c r="P39" s="478">
        <f t="shared" si="3"/>
        <v>3.7342857142857136E-2</v>
      </c>
      <c r="Q39" s="479">
        <f t="shared" si="2"/>
        <v>0</v>
      </c>
    </row>
    <row r="40" spans="1:17">
      <c r="A40" s="272"/>
      <c r="B40" s="300"/>
      <c r="C40" s="300"/>
      <c r="D40" s="301"/>
      <c r="E40" s="473"/>
      <c r="F40" s="473"/>
      <c r="G40" s="473"/>
      <c r="H40" s="473"/>
      <c r="I40" s="473"/>
      <c r="J40" s="473"/>
      <c r="K40" s="474"/>
      <c r="L40" s="474"/>
      <c r="M40" s="475"/>
      <c r="N40" s="475"/>
      <c r="O40" s="476"/>
      <c r="P40" s="478">
        <f t="shared" si="3"/>
        <v>3.7342857142857136E-2</v>
      </c>
      <c r="Q40" s="479">
        <f t="shared" si="2"/>
        <v>0</v>
      </c>
    </row>
    <row r="41" spans="1:17">
      <c r="A41" s="272"/>
      <c r="B41" s="300"/>
      <c r="C41" s="300"/>
      <c r="D41" s="301"/>
      <c r="E41" s="473"/>
      <c r="F41" s="473"/>
      <c r="G41" s="473"/>
      <c r="H41" s="473"/>
      <c r="I41" s="473"/>
      <c r="J41" s="473"/>
      <c r="K41" s="474"/>
      <c r="L41" s="474"/>
      <c r="M41" s="475"/>
      <c r="N41" s="475"/>
      <c r="O41" s="476"/>
      <c r="P41" s="478">
        <f t="shared" si="3"/>
        <v>3.7342857142857136E-2</v>
      </c>
      <c r="Q41" s="479">
        <f t="shared" si="2"/>
        <v>0</v>
      </c>
    </row>
    <row r="42" spans="1:17">
      <c r="A42" s="272"/>
      <c r="B42" s="300"/>
      <c r="C42" s="300"/>
      <c r="D42" s="301"/>
      <c r="E42" s="473"/>
      <c r="F42" s="473"/>
      <c r="G42" s="473"/>
      <c r="H42" s="473"/>
      <c r="I42" s="473"/>
      <c r="J42" s="473"/>
      <c r="K42" s="474"/>
      <c r="L42" s="474"/>
      <c r="M42" s="475"/>
      <c r="N42" s="475"/>
      <c r="O42" s="476"/>
      <c r="P42" s="478">
        <f t="shared" si="3"/>
        <v>3.7342857142857136E-2</v>
      </c>
      <c r="Q42" s="479">
        <f t="shared" si="2"/>
        <v>0</v>
      </c>
    </row>
    <row r="43" spans="1:17">
      <c r="A43" s="272"/>
      <c r="B43" s="300"/>
      <c r="C43" s="300"/>
      <c r="D43" s="301"/>
      <c r="E43" s="473"/>
      <c r="F43" s="473"/>
      <c r="G43" s="473"/>
      <c r="H43" s="473"/>
      <c r="I43" s="473"/>
      <c r="J43" s="473"/>
      <c r="K43" s="474"/>
      <c r="L43" s="474"/>
      <c r="M43" s="475"/>
      <c r="N43" s="475"/>
      <c r="O43" s="476"/>
      <c r="P43" s="478">
        <f t="shared" si="3"/>
        <v>3.7342857142857136E-2</v>
      </c>
      <c r="Q43" s="479">
        <f t="shared" si="2"/>
        <v>0</v>
      </c>
    </row>
    <row r="44" spans="1:17">
      <c r="A44" s="272"/>
      <c r="B44" s="300"/>
      <c r="C44" s="300"/>
      <c r="D44" s="301"/>
      <c r="E44" s="473"/>
      <c r="F44" s="473"/>
      <c r="G44" s="473"/>
      <c r="H44" s="473"/>
      <c r="I44" s="473"/>
      <c r="J44" s="473"/>
      <c r="K44" s="474"/>
      <c r="L44" s="474"/>
      <c r="M44" s="475"/>
      <c r="N44" s="475"/>
      <c r="O44" s="476"/>
      <c r="P44" s="478">
        <f t="shared" si="3"/>
        <v>3.7342857142857136E-2</v>
      </c>
      <c r="Q44" s="479">
        <f t="shared" si="2"/>
        <v>0</v>
      </c>
    </row>
    <row r="45" spans="1:17">
      <c r="A45" s="272"/>
      <c r="B45" s="300"/>
      <c r="C45" s="300"/>
      <c r="D45" s="301"/>
      <c r="E45" s="473"/>
      <c r="F45" s="473"/>
      <c r="G45" s="473"/>
      <c r="H45" s="473"/>
      <c r="I45" s="473"/>
      <c r="J45" s="473"/>
      <c r="K45" s="474"/>
      <c r="L45" s="474"/>
      <c r="M45" s="475"/>
      <c r="N45" s="475"/>
      <c r="O45" s="476"/>
      <c r="P45" s="478">
        <f t="shared" si="3"/>
        <v>3.7342857142857136E-2</v>
      </c>
      <c r="Q45" s="479">
        <f t="shared" si="2"/>
        <v>0</v>
      </c>
    </row>
    <row r="46" spans="1:17">
      <c r="A46" s="272"/>
      <c r="B46" s="300"/>
      <c r="C46" s="300"/>
      <c r="D46" s="301"/>
      <c r="E46" s="473"/>
      <c r="F46" s="473"/>
      <c r="G46" s="473"/>
      <c r="H46" s="473"/>
      <c r="I46" s="473"/>
      <c r="J46" s="473"/>
      <c r="K46" s="474"/>
      <c r="L46" s="474"/>
      <c r="M46" s="475"/>
      <c r="N46" s="475"/>
      <c r="O46" s="476"/>
      <c r="P46" s="478">
        <f t="shared" si="3"/>
        <v>3.7342857142857136E-2</v>
      </c>
      <c r="Q46" s="479">
        <f t="shared" si="2"/>
        <v>0</v>
      </c>
    </row>
    <row r="47" spans="1:17">
      <c r="A47" s="272"/>
      <c r="B47" s="300"/>
      <c r="C47" s="300"/>
      <c r="D47" s="301"/>
      <c r="E47" s="473"/>
      <c r="F47" s="473"/>
      <c r="G47" s="473"/>
      <c r="H47" s="473"/>
      <c r="I47" s="473"/>
      <c r="J47" s="473"/>
      <c r="K47" s="474"/>
      <c r="L47" s="474"/>
      <c r="M47" s="475"/>
      <c r="N47" s="475"/>
      <c r="O47" s="476"/>
      <c r="P47" s="478">
        <f t="shared" si="3"/>
        <v>3.7342857142857136E-2</v>
      </c>
      <c r="Q47" s="479">
        <f t="shared" si="2"/>
        <v>0</v>
      </c>
    </row>
    <row r="48" spans="1:17">
      <c r="A48" s="272"/>
      <c r="B48" s="300"/>
      <c r="C48" s="300"/>
      <c r="D48" s="301"/>
      <c r="E48" s="473"/>
      <c r="F48" s="473"/>
      <c r="G48" s="473"/>
      <c r="H48" s="473"/>
      <c r="I48" s="473"/>
      <c r="J48" s="473"/>
      <c r="K48" s="474"/>
      <c r="L48" s="474"/>
      <c r="M48" s="475"/>
      <c r="N48" s="475"/>
      <c r="O48" s="476"/>
      <c r="P48" s="478">
        <f t="shared" si="3"/>
        <v>3.7342857142857136E-2</v>
      </c>
      <c r="Q48" s="479">
        <f t="shared" si="2"/>
        <v>0</v>
      </c>
    </row>
    <row r="49" spans="1:17">
      <c r="A49" s="272"/>
      <c r="B49" s="300"/>
      <c r="C49" s="300"/>
      <c r="D49" s="301"/>
      <c r="E49" s="473"/>
      <c r="F49" s="473"/>
      <c r="G49" s="473"/>
      <c r="H49" s="473"/>
      <c r="I49" s="473"/>
      <c r="J49" s="473"/>
      <c r="K49" s="474"/>
      <c r="L49" s="474"/>
      <c r="M49" s="475"/>
      <c r="N49" s="475"/>
      <c r="O49" s="476"/>
      <c r="P49" s="478">
        <f t="shared" si="3"/>
        <v>3.7342857142857136E-2</v>
      </c>
      <c r="Q49" s="479">
        <f t="shared" si="2"/>
        <v>0</v>
      </c>
    </row>
    <row r="50" spans="1:17">
      <c r="A50" s="272"/>
      <c r="B50" s="300"/>
      <c r="C50" s="300"/>
      <c r="D50" s="301"/>
      <c r="E50" s="473"/>
      <c r="F50" s="473"/>
      <c r="G50" s="473"/>
      <c r="H50" s="473"/>
      <c r="I50" s="473"/>
      <c r="J50" s="473"/>
      <c r="K50" s="474"/>
      <c r="L50" s="474"/>
      <c r="M50" s="475"/>
      <c r="N50" s="475"/>
      <c r="O50" s="476"/>
      <c r="P50" s="478">
        <f t="shared" si="3"/>
        <v>3.7342857142857136E-2</v>
      </c>
      <c r="Q50" s="479">
        <f t="shared" si="2"/>
        <v>0</v>
      </c>
    </row>
    <row r="51" spans="1:17">
      <c r="A51" s="272"/>
      <c r="B51" s="300"/>
      <c r="C51" s="300"/>
      <c r="D51" s="301"/>
      <c r="E51" s="473"/>
      <c r="F51" s="473"/>
      <c r="G51" s="473"/>
      <c r="H51" s="473"/>
      <c r="I51" s="473"/>
      <c r="J51" s="473"/>
      <c r="K51" s="474"/>
      <c r="L51" s="474"/>
      <c r="M51" s="475"/>
      <c r="N51" s="475"/>
      <c r="O51" s="476"/>
      <c r="P51" s="478">
        <f t="shared" si="3"/>
        <v>3.7342857142857136E-2</v>
      </c>
      <c r="Q51" s="479">
        <f t="shared" si="2"/>
        <v>0</v>
      </c>
    </row>
    <row r="52" spans="1:17">
      <c r="A52" s="272"/>
      <c r="B52" s="304"/>
      <c r="C52" s="304"/>
      <c r="D52" s="305"/>
      <c r="E52" s="480"/>
      <c r="F52" s="283"/>
      <c r="G52" s="480"/>
      <c r="H52" s="481"/>
      <c r="I52" s="283"/>
      <c r="J52" s="283"/>
      <c r="K52" s="283"/>
      <c r="L52" s="283"/>
      <c r="M52" s="283"/>
      <c r="N52" s="283"/>
      <c r="O52" s="284"/>
      <c r="P52" s="482"/>
      <c r="Q52" s="304"/>
    </row>
    <row r="53" spans="1:17">
      <c r="A53" s="272"/>
      <c r="D53" s="22"/>
      <c r="E53" s="22"/>
      <c r="F53" s="22"/>
      <c r="G53" s="22"/>
      <c r="H53" s="22"/>
      <c r="I53" s="22"/>
      <c r="J53" s="22"/>
      <c r="K53" s="22"/>
      <c r="L53" s="22"/>
    </row>
    <row r="54" spans="1:17">
      <c r="A54" s="272"/>
      <c r="B54" s="3" t="s">
        <v>541</v>
      </c>
      <c r="D54" s="22"/>
      <c r="E54" s="22"/>
      <c r="F54" s="22"/>
      <c r="G54" s="22"/>
      <c r="H54" s="22"/>
      <c r="I54" s="22"/>
      <c r="J54" s="22"/>
      <c r="K54" s="22"/>
      <c r="L54" s="22"/>
    </row>
    <row r="55" spans="1:17">
      <c r="A55" s="272"/>
      <c r="B55" s="3" t="s">
        <v>772</v>
      </c>
      <c r="D55" s="22"/>
      <c r="E55" s="22"/>
      <c r="F55" s="22"/>
      <c r="G55" s="22"/>
      <c r="H55" s="22"/>
      <c r="I55" s="22"/>
      <c r="J55" s="22"/>
      <c r="K55" s="22"/>
      <c r="L55" s="22"/>
    </row>
    <row r="56" spans="1:17">
      <c r="A56" s="272"/>
      <c r="B56" s="3" t="s">
        <v>773</v>
      </c>
      <c r="D56" s="22"/>
      <c r="E56" s="22"/>
      <c r="F56" s="22"/>
      <c r="G56" s="22"/>
      <c r="H56" s="22"/>
      <c r="I56" s="22"/>
      <c r="J56" s="22"/>
      <c r="K56" s="22"/>
      <c r="L56" s="22"/>
    </row>
    <row r="70" ht="24" customHeight="1"/>
  </sheetData>
  <mergeCells count="5">
    <mergeCell ref="D24:E24"/>
    <mergeCell ref="D25:E25"/>
    <mergeCell ref="F25:G25"/>
    <mergeCell ref="I25:L25"/>
    <mergeCell ref="D30:O30"/>
  </mergeCells>
  <pageMargins left="0.25" right="0.25" top="0.75" bottom="0.75" header="0.3" footer="0.3"/>
  <pageSetup scale="49"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347D2-3971-4442-B624-8C2E1EE31D99}">
  <sheetPr>
    <pageSetUpPr fitToPage="1"/>
  </sheetPr>
  <dimension ref="A1:M68"/>
  <sheetViews>
    <sheetView zoomScale="85" zoomScaleNormal="85" zoomScaleSheetLayoutView="75" workbookViewId="0">
      <selection activeCell="K108" sqref="K108"/>
    </sheetView>
  </sheetViews>
  <sheetFormatPr defaultRowHeight="15"/>
  <cols>
    <col min="2" max="2" width="43.77734375" customWidth="1"/>
    <col min="3" max="3" width="15.5546875" customWidth="1"/>
    <col min="4" max="4" width="16.21875" customWidth="1"/>
  </cols>
  <sheetData>
    <row r="1" spans="1:6" ht="15.75">
      <c r="A1" s="445"/>
      <c r="C1" s="483" t="s">
        <v>774</v>
      </c>
      <c r="F1" s="484" t="s">
        <v>450</v>
      </c>
    </row>
    <row r="2" spans="1:6">
      <c r="C2" s="485" t="s">
        <v>775</v>
      </c>
    </row>
    <row r="3" spans="1:6">
      <c r="C3" s="239" t="str">
        <f>'Attachment H'!$D$5</f>
        <v>NextEra Energy Transmission MidAtlantic Indiana, Inc.</v>
      </c>
    </row>
    <row r="4" spans="1:6">
      <c r="C4" s="486"/>
    </row>
    <row r="5" spans="1:6">
      <c r="A5" s="487"/>
      <c r="B5" s="488" t="s">
        <v>776</v>
      </c>
      <c r="C5" s="489"/>
      <c r="D5" s="490"/>
    </row>
    <row r="6" spans="1:6">
      <c r="A6" s="487"/>
      <c r="B6" s="491" t="s">
        <v>535</v>
      </c>
      <c r="C6" s="489"/>
      <c r="D6" s="491" t="s">
        <v>536</v>
      </c>
      <c r="E6" s="491"/>
    </row>
    <row r="7" spans="1:6">
      <c r="A7" s="487"/>
      <c r="B7" s="489"/>
      <c r="C7" s="489"/>
      <c r="D7" s="492"/>
    </row>
    <row r="8" spans="1:6">
      <c r="A8" s="346">
        <v>1</v>
      </c>
      <c r="B8" s="3"/>
      <c r="C8" s="493"/>
      <c r="D8" s="494" t="s">
        <v>777</v>
      </c>
      <c r="E8" s="495"/>
    </row>
    <row r="9" spans="1:6">
      <c r="A9" s="346">
        <v>2</v>
      </c>
      <c r="B9" s="496" t="s">
        <v>778</v>
      </c>
      <c r="C9" s="496"/>
      <c r="D9" s="497">
        <v>0</v>
      </c>
      <c r="E9" s="22"/>
    </row>
    <row r="10" spans="1:6">
      <c r="A10" s="346">
        <v>3</v>
      </c>
      <c r="B10" s="496" t="s">
        <v>779</v>
      </c>
      <c r="C10" s="496"/>
      <c r="D10" s="497">
        <v>0</v>
      </c>
      <c r="E10" s="22"/>
    </row>
    <row r="11" spans="1:6">
      <c r="A11" s="346">
        <v>4</v>
      </c>
      <c r="B11" s="496" t="s">
        <v>780</v>
      </c>
      <c r="C11" s="496"/>
      <c r="D11" s="73">
        <f>IF(D9=0,0,D9/D10)</f>
        <v>0</v>
      </c>
      <c r="E11" s="22"/>
    </row>
    <row r="12" spans="1:6">
      <c r="A12" s="346">
        <v>5</v>
      </c>
      <c r="B12" s="496" t="s">
        <v>781</v>
      </c>
      <c r="C12" s="496"/>
      <c r="D12" s="498">
        <v>0</v>
      </c>
      <c r="E12" s="22"/>
    </row>
    <row r="13" spans="1:6">
      <c r="A13" s="346">
        <v>6</v>
      </c>
      <c r="B13" s="496" t="s">
        <v>782</v>
      </c>
      <c r="C13" s="496" t="s">
        <v>783</v>
      </c>
      <c r="D13" s="22">
        <f>D11*D12</f>
        <v>0</v>
      </c>
      <c r="E13" s="22"/>
    </row>
    <row r="14" spans="1:6">
      <c r="A14" s="346">
        <v>7</v>
      </c>
      <c r="B14" s="496" t="s">
        <v>784</v>
      </c>
      <c r="C14" s="496"/>
      <c r="D14" s="22"/>
      <c r="E14" s="22"/>
    </row>
    <row r="15" spans="1:6">
      <c r="A15" s="3"/>
      <c r="B15" s="3"/>
      <c r="C15" s="3"/>
      <c r="D15" s="3"/>
      <c r="E15" s="3"/>
    </row>
    <row r="16" spans="1:6" ht="25.5">
      <c r="A16" s="346">
        <v>8</v>
      </c>
      <c r="B16" s="499" t="s">
        <v>785</v>
      </c>
      <c r="C16" s="3"/>
      <c r="D16" s="500"/>
      <c r="E16" s="25"/>
    </row>
    <row r="18" spans="1:13">
      <c r="A18" s="501" t="s">
        <v>279</v>
      </c>
      <c r="B18" s="501"/>
      <c r="C18" s="139"/>
      <c r="D18" s="139"/>
      <c r="E18" s="139"/>
      <c r="F18" s="139"/>
      <c r="G18" s="139"/>
      <c r="H18" s="139"/>
      <c r="I18" s="139"/>
      <c r="J18" s="139"/>
      <c r="K18" s="139"/>
      <c r="L18" s="139"/>
      <c r="M18" s="139"/>
    </row>
    <row r="19" spans="1:13" ht="15.75" thickBot="1">
      <c r="A19" s="502" t="s">
        <v>280</v>
      </c>
      <c r="B19" s="501"/>
      <c r="C19" s="139"/>
      <c r="D19" s="139"/>
      <c r="E19" s="139"/>
      <c r="F19" s="139"/>
      <c r="G19" s="139"/>
      <c r="H19" s="139"/>
      <c r="I19" s="139"/>
      <c r="J19" s="139"/>
      <c r="K19" s="139"/>
      <c r="L19" s="139"/>
      <c r="M19" s="139"/>
    </row>
    <row r="20" spans="1:13">
      <c r="A20" s="503" t="s">
        <v>430</v>
      </c>
      <c r="B20" s="504" t="s">
        <v>786</v>
      </c>
      <c r="C20" s="505"/>
      <c r="D20" s="505"/>
      <c r="E20" s="505"/>
      <c r="F20" s="505"/>
      <c r="G20" s="505"/>
      <c r="H20" s="506"/>
      <c r="I20" s="506"/>
      <c r="J20" s="506"/>
      <c r="K20" s="506"/>
      <c r="L20" s="506"/>
      <c r="M20" s="506"/>
    </row>
    <row r="21" spans="1:13">
      <c r="A21" s="507"/>
      <c r="B21" s="508"/>
      <c r="C21" s="508"/>
      <c r="D21" s="508"/>
      <c r="E21" s="508"/>
      <c r="F21" s="508"/>
      <c r="G21" s="508"/>
    </row>
    <row r="22" spans="1:13">
      <c r="A22" s="508"/>
      <c r="B22" s="508"/>
      <c r="C22" s="508"/>
      <c r="D22" s="508"/>
      <c r="E22" s="508"/>
      <c r="F22" s="508"/>
      <c r="G22" s="508"/>
    </row>
    <row r="68" ht="24" customHeight="1"/>
  </sheetData>
  <pageMargins left="0.7" right="0.7" top="0.75" bottom="0.75" header="0.3" footer="0.3"/>
  <pageSetup scale="74"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Attachment H</vt:lpstr>
      <vt:lpstr>1-Project Rev Req</vt:lpstr>
      <vt:lpstr>2-Incentive ROE</vt:lpstr>
      <vt:lpstr>3-Project True-up</vt:lpstr>
      <vt:lpstr>4- Rate Base</vt:lpstr>
      <vt:lpstr>4a-Projection ADIT</vt:lpstr>
      <vt:lpstr>5-P3 Support</vt:lpstr>
      <vt:lpstr>6-True-Up Interest</vt:lpstr>
      <vt:lpstr>7 - PBOP</vt:lpstr>
      <vt:lpstr>8-Dep Rates</vt:lpstr>
      <vt:lpstr>'1-Project Rev Req'!Print_Area</vt:lpstr>
      <vt:lpstr>'2-Incentive ROE'!Print_Area</vt:lpstr>
      <vt:lpstr>'4- Rate Base'!Print_Area</vt:lpstr>
      <vt:lpstr>'4a-Projection ADIT'!Print_Area</vt:lpstr>
      <vt:lpstr>'5-P3 Support'!Print_Area</vt:lpstr>
      <vt:lpstr>'7 - PBOP'!Print_Area</vt:lpstr>
      <vt:lpstr>'8-Dep Rates'!Print_Area</vt:lpstr>
      <vt:lpstr>'Attachment H'!Print_Area</vt:lpstr>
    </vt:vector>
  </TitlesOfParts>
  <Company>NexteraEnergy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Weinstein, Carly</dc:creator>
  <cp:lastModifiedBy>Weinstein, Carly</cp:lastModifiedBy>
  <dcterms:created xsi:type="dcterms:W3CDTF">2021-05-14T17:56:22Z</dcterms:created>
  <dcterms:modified xsi:type="dcterms:W3CDTF">2021-05-19T01:41:43Z</dcterms:modified>
</cp:coreProperties>
</file>