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milib\AppData\Local\Temp\glcalrzb\"/>
    </mc:Choice>
  </mc:AlternateContent>
  <bookViews>
    <workbookView xWindow="5565" yWindow="4215" windowWidth="21600" windowHeight="11385" tabRatio="912" activeTab="0"/>
  </bookViews>
  <sheets>
    <sheet name="Attachment H-28A MAIT " sheetId="1" r:id="rId2"/>
    <sheet name="Attachment 1 - Sched 1A" sheetId="2" r:id="rId3"/>
    <sheet name="Attachment 2 - Incentive ROE" sheetId="31" r:id="rId4"/>
    <sheet name="Attachment 3 - Gross Plant" sheetId="13" r:id="rId5"/>
    <sheet name="Attachment 4 - Accum Depr" sheetId="14" r:id="rId6"/>
    <sheet name="Attachment 5 - ADIT" sheetId="15" r:id="rId7"/>
    <sheet name="Attch 5a - ADIT Normalization" sheetId="48" r:id="rId8"/>
    <sheet name="Attachment 5b - ADIT Detail" sheetId="51" r:id="rId9"/>
    <sheet name="Attachment 6 - PBOP" sheetId="33" r:id="rId10"/>
    <sheet name="Attachment 7 - Taxes Other " sheetId="19" r:id="rId11"/>
    <sheet name="Attachment 8 - Cap Structure" sheetId="22" r:id="rId12"/>
    <sheet name="Attach 9 - Stated-value Inputs" sheetId="26" r:id="rId13"/>
    <sheet name="Attachment 10 - Debt Cost" sheetId="42" r:id="rId14"/>
    <sheet name="Attachment 11 - TEC" sheetId="5" r:id="rId15"/>
    <sheet name="Attach 11a - TEC Cost Support" sheetId="39" r:id="rId16"/>
    <sheet name="Attachment 12 - TEC True-up" sheetId="6" r:id="rId17"/>
    <sheet name="Attachment 13 - Rev Req True-up" sheetId="25" r:id="rId18"/>
    <sheet name="Attach 13a-TEC Rev Req True up" sheetId="49" r:id="rId19"/>
    <sheet name="Attachment 14 - Other Rate Base" sheetId="52" r:id="rId20"/>
    <sheet name="Attachment 15 - Income Tax Adj" sheetId="35" r:id="rId21"/>
    <sheet name="Attach 16a Reg Asset-Storms" sheetId="41" r:id="rId22"/>
    <sheet name="Attach 16b Reg Asset-Veg Mgmt" sheetId="43" r:id="rId23"/>
    <sheet name="Attach 16c Reg Asset-start Cost" sheetId="44" r:id="rId24"/>
    <sheet name="Attachment 17 - Abandoned Plant" sheetId="36" r:id="rId25"/>
    <sheet name="Attachment 18 - CWIP" sheetId="32" r:id="rId26"/>
    <sheet name="Attachment 19 - Tax Rates" sheetId="27" r:id="rId27"/>
    <sheet name="Attachment 20 - O&amp;M and A&amp;G" sheetId="50" r:id="rId28"/>
    <sheet name="Attachment 21 - Revenue Credits" sheetId="53" r:id="rId29"/>
  </sheets>
  <externalReferences>
    <externalReference r:id="rId32"/>
    <externalReference r:id="rId33"/>
    <externalReference r:id="rId34"/>
    <externalReference r:id="rId35"/>
    <externalReference r:id="rId36"/>
    <externalReference r:id="rId37"/>
    <externalReference r:id="rId38"/>
  </externalReferences>
  <definedNames>
    <definedName name="___OFF2" localSheetId="26">'[1]DPLG-APRIL2001-TRANSCHECKOUT'!$AC$2:$AC$10</definedName>
    <definedName name="___OFF2" localSheetId="27">'[1]DPLG-APRIL2001-TRANSCHECKOUT'!$AC$2:$AC$10</definedName>
    <definedName name="___OFF2">'[2]DPLG-APRIL2001-TRANSCHECKOUT'!$AC$2:$AC$10</definedName>
    <definedName name="___PPP1" localSheetId="26">'[1]DPLG-APRIL2001-TRANSCHECKOUT'!$A$1:$D$27</definedName>
    <definedName name="___PPP1" localSheetId="27">'[1]DPLG-APRIL2001-TRANSCHECKOUT'!$A$1:$D$27</definedName>
    <definedName name="___PPP1">'[2]DPLG-APRIL2001-TRANSCHECKOUT'!$A$1:$D$27</definedName>
    <definedName name="__123Graph_A" localSheetId="17" hidden="1">'[3]AL2 151'!#REF!</definedName>
    <definedName name="__123Graph_A" localSheetId="26" hidden="1">'[3]AL2 151'!#REF!</definedName>
    <definedName name="__123Graph_A" localSheetId="27" hidden="1">'[3]AL2 151'!#REF!</definedName>
    <definedName name="__123Graph_A" localSheetId="6" hidden="1">'[3]AL2 151'!#REF!</definedName>
    <definedName name="__123Graph_A" hidden="1">'[3]AL2 151'!#REF!</definedName>
    <definedName name="__123Graph_B" localSheetId="17" hidden="1">'[3]AL2 151'!#REF!</definedName>
    <definedName name="__123Graph_B" localSheetId="26" hidden="1">'[3]AL2 151'!#REF!</definedName>
    <definedName name="__123Graph_B" localSheetId="6" hidden="1">'[3]AL2 151'!#REF!</definedName>
    <definedName name="__123Graph_B" hidden="1">'[3]AL2 151'!#REF!</definedName>
    <definedName name="__123Graph_C" localSheetId="17" hidden="1">'[3]AL2 151'!#REF!</definedName>
    <definedName name="__123Graph_C" localSheetId="26" hidden="1">'[3]AL2 151'!#REF!</definedName>
    <definedName name="__123Graph_C" localSheetId="6" hidden="1">'[3]AL2 151'!#REF!</definedName>
    <definedName name="__123Graph_C" hidden="1">'[3]AL2 151'!#REF!</definedName>
    <definedName name="__123Graph_D" localSheetId="17" hidden="1">'[3]AL2 151'!#REF!</definedName>
    <definedName name="__123Graph_D" localSheetId="26" hidden="1">'[3]AL2 151'!#REF!</definedName>
    <definedName name="__123Graph_D" localSheetId="6" hidden="1">'[3]AL2 151'!#REF!</definedName>
    <definedName name="__123Graph_D" hidden="1">'[3]AL2 151'!#REF!</definedName>
    <definedName name="__123Graph_E" localSheetId="17" hidden="1">'[3]AL2 151'!#REF!</definedName>
    <definedName name="__123Graph_E" localSheetId="6" hidden="1">'[3]AL2 151'!#REF!</definedName>
    <definedName name="__123Graph_E" hidden="1">'[3]AL2 151'!#REF!</definedName>
    <definedName name="__123Graph_F" localSheetId="17" hidden="1">'[3]AL2 151'!#REF!</definedName>
    <definedName name="__123Graph_F" localSheetId="6" hidden="1">'[3]AL2 151'!#REF!</definedName>
    <definedName name="__123Graph_F" hidden="1">'[3]AL2 151'!#REF!</definedName>
    <definedName name="__123Graph_X" localSheetId="17" hidden="1">'[3]AL2 151'!#REF!</definedName>
    <definedName name="__123Graph_X" localSheetId="6" hidden="1">'[3]AL2 151'!#REF!</definedName>
    <definedName name="__123Graph_X" hidden="1">'[3]AL2 151'!#REF!</definedName>
    <definedName name="_Key1" localSheetId="17" hidden="1">#REF!</definedName>
    <definedName name="_Key1" localSheetId="26" hidden="1">#REF!</definedName>
    <definedName name="_Key1" localSheetId="27" hidden="1">#REF!</definedName>
    <definedName name="_Key1" localSheetId="6" hidden="1">#REF!</definedName>
    <definedName name="_Key1" hidden="1">#REF!</definedName>
    <definedName name="_OFF2" localSheetId="26">'[1]DPLG-APRIL2001-TRANSCHECKOUT'!$AC$2:$AC$10</definedName>
    <definedName name="_OFF2" localSheetId="27">'[1]DPLG-APRIL2001-TRANSCHECKOUT'!$AC$2:$AC$10</definedName>
    <definedName name="_OFF2">'[2]DPLG-APRIL2001-TRANSCHECKOUT'!$AC$2:$AC$10</definedName>
    <definedName name="_Order1" hidden="1">255</definedName>
    <definedName name="_p.choice" localSheetId="17">#REF!</definedName>
    <definedName name="_p.choice" localSheetId="21">#REF!</definedName>
    <definedName name="_p.choice" localSheetId="22">#REF!</definedName>
    <definedName name="_p.choice" localSheetId="11">#REF!</definedName>
    <definedName name="_p.choice" localSheetId="12">#REF!</definedName>
    <definedName name="_p.choice" localSheetId="16">#REF!</definedName>
    <definedName name="_p.choice" localSheetId="25">#REF!</definedName>
    <definedName name="_p.choice" localSheetId="2">#REF!</definedName>
    <definedName name="_p.choice" localSheetId="26">#REF!</definedName>
    <definedName name="_p.choice" localSheetId="27">#REF!</definedName>
    <definedName name="_p.choice" localSheetId="6">#REF!</definedName>
    <definedName name="_p.choice">#REF!</definedName>
    <definedName name="_PPP1" localSheetId="26">'[1]DPLG-APRIL2001-TRANSCHECKOUT'!$A$1:$D$27</definedName>
    <definedName name="_PPP1" localSheetId="27">'[1]DPLG-APRIL2001-TRANSCHECKOUT'!$A$1:$D$27</definedName>
    <definedName name="_PPP1">'[2]DPLG-APRIL2001-TRANSCHECKOUT'!$A$1:$D$27</definedName>
    <definedName name="_Sort" localSheetId="17" hidden="1">#REF!</definedName>
    <definedName name="_Sort" localSheetId="26" hidden="1">#REF!</definedName>
    <definedName name="_Sort" localSheetId="27" hidden="1">#REF!</definedName>
    <definedName name="_Sort" localSheetId="6" hidden="1">#REF!</definedName>
    <definedName name="_Sort" hidden="1">#REF!</definedName>
    <definedName name="AA.print" localSheetId="17">#REF!</definedName>
    <definedName name="AA.print" localSheetId="21">#REF!</definedName>
    <definedName name="AA.print" localSheetId="22">#REF!</definedName>
    <definedName name="AA.print" localSheetId="11">#REF!</definedName>
    <definedName name="AA.print" localSheetId="12">#REF!</definedName>
    <definedName name="AA.print" localSheetId="16">#REF!</definedName>
    <definedName name="AA.print" localSheetId="25">#REF!</definedName>
    <definedName name="AA.print" localSheetId="2">#REF!</definedName>
    <definedName name="AA.print" localSheetId="27">#REF!</definedName>
    <definedName name="AA.print" localSheetId="6">#REF!</definedName>
    <definedName name="AA.print">#REF!</definedName>
    <definedName name="AB.print" localSheetId="17">#REF!</definedName>
    <definedName name="AB.print" localSheetId="21">#REF!</definedName>
    <definedName name="AB.print" localSheetId="22">#REF!</definedName>
    <definedName name="AB.print" localSheetId="12">#REF!</definedName>
    <definedName name="AB.print" localSheetId="16">#REF!</definedName>
    <definedName name="AB.print" localSheetId="25">#REF!</definedName>
    <definedName name="AB.print" localSheetId="2">#REF!</definedName>
    <definedName name="AB.print" localSheetId="27">#REF!</definedName>
    <definedName name="AB.print" localSheetId="6">#REF!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17">#REF!</definedName>
    <definedName name="AMHERST" localSheetId="21">#REF!</definedName>
    <definedName name="AMHERST" localSheetId="22">#REF!</definedName>
    <definedName name="AMHERST" localSheetId="16">#REF!</definedName>
    <definedName name="AMHERST" localSheetId="25">#REF!</definedName>
    <definedName name="AMHERST" localSheetId="2">#REF!</definedName>
    <definedName name="AMHERST" localSheetId="26">#REF!</definedName>
    <definedName name="AMHERST" localSheetId="27">#REF!</definedName>
    <definedName name="AMHERST" localSheetId="6">#REF!</definedName>
    <definedName name="AMHERST">#REF!</definedName>
    <definedName name="AO.print" localSheetId="17">#REF!</definedName>
    <definedName name="AO.print" localSheetId="21">#REF!</definedName>
    <definedName name="AO.print" localSheetId="22">#REF!</definedName>
    <definedName name="AO.print" localSheetId="12">#REF!</definedName>
    <definedName name="AO.print" localSheetId="16">#REF!</definedName>
    <definedName name="AO.print" localSheetId="25">#REF!</definedName>
    <definedName name="AO.print" localSheetId="2">#REF!</definedName>
    <definedName name="AO.print" localSheetId="27">#REF!</definedName>
    <definedName name="AO.print" localSheetId="6">#REF!</definedName>
    <definedName name="AO.print">#REF!</definedName>
    <definedName name="AV.FM.1..adjusted..print" localSheetId="17">#REF!</definedName>
    <definedName name="AV.FM.1..adjusted..print" localSheetId="21">#REF!</definedName>
    <definedName name="AV.FM.1..adjusted..print" localSheetId="22">#REF!</definedName>
    <definedName name="AV.FM.1..adjusted..print" localSheetId="12">#REF!</definedName>
    <definedName name="AV.FM.1..adjusted..print" localSheetId="16">#REF!</definedName>
    <definedName name="AV.FM.1..adjusted..print" localSheetId="25">#REF!</definedName>
    <definedName name="AV.FM.1..adjusted..print" localSheetId="2">#REF!</definedName>
    <definedName name="AV.FM.1..adjusted..print" localSheetId="27">#REF!</definedName>
    <definedName name="AV.FM.1..adjusted..print" localSheetId="6">#REF!</definedName>
    <definedName name="AV.FM.1..adjusted..print">#REF!</definedName>
    <definedName name="AV.FM.1.print" localSheetId="17">#REF!</definedName>
    <definedName name="AV.FM.1.print" localSheetId="21">#REF!</definedName>
    <definedName name="AV.FM.1.print" localSheetId="22">#REF!</definedName>
    <definedName name="AV.FM.1.print" localSheetId="12">#REF!</definedName>
    <definedName name="AV.FM.1.print" localSheetId="16">#REF!</definedName>
    <definedName name="AV.FM.1.print" localSheetId="25">#REF!</definedName>
    <definedName name="AV.FM.1.print" localSheetId="2">#REF!</definedName>
    <definedName name="AV.FM.1.print" localSheetId="27">#REF!</definedName>
    <definedName name="AV.FM.1.print" localSheetId="6">#REF!</definedName>
    <definedName name="AV.FM.1.print">#REF!</definedName>
    <definedName name="BA.print" localSheetId="17">#REF!</definedName>
    <definedName name="BA.print" localSheetId="21">#REF!</definedName>
    <definedName name="BA.print" localSheetId="22">#REF!</definedName>
    <definedName name="BA.print" localSheetId="12">#REF!</definedName>
    <definedName name="BA.print" localSheetId="16">#REF!</definedName>
    <definedName name="BA.print" localSheetId="25">#REF!</definedName>
    <definedName name="BA.print" localSheetId="2">#REF!</definedName>
    <definedName name="BA.print" localSheetId="27">#REF!</definedName>
    <definedName name="BA.print" localSheetId="6">#REF!</definedName>
    <definedName name="BA.print">#REF!</definedName>
    <definedName name="BB.print" localSheetId="17">#REF!</definedName>
    <definedName name="BB.print" localSheetId="21">#REF!</definedName>
    <definedName name="BB.print" localSheetId="22">#REF!</definedName>
    <definedName name="BB.print" localSheetId="12">#REF!</definedName>
    <definedName name="BB.print" localSheetId="16">#REF!</definedName>
    <definedName name="BB.print" localSheetId="25">#REF!</definedName>
    <definedName name="BB.print" localSheetId="2">#REF!</definedName>
    <definedName name="BB.print" localSheetId="27">#REF!</definedName>
    <definedName name="BB.print" localSheetId="6">#REF!</definedName>
    <definedName name="BB.print">#REF!</definedName>
    <definedName name="BEACH_CITY" localSheetId="17">#REF!</definedName>
    <definedName name="BEACH_CITY" localSheetId="21">#REF!</definedName>
    <definedName name="BEACH_CITY" localSheetId="22">#REF!</definedName>
    <definedName name="BEACH_CITY" localSheetId="16">#REF!</definedName>
    <definedName name="BEACH_CITY" localSheetId="25">#REF!</definedName>
    <definedName name="BEACH_CITY" localSheetId="2">#REF!</definedName>
    <definedName name="BEACH_CITY" localSheetId="27">#REF!</definedName>
    <definedName name="BEACH_CITY" localSheetId="6">#REF!</definedName>
    <definedName name="BEACH_CITY">#REF!</definedName>
    <definedName name="below">OFFSET(!A1,1,0)</definedName>
    <definedName name="BG.print" localSheetId="17">#REF!</definedName>
    <definedName name="BG.print" localSheetId="21">#REF!</definedName>
    <definedName name="BG.print" localSheetId="22">#REF!</definedName>
    <definedName name="BG.print" localSheetId="12">#REF!</definedName>
    <definedName name="BG.print" localSheetId="16">#REF!</definedName>
    <definedName name="BG.print" localSheetId="25">#REF!</definedName>
    <definedName name="BG.print" localSheetId="2">#REF!</definedName>
    <definedName name="BG.print" localSheetId="26">#REF!</definedName>
    <definedName name="BG.print" localSheetId="27">#REF!</definedName>
    <definedName name="BG.print" localSheetId="6">#REF!</definedName>
    <definedName name="BG.print">#REF!</definedName>
    <definedName name="BILLCO" localSheetId="11">'[2]DPLG-APRIL2001-TRANSCHECKOUT'!$M:$P</definedName>
    <definedName name="BILLCO" localSheetId="25">'[2]DPLG-APRIL2001-TRANSCHECKOUT'!$M:$P</definedName>
    <definedName name="BILLCO" localSheetId="26">'[1]DPLG-APRIL2001-TRANSCHECKOUT'!$M$1:$P$65536</definedName>
    <definedName name="BILLCO" localSheetId="27">'[1]DPLG-APRIL2001-TRANSCHECKOUT'!$M$1:$P$65536</definedName>
    <definedName name="BILLCO">'[2]DPLG-APRIL2001-TRANSCHECKOUT'!$M$1:$P$65536</definedName>
    <definedName name="BK..FM1.Adjusted..print" localSheetId="17">#REF!</definedName>
    <definedName name="BK..FM1.Adjusted..print" localSheetId="21">#REF!</definedName>
    <definedName name="BK..FM1.Adjusted..print" localSheetId="22">#REF!</definedName>
    <definedName name="BK..FM1.Adjusted..print" localSheetId="11">#REF!</definedName>
    <definedName name="BK..FM1.Adjusted..print" localSheetId="12">#REF!</definedName>
    <definedName name="BK..FM1.Adjusted..print" localSheetId="16">#REF!</definedName>
    <definedName name="BK..FM1.Adjusted..print" localSheetId="25">#REF!</definedName>
    <definedName name="BK..FM1.Adjusted..print" localSheetId="2">#REF!</definedName>
    <definedName name="BK..FM1.Adjusted..print" localSheetId="26">#REF!</definedName>
    <definedName name="BK..FM1.Adjusted..print" localSheetId="27">#REF!</definedName>
    <definedName name="BK..FM1.Adjusted..print" localSheetId="6">#REF!</definedName>
    <definedName name="BK..FM1.Adjusted..print">#REF!</definedName>
    <definedName name="BK..FM1.ROR..print" localSheetId="17">#REF!</definedName>
    <definedName name="BK..FM1.ROR..print" localSheetId="21">#REF!</definedName>
    <definedName name="BK..FM1.ROR..print" localSheetId="22">#REF!</definedName>
    <definedName name="BK..FM1.ROR..print" localSheetId="12">#REF!</definedName>
    <definedName name="BK..FM1.ROR..print" localSheetId="16">#REF!</definedName>
    <definedName name="BK..FM1.ROR..print" localSheetId="25">#REF!</definedName>
    <definedName name="BK..FM1.ROR..print" localSheetId="2">#REF!</definedName>
    <definedName name="BK..FM1.ROR..print" localSheetId="27">#REF!</definedName>
    <definedName name="BK..FM1.ROR..print" localSheetId="6">#REF!</definedName>
    <definedName name="BK..FM1.ROR..print">#REF!</definedName>
    <definedName name="BowlingGreen" localSheetId="17">#REF!</definedName>
    <definedName name="BowlingGreen" localSheetId="21">#REF!</definedName>
    <definedName name="BowlingGreen" localSheetId="22">#REF!</definedName>
    <definedName name="BowlingGreen" localSheetId="16">#REF!</definedName>
    <definedName name="BowlingGreen" localSheetId="25">#REF!</definedName>
    <definedName name="BowlingGreen" localSheetId="2">#REF!</definedName>
    <definedName name="BowlingGreen" localSheetId="27">#REF!</definedName>
    <definedName name="BowlingGreen" localSheetId="6">#REF!</definedName>
    <definedName name="BowlingGreen">#REF!</definedName>
    <definedName name="BowlingGreenWater" localSheetId="17">#REF!</definedName>
    <definedName name="BowlingGreenWater" localSheetId="21">#REF!</definedName>
    <definedName name="BowlingGreenWater" localSheetId="22">#REF!</definedName>
    <definedName name="BowlingGreenWater" localSheetId="16">#REF!</definedName>
    <definedName name="BowlingGreenWater" localSheetId="25">#REF!</definedName>
    <definedName name="BowlingGreenWater" localSheetId="2">#REF!</definedName>
    <definedName name="BowlingGreenWater" localSheetId="27">#REF!</definedName>
    <definedName name="BowlingGreenWater" localSheetId="6">#REF!</definedName>
    <definedName name="BowlingGreenWater">#REF!</definedName>
    <definedName name="Bradner" localSheetId="17">#REF!</definedName>
    <definedName name="Bradner" localSheetId="21">#REF!</definedName>
    <definedName name="Bradner" localSheetId="22">#REF!</definedName>
    <definedName name="Bradner" localSheetId="16">#REF!</definedName>
    <definedName name="Bradner" localSheetId="25">#REF!</definedName>
    <definedName name="Bradner" localSheetId="2">#REF!</definedName>
    <definedName name="Bradner" localSheetId="27">#REF!</definedName>
    <definedName name="Bradner" localSheetId="6">#REF!</definedName>
    <definedName name="Bradner">#REF!</definedName>
    <definedName name="BREWSTER" localSheetId="17">#REF!</definedName>
    <definedName name="BREWSTER" localSheetId="21">#REF!</definedName>
    <definedName name="BREWSTER" localSheetId="22">#REF!</definedName>
    <definedName name="BREWSTER" localSheetId="16">#REF!</definedName>
    <definedName name="BREWSTER" localSheetId="25">#REF!</definedName>
    <definedName name="BREWSTER" localSheetId="2">#REF!</definedName>
    <definedName name="BREWSTER" localSheetId="27">#REF!</definedName>
    <definedName name="BREWSTER" localSheetId="6">#REF!</definedName>
    <definedName name="BREWSTER">#REF!</definedName>
    <definedName name="cell.above">!A1048576</definedName>
    <definedName name="cell.below">!A2</definedName>
    <definedName name="cell.left">!XFD1</definedName>
    <definedName name="cell.right">!B1</definedName>
    <definedName name="CH_COS" localSheetId="17">#REF!</definedName>
    <definedName name="CH_COS" localSheetId="21">#REF!</definedName>
    <definedName name="CH_COS" localSheetId="22">#REF!</definedName>
    <definedName name="CH_COS" localSheetId="16">#REF!</definedName>
    <definedName name="CH_COS" localSheetId="25">#REF!</definedName>
    <definedName name="CH_COS" localSheetId="2">#REF!</definedName>
    <definedName name="CH_COS" localSheetId="26">#REF!</definedName>
    <definedName name="CH_COS" localSheetId="27">#REF!</definedName>
    <definedName name="CH_COS" localSheetId="6">#REF!</definedName>
    <definedName name="CH_COS">#REF!</definedName>
    <definedName name="CUSTAR" localSheetId="17">#REF!</definedName>
    <definedName name="CUSTAR" localSheetId="21">#REF!</definedName>
    <definedName name="CUSTAR" localSheetId="22">#REF!</definedName>
    <definedName name="CUSTAR" localSheetId="16">#REF!</definedName>
    <definedName name="CUSTAR" localSheetId="25">#REF!</definedName>
    <definedName name="CUSTAR" localSheetId="2">#REF!</definedName>
    <definedName name="CUSTAR" localSheetId="27">#REF!</definedName>
    <definedName name="CUSTAR" localSheetId="6">#REF!</definedName>
    <definedName name="CUSTAR">#REF!</definedName>
    <definedName name="CUYAHOGA_FALLS" localSheetId="17">#REF!</definedName>
    <definedName name="CUYAHOGA_FALLS" localSheetId="21">#REF!</definedName>
    <definedName name="CUYAHOGA_FALLS" localSheetId="22">#REF!</definedName>
    <definedName name="CUYAHOGA_FALLS" localSheetId="16">#REF!</definedName>
    <definedName name="CUYAHOGA_FALLS" localSheetId="25">#REF!</definedName>
    <definedName name="CUYAHOGA_FALLS" localSheetId="2">#REF!</definedName>
    <definedName name="CUYAHOGA_FALLS" localSheetId="27">#REF!</definedName>
    <definedName name="CUYAHOGA_FALLS" localSheetId="6">#REF!</definedName>
    <definedName name="CUYAHOGA_FALLS">#REF!</definedName>
    <definedName name="data_year">'[4]Appendix A'!$H$5</definedName>
    <definedName name="DATA1" localSheetId="17">#REF!</definedName>
    <definedName name="DATA1" localSheetId="26">#REF!</definedName>
    <definedName name="DATA1" localSheetId="27">#REF!</definedName>
    <definedName name="DATA1" localSheetId="6">#REF!</definedName>
    <definedName name="DATA1">#REF!</definedName>
    <definedName name="DATA10" localSheetId="17">#REF!</definedName>
    <definedName name="DATA10" localSheetId="26">#REF!</definedName>
    <definedName name="DATA10" localSheetId="27">#REF!</definedName>
    <definedName name="DATA10" localSheetId="6">#REF!</definedName>
    <definedName name="DATA10">#REF!</definedName>
    <definedName name="DATA11" localSheetId="17">#REF!</definedName>
    <definedName name="DATA11" localSheetId="26">#REF!</definedName>
    <definedName name="DATA11" localSheetId="27">#REF!</definedName>
    <definedName name="DATA11" localSheetId="6">#REF!</definedName>
    <definedName name="DATA11">#REF!</definedName>
    <definedName name="DATA12" localSheetId="17">#REF!</definedName>
    <definedName name="DATA12" localSheetId="27">#REF!</definedName>
    <definedName name="DATA12" localSheetId="6">#REF!</definedName>
    <definedName name="DATA12">#REF!</definedName>
    <definedName name="DATA13" localSheetId="17">#REF!</definedName>
    <definedName name="DATA13" localSheetId="27">#REF!</definedName>
    <definedName name="DATA13" localSheetId="6">#REF!</definedName>
    <definedName name="DATA13">#REF!</definedName>
    <definedName name="DATA14" localSheetId="17">#REF!</definedName>
    <definedName name="DATA14" localSheetId="27">#REF!</definedName>
    <definedName name="DATA14" localSheetId="6">#REF!</definedName>
    <definedName name="DATA14">#REF!</definedName>
    <definedName name="DATA15" localSheetId="17">#REF!</definedName>
    <definedName name="DATA15" localSheetId="27">#REF!</definedName>
    <definedName name="DATA15" localSheetId="6">#REF!</definedName>
    <definedName name="DATA15">#REF!</definedName>
    <definedName name="DATA16" localSheetId="17">#REF!</definedName>
    <definedName name="DATA16" localSheetId="27">#REF!</definedName>
    <definedName name="DATA16" localSheetId="6">#REF!</definedName>
    <definedName name="DATA16">#REF!</definedName>
    <definedName name="DATA17" localSheetId="17">#REF!</definedName>
    <definedName name="DATA17" localSheetId="27">#REF!</definedName>
    <definedName name="DATA17" localSheetId="6">#REF!</definedName>
    <definedName name="DATA17">#REF!</definedName>
    <definedName name="DATA18" localSheetId="17">#REF!</definedName>
    <definedName name="DATA18" localSheetId="27">#REF!</definedName>
    <definedName name="DATA18" localSheetId="6">#REF!</definedName>
    <definedName name="DATA18">#REF!</definedName>
    <definedName name="DATA19" localSheetId="17">#REF!</definedName>
    <definedName name="DATA19" localSheetId="27">#REF!</definedName>
    <definedName name="DATA19" localSheetId="6">#REF!</definedName>
    <definedName name="DATA19">#REF!</definedName>
    <definedName name="DATA2" localSheetId="17">#REF!</definedName>
    <definedName name="DATA2" localSheetId="27">#REF!</definedName>
    <definedName name="DATA2" localSheetId="6">#REF!</definedName>
    <definedName name="DATA2">#REF!</definedName>
    <definedName name="DATA20" localSheetId="17">#REF!</definedName>
    <definedName name="DATA20" localSheetId="27">#REF!</definedName>
    <definedName name="DATA20" localSheetId="6">#REF!</definedName>
    <definedName name="DATA20">#REF!</definedName>
    <definedName name="DATA21" localSheetId="17">#REF!</definedName>
    <definedName name="DATA21" localSheetId="27">#REF!</definedName>
    <definedName name="DATA21" localSheetId="6">#REF!</definedName>
    <definedName name="DATA21">#REF!</definedName>
    <definedName name="DATA22" localSheetId="17">#REF!</definedName>
    <definedName name="DATA22" localSheetId="27">#REF!</definedName>
    <definedName name="DATA22" localSheetId="6">#REF!</definedName>
    <definedName name="DATA22">#REF!</definedName>
    <definedName name="DATA3" localSheetId="17">#REF!</definedName>
    <definedName name="DATA3" localSheetId="27">#REF!</definedName>
    <definedName name="DATA3" localSheetId="6">#REF!</definedName>
    <definedName name="DATA3">#REF!</definedName>
    <definedName name="DATA4" localSheetId="17">#REF!</definedName>
    <definedName name="DATA4" localSheetId="27">#REF!</definedName>
    <definedName name="DATA4" localSheetId="6">#REF!</definedName>
    <definedName name="DATA4">#REF!</definedName>
    <definedName name="DATA5" localSheetId="17">#REF!</definedName>
    <definedName name="DATA5" localSheetId="27">#REF!</definedName>
    <definedName name="DATA5" localSheetId="6">#REF!</definedName>
    <definedName name="DATA5">#REF!</definedName>
    <definedName name="DATA6" localSheetId="17">#REF!</definedName>
    <definedName name="DATA6" localSheetId="27">#REF!</definedName>
    <definedName name="DATA6" localSheetId="6">#REF!</definedName>
    <definedName name="DATA6">#REF!</definedName>
    <definedName name="DATA7" localSheetId="17">#REF!</definedName>
    <definedName name="DATA7" localSheetId="27">#REF!</definedName>
    <definedName name="DATA7" localSheetId="6">#REF!</definedName>
    <definedName name="DATA7">#REF!</definedName>
    <definedName name="DATA8" localSheetId="17">#REF!</definedName>
    <definedName name="DATA8" localSheetId="27">#REF!</definedName>
    <definedName name="DATA8" localSheetId="6">#REF!</definedName>
    <definedName name="DATA8">#REF!</definedName>
    <definedName name="DATA9" localSheetId="17">#REF!</definedName>
    <definedName name="DATA9" localSheetId="27">#REF!</definedName>
    <definedName name="DATA9" localSheetId="6">#REF!</definedName>
    <definedName name="DATA9">#REF!</definedName>
    <definedName name="DUEDATE" localSheetId="11">'[2]DPLG-APRIL2001-TRANSCHECKOUT'!$Q:$R</definedName>
    <definedName name="DUEDATE" localSheetId="25">'[2]DPLG-APRIL2001-TRANSCHECKOUT'!$Q:$R</definedName>
    <definedName name="DUEDATE" localSheetId="26">'[1]DPLG-APRIL2001-TRANSCHECKOUT'!$Q$1:$R$65536</definedName>
    <definedName name="DUEDATE" localSheetId="27">'[1]DPLG-APRIL2001-TRANSCHECKOUT'!$Q$1:$R$65536</definedName>
    <definedName name="DUEDATE">'[2]DPLG-APRIL2001-TRANSCHECKOUT'!$Q$1:$R$65536</definedName>
    <definedName name="EDGERTON" localSheetId="17">#REF!</definedName>
    <definedName name="EDGERTON" localSheetId="21">#REF!</definedName>
    <definedName name="EDGERTON" localSheetId="22">#REF!</definedName>
    <definedName name="EDGERTON" localSheetId="16">#REF!</definedName>
    <definedName name="EDGERTON" localSheetId="25">#REF!</definedName>
    <definedName name="EDGERTON" localSheetId="2">#REF!</definedName>
    <definedName name="EDGERTON" localSheetId="26">#REF!</definedName>
    <definedName name="EDGERTON" localSheetId="27">#REF!</definedName>
    <definedName name="EDGERTON" localSheetId="6">#REF!</definedName>
    <definedName name="EDGERTON">#REF!</definedName>
    <definedName name="Ellwood_City" localSheetId="17">#REF!</definedName>
    <definedName name="Ellwood_City" localSheetId="21">#REF!</definedName>
    <definedName name="Ellwood_City" localSheetId="22">#REF!</definedName>
    <definedName name="Ellwood_City" localSheetId="16">#REF!</definedName>
    <definedName name="Ellwood_City" localSheetId="25">#REF!</definedName>
    <definedName name="Ellwood_City" localSheetId="2">#REF!</definedName>
    <definedName name="Ellwood_City" localSheetId="27">#REF!</definedName>
    <definedName name="Ellwood_City" localSheetId="6">#REF!</definedName>
    <definedName name="Ellwood_City">#REF!</definedName>
    <definedName name="ELMORE" localSheetId="17">#REF!</definedName>
    <definedName name="ELMORE" localSheetId="21">#REF!</definedName>
    <definedName name="ELMORE" localSheetId="22">#REF!</definedName>
    <definedName name="ELMORE" localSheetId="16">#REF!</definedName>
    <definedName name="ELMORE" localSheetId="25">#REF!</definedName>
    <definedName name="ELMORE" localSheetId="2">#REF!</definedName>
    <definedName name="ELMORE" localSheetId="27">#REF!</definedName>
    <definedName name="ELMORE" localSheetId="6">#REF!</definedName>
    <definedName name="ELMORE">#REF!</definedName>
    <definedName name="FF1_INPUT">'[4]FERC Form 1 data'!$B$7:$L$87</definedName>
    <definedName name="FF1_INPUT_columns">'[4]FERC Form 1 data'!$B$6:$L$6</definedName>
    <definedName name="GALION" localSheetId="17">#REF!</definedName>
    <definedName name="GALION" localSheetId="21">#REF!</definedName>
    <definedName name="GALION" localSheetId="22">#REF!</definedName>
    <definedName name="GALION" localSheetId="16">#REF!</definedName>
    <definedName name="GALION" localSheetId="25">#REF!</definedName>
    <definedName name="GALION" localSheetId="2">#REF!</definedName>
    <definedName name="GALION" localSheetId="26">#REF!</definedName>
    <definedName name="GALION" localSheetId="27">#REF!</definedName>
    <definedName name="GALION" localSheetId="6">#REF!</definedName>
    <definedName name="GALION">#REF!</definedName>
    <definedName name="GENOA" localSheetId="17">#REF!</definedName>
    <definedName name="GENOA" localSheetId="21">#REF!</definedName>
    <definedName name="GENOA" localSheetId="22">#REF!</definedName>
    <definedName name="GENOA" localSheetId="16">#REF!</definedName>
    <definedName name="GENOA" localSheetId="25">#REF!</definedName>
    <definedName name="GENOA" localSheetId="2">#REF!</definedName>
    <definedName name="GENOA" localSheetId="27">#REF!</definedName>
    <definedName name="GENOA" localSheetId="6">#REF!</definedName>
    <definedName name="GENOA">#REF!</definedName>
    <definedName name="GENOA_NORTH" localSheetId="17">#REF!</definedName>
    <definedName name="GENOA_NORTH" localSheetId="21">#REF!</definedName>
    <definedName name="GENOA_NORTH" localSheetId="22">#REF!</definedName>
    <definedName name="GENOA_NORTH" localSheetId="16">#REF!</definedName>
    <definedName name="GENOA_NORTH" localSheetId="25">#REF!</definedName>
    <definedName name="GENOA_NORTH" localSheetId="2">#REF!</definedName>
    <definedName name="GENOA_NORTH" localSheetId="27">#REF!</definedName>
    <definedName name="GENOA_NORTH" localSheetId="6">#REF!</definedName>
    <definedName name="GENOA_NORTH">#REF!</definedName>
    <definedName name="GENOA_SOUTH" localSheetId="17">#REF!</definedName>
    <definedName name="GENOA_SOUTH" localSheetId="21">#REF!</definedName>
    <definedName name="GENOA_SOUTH" localSheetId="22">#REF!</definedName>
    <definedName name="GENOA_SOUTH" localSheetId="16">#REF!</definedName>
    <definedName name="GENOA_SOUTH" localSheetId="25">#REF!</definedName>
    <definedName name="GENOA_SOUTH" localSheetId="2">#REF!</definedName>
    <definedName name="GENOA_SOUTH" localSheetId="27">#REF!</definedName>
    <definedName name="GENOA_SOUTH" localSheetId="6">#REF!</definedName>
    <definedName name="GENOA_SOUTH">#REF!</definedName>
    <definedName name="GRAFTON" localSheetId="17">#REF!</definedName>
    <definedName name="GRAFTON" localSheetId="21">#REF!</definedName>
    <definedName name="GRAFTON" localSheetId="22">#REF!</definedName>
    <definedName name="GRAFTON" localSheetId="16">#REF!</definedName>
    <definedName name="GRAFTON" localSheetId="25">#REF!</definedName>
    <definedName name="GRAFTON" localSheetId="2">#REF!</definedName>
    <definedName name="GRAFTON" localSheetId="27">#REF!</definedName>
    <definedName name="GRAFTON" localSheetId="6">#REF!</definedName>
    <definedName name="GRAFTON">#REF!</definedName>
    <definedName name="Grove_City" localSheetId="17">#REF!</definedName>
    <definedName name="Grove_City" localSheetId="21">#REF!</definedName>
    <definedName name="Grove_City" localSheetId="22">#REF!</definedName>
    <definedName name="Grove_City" localSheetId="16">#REF!</definedName>
    <definedName name="Grove_City" localSheetId="25">#REF!</definedName>
    <definedName name="Grove_City" localSheetId="2">#REF!</definedName>
    <definedName name="Grove_City" localSheetId="27">#REF!</definedName>
    <definedName name="Grove_City" localSheetId="6">#REF!</definedName>
    <definedName name="Grove_City">#REF!</definedName>
    <definedName name="HASKINS" localSheetId="17">#REF!</definedName>
    <definedName name="HASKINS" localSheetId="21">#REF!</definedName>
    <definedName name="HASKINS" localSheetId="22">#REF!</definedName>
    <definedName name="HASKINS" localSheetId="16">#REF!</definedName>
    <definedName name="HASKINS" localSheetId="25">#REF!</definedName>
    <definedName name="HASKINS" localSheetId="2">#REF!</definedName>
    <definedName name="HASKINS" localSheetId="27">#REF!</definedName>
    <definedName name="HASKINS" localSheetId="6">#REF!</definedName>
    <definedName name="HASKINS">#REF!</definedName>
    <definedName name="hourending" localSheetId="17">#REF!</definedName>
    <definedName name="hourending" localSheetId="21">#REF!</definedName>
    <definedName name="hourending" localSheetId="22">#REF!</definedName>
    <definedName name="hourending" localSheetId="16">#REF!</definedName>
    <definedName name="hourending" localSheetId="25">#REF!</definedName>
    <definedName name="hourending" localSheetId="2">#REF!</definedName>
    <definedName name="hourending" localSheetId="27">#REF!</definedName>
    <definedName name="hourending" localSheetId="6">#REF!</definedName>
    <definedName name="hourending">#REF!</definedName>
    <definedName name="HUBBARD" localSheetId="17">#REF!</definedName>
    <definedName name="HUBBARD" localSheetId="21">#REF!</definedName>
    <definedName name="HUBBARD" localSheetId="22">#REF!</definedName>
    <definedName name="HUBBARD" localSheetId="16">#REF!</definedName>
    <definedName name="HUBBARD" localSheetId="25">#REF!</definedName>
    <definedName name="HUBBARD" localSheetId="2">#REF!</definedName>
    <definedName name="HUBBARD" localSheetId="27">#REF!</definedName>
    <definedName name="HUBBARD" localSheetId="6">#REF!</definedName>
    <definedName name="HUBBARD">#REF!</definedName>
    <definedName name="Inputs_EndYrBal">[4]Inputs!$E$15:$E$72</definedName>
    <definedName name="Inputs_EndYrBal_prior">[4]Inputs!$D$15:$D$72</definedName>
    <definedName name="Inputs_FF1_Map">[4]Inputs!$F$15:$F$72</definedName>
    <definedName name="Keep" localSheetId="26" hidden="1">{"PRINT",#N/A,TRUE,"APPA";"PRINT",#N/A,TRUE,"APS";"PRINT",#N/A,TRUE,"BHPL";"PRINT",#N/A,TRUE,"BHPL2";"PRINT",#N/A,TRUE,"CDWR";"PRINT",#N/A,TRUE,"EWEB";"PRINT",#N/A,TRUE,"LADWP";"PRINT",#N/A,TRUE,"NEVBASE"}</definedName>
    <definedName name="Keep" localSheetId="27"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6" hidden="1">{"PRINT",#N/A,TRUE,"APPA";"PRINT",#N/A,TRUE,"APS";"PRINT",#N/A,TRUE,"BHPL";"PRINT",#N/A,TRUE,"BHPL2";"PRINT",#N/A,TRUE,"CDWR";"PRINT",#N/A,TRUE,"EWEB";"PRINT",#N/A,TRUE,"LADWP";"PRINT",#N/A,TRUE,"NEVBASE"}</definedName>
    <definedName name="keep2" localSheetId="27"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7">#REF!</definedName>
    <definedName name="Levelized..FM1.ROR..print" localSheetId="21">#REF!</definedName>
    <definedName name="Levelized..FM1.ROR..print" localSheetId="22">#REF!</definedName>
    <definedName name="Levelized..FM1.ROR..print" localSheetId="12">#REF!</definedName>
    <definedName name="Levelized..FM1.ROR..print" localSheetId="16">#REF!</definedName>
    <definedName name="Levelized..FM1.ROR..print" localSheetId="25">#REF!</definedName>
    <definedName name="Levelized..FM1.ROR..print" localSheetId="2">#REF!</definedName>
    <definedName name="Levelized..FM1.ROR..print" localSheetId="26">#REF!</definedName>
    <definedName name="Levelized..FM1.ROR..print" localSheetId="27">#REF!</definedName>
    <definedName name="Levelized..FM1.ROR..print" localSheetId="6">#REF!</definedName>
    <definedName name="Levelized..FM1.ROR..print">#REF!</definedName>
    <definedName name="LODI" localSheetId="17">#REF!</definedName>
    <definedName name="LODI" localSheetId="21">#REF!</definedName>
    <definedName name="LODI" localSheetId="22">#REF!</definedName>
    <definedName name="LODI" localSheetId="16">#REF!</definedName>
    <definedName name="LODI" localSheetId="25">#REF!</definedName>
    <definedName name="LODI" localSheetId="2">#REF!</definedName>
    <definedName name="LODI" localSheetId="27">#REF!</definedName>
    <definedName name="LODI" localSheetId="6">#REF!</definedName>
    <definedName name="LODI">#REF!</definedName>
    <definedName name="LUCAS" localSheetId="17">#REF!</definedName>
    <definedName name="LUCAS" localSheetId="21">#REF!</definedName>
    <definedName name="LUCAS" localSheetId="22">#REF!</definedName>
    <definedName name="LUCAS" localSheetId="16">#REF!</definedName>
    <definedName name="LUCAS" localSheetId="25">#REF!</definedName>
    <definedName name="LUCAS" localSheetId="2">#REF!</definedName>
    <definedName name="LUCAS" localSheetId="27">#REF!</definedName>
    <definedName name="LUCAS" localSheetId="6">#REF!</definedName>
    <definedName name="LUCAS">#REF!</definedName>
    <definedName name="M21Laurie" localSheetId="11">'Attach 9 - Stated-value Inputs'!M21Laurie</definedName>
    <definedName name="M21Laurie" localSheetId="25">'Attachment 19 - Tax Rates'!M21Laurie</definedName>
    <definedName name="M21Laurie" localSheetId="2">#N/A</definedName>
    <definedName name="M21Laurie" localSheetId="26">'Attachment 20 - O&amp;M and A&amp;G'!M21Laurie</definedName>
    <definedName name="M21Laurie" localSheetId="27">'Attachment 21 - Revenue Credits'!M21Laurie</definedName>
    <definedName name="M21Laurie">'Attach 9 - Stated-value Inputs'!M21Laurie</definedName>
    <definedName name="MILAN" localSheetId="17">#REF!</definedName>
    <definedName name="MILAN" localSheetId="21">#REF!</definedName>
    <definedName name="MILAN" localSheetId="22">#REF!</definedName>
    <definedName name="MILAN" localSheetId="16">#REF!</definedName>
    <definedName name="MILAN" localSheetId="25">#REF!</definedName>
    <definedName name="MILAN" localSheetId="2">#REF!</definedName>
    <definedName name="MILAN" localSheetId="26">#REF!</definedName>
    <definedName name="MILAN" localSheetId="27">#REF!</definedName>
    <definedName name="MILAN" localSheetId="6">#REF!</definedName>
    <definedName name="MILAN">#REF!</definedName>
    <definedName name="MONROEVILLE" localSheetId="17">#REF!</definedName>
    <definedName name="MONROEVILLE" localSheetId="21">#REF!</definedName>
    <definedName name="MONROEVILLE" localSheetId="22">#REF!</definedName>
    <definedName name="MONROEVILLE" localSheetId="16">#REF!</definedName>
    <definedName name="MONROEVILLE" localSheetId="25">#REF!</definedName>
    <definedName name="MONROEVILLE" localSheetId="2">#REF!</definedName>
    <definedName name="MONROEVILLE" localSheetId="27">#REF!</definedName>
    <definedName name="MONROEVILLE" localSheetId="6">#REF!</definedName>
    <definedName name="MONROEVILLE">#REF!</definedName>
    <definedName name="NAPOLEON" localSheetId="17">#REF!</definedName>
    <definedName name="NAPOLEON" localSheetId="21">#REF!</definedName>
    <definedName name="NAPOLEON" localSheetId="22">#REF!</definedName>
    <definedName name="NAPOLEON" localSheetId="16">#REF!</definedName>
    <definedName name="NAPOLEON" localSheetId="25">#REF!</definedName>
    <definedName name="NAPOLEON" localSheetId="2">#REF!</definedName>
    <definedName name="NAPOLEON" localSheetId="27">#REF!</definedName>
    <definedName name="NAPOLEON" localSheetId="6">#REF!</definedName>
    <definedName name="NAPOLEON">#REF!</definedName>
    <definedName name="NEASG" localSheetId="17">#REF!</definedName>
    <definedName name="NEASG" localSheetId="21">#REF!</definedName>
    <definedName name="NEASG" localSheetId="22">#REF!</definedName>
    <definedName name="NEASG" localSheetId="16">#REF!</definedName>
    <definedName name="NEASG" localSheetId="25">#REF!</definedName>
    <definedName name="NEASG" localSheetId="2">#REF!</definedName>
    <definedName name="NEASG" localSheetId="27">#REF!</definedName>
    <definedName name="NEASG" localSheetId="6">#REF!</definedName>
    <definedName name="NEASG">#REF!</definedName>
    <definedName name="New_Wilmington" localSheetId="17">#REF!</definedName>
    <definedName name="New_Wilmington" localSheetId="21">#REF!</definedName>
    <definedName name="New_Wilmington" localSheetId="22">#REF!</definedName>
    <definedName name="New_Wilmington" localSheetId="16">#REF!</definedName>
    <definedName name="New_Wilmington" localSheetId="25">#REF!</definedName>
    <definedName name="New_Wilmington" localSheetId="2">#REF!</definedName>
    <definedName name="New_Wilmington" localSheetId="27">#REF!</definedName>
    <definedName name="New_Wilmington" localSheetId="6">#REF!</definedName>
    <definedName name="New_Wilmington">#REF!</definedName>
    <definedName name="NEWTON_FALLS" localSheetId="17">#REF!</definedName>
    <definedName name="NEWTON_FALLS" localSheetId="21">#REF!</definedName>
    <definedName name="NEWTON_FALLS" localSheetId="22">#REF!</definedName>
    <definedName name="NEWTON_FALLS" localSheetId="16">#REF!</definedName>
    <definedName name="NEWTON_FALLS" localSheetId="25">#REF!</definedName>
    <definedName name="NEWTON_FALLS" localSheetId="2">#REF!</definedName>
    <definedName name="NEWTON_FALLS" localSheetId="27">#REF!</definedName>
    <definedName name="NEWTON_FALLS" localSheetId="6">#REF!</definedName>
    <definedName name="NEWTON_FALLS">#REF!</definedName>
    <definedName name="NILES" localSheetId="17">#REF!</definedName>
    <definedName name="NILES" localSheetId="21">#REF!</definedName>
    <definedName name="NILES" localSheetId="22">#REF!</definedName>
    <definedName name="NILES" localSheetId="16">#REF!</definedName>
    <definedName name="NILES" localSheetId="25">#REF!</definedName>
    <definedName name="NILES" localSheetId="2">#REF!</definedName>
    <definedName name="NILES" localSheetId="27">#REF!</definedName>
    <definedName name="NILES" localSheetId="6">#REF!</definedName>
    <definedName name="NILES">#REF!</definedName>
    <definedName name="NSP_COS" localSheetId="17">#REF!</definedName>
    <definedName name="NSP_COS" localSheetId="21">#REF!</definedName>
    <definedName name="NSP_COS" localSheetId="22">#REF!</definedName>
    <definedName name="NSP_COS" localSheetId="16">#REF!</definedName>
    <definedName name="NSP_COS" localSheetId="25">#REF!</definedName>
    <definedName name="NSP_COS" localSheetId="2">#REF!</definedName>
    <definedName name="NSP_COS" localSheetId="27">#REF!</definedName>
    <definedName name="NSP_COS" localSheetId="6">#REF!</definedName>
    <definedName name="NSP_COS">#REF!</definedName>
    <definedName name="NWASG" localSheetId="17">#REF!</definedName>
    <definedName name="NWASG" localSheetId="21">#REF!</definedName>
    <definedName name="NWASG" localSheetId="22">#REF!</definedName>
    <definedName name="NWASG" localSheetId="16">#REF!</definedName>
    <definedName name="NWASG" localSheetId="25">#REF!</definedName>
    <definedName name="NWASG" localSheetId="2">#REF!</definedName>
    <definedName name="NWASG" localSheetId="27">#REF!</definedName>
    <definedName name="NWASG" localSheetId="6">#REF!</definedName>
    <definedName name="NWASG">#REF!</definedName>
    <definedName name="OAK_HARBOR" localSheetId="17">#REF!</definedName>
    <definedName name="OAK_HARBOR" localSheetId="21">#REF!</definedName>
    <definedName name="OAK_HARBOR" localSheetId="22">#REF!</definedName>
    <definedName name="OAK_HARBOR" localSheetId="16">#REF!</definedName>
    <definedName name="OAK_HARBOR" localSheetId="25">#REF!</definedName>
    <definedName name="OAK_HARBOR" localSheetId="2">#REF!</definedName>
    <definedName name="OAK_HARBOR" localSheetId="27">#REF!</definedName>
    <definedName name="OAK_HARBOR" localSheetId="6">#REF!</definedName>
    <definedName name="OAK_HARBOR">#REF!</definedName>
    <definedName name="OBERLIN" localSheetId="17">#REF!</definedName>
    <definedName name="OBERLIN" localSheetId="21">#REF!</definedName>
    <definedName name="OBERLIN" localSheetId="22">#REF!</definedName>
    <definedName name="OBERLIN" localSheetId="16">#REF!</definedName>
    <definedName name="OBERLIN" localSheetId="25">#REF!</definedName>
    <definedName name="OBERLIN" localSheetId="2">#REF!</definedName>
    <definedName name="OBERLIN" localSheetId="27">#REF!</definedName>
    <definedName name="OBERLIN" localSheetId="6">#REF!</definedName>
    <definedName name="OBERLIN">#REF!</definedName>
    <definedName name="OFF" localSheetId="26">'[1]DPLG-APRIL2001-TRANSCHECKOUT'!$F$2:$L$10</definedName>
    <definedName name="OFF" localSheetId="27">'[1]DPLG-APRIL2001-TRANSCHECKOUT'!$F$2:$L$10</definedName>
    <definedName name="OFF">'[2]DPLG-APRIL2001-TRANSCHECKOUT'!$F$2:$L$10</definedName>
    <definedName name="ON" localSheetId="26">'[1]DPLG-APRIL2001-TRANSCHECKOUT'!$M$2:$AC$10</definedName>
    <definedName name="ON" localSheetId="27">'[1]DPLG-APRIL2001-TRANSCHECKOUT'!$M$2:$AC$10</definedName>
    <definedName name="ON">'[2]DPLG-APRIL2001-TRANSCHECKOUT'!$M$2:$AC$10</definedName>
    <definedName name="PEMBERVILLE" localSheetId="17">#REF!</definedName>
    <definedName name="PEMBERVILLE" localSheetId="21">#REF!</definedName>
    <definedName name="PEMBERVILLE" localSheetId="22">#REF!</definedName>
    <definedName name="PEMBERVILLE" localSheetId="16">#REF!</definedName>
    <definedName name="PEMBERVILLE" localSheetId="25">#REF!</definedName>
    <definedName name="PEMBERVILLE" localSheetId="2">#REF!</definedName>
    <definedName name="PEMBERVILLE" localSheetId="26">#REF!</definedName>
    <definedName name="PEMBERVILLE" localSheetId="27">#REF!</definedName>
    <definedName name="PEMBERVILLE" localSheetId="6">#REF!</definedName>
    <definedName name="PEMBERVILLE">#REF!</definedName>
    <definedName name="PIONEER" localSheetId="17">#REF!</definedName>
    <definedName name="PIONEER" localSheetId="21">#REF!</definedName>
    <definedName name="PIONEER" localSheetId="22">#REF!</definedName>
    <definedName name="PIONEER" localSheetId="16">#REF!</definedName>
    <definedName name="PIONEER" localSheetId="25">#REF!</definedName>
    <definedName name="PIONEER" localSheetId="2">#REF!</definedName>
    <definedName name="PIONEER" localSheetId="27">#REF!</definedName>
    <definedName name="PIONEER" localSheetId="6">#REF!</definedName>
    <definedName name="PIONEER">#REF!</definedName>
    <definedName name="pPRINT" localSheetId="26">'[1]DPLG-APRIL2001-TRANSCHECKOUT'!$A$1:$I$49</definedName>
    <definedName name="pPRINT" localSheetId="27">'[1]DPLG-APRIL2001-TRANSCHECKOUT'!$A$1:$I$49</definedName>
    <definedName name="pPRINT">'[2]DPLG-APRIL2001-TRANSCHECKOUT'!$A$1:$I$49</definedName>
    <definedName name="PRINT" localSheetId="26">'[1]DPLG-APRIL2001-TRANSCHECKOUT'!$A$2:$K$55</definedName>
    <definedName name="PRINT" localSheetId="27">'[1]DPLG-APRIL2001-TRANSCHECKOUT'!$A$2:$K$55</definedName>
    <definedName name="PRINT">'[2]DPLG-APRIL2001-TRANSCHECKOUT'!$A$2:$K$55</definedName>
    <definedName name="Print.selection.print" localSheetId="17">#REF!</definedName>
    <definedName name="Print.selection.print" localSheetId="21">#REF!</definedName>
    <definedName name="Print.selection.print" localSheetId="22">#REF!</definedName>
    <definedName name="Print.selection.print" localSheetId="11">#REF!</definedName>
    <definedName name="Print.selection.print" localSheetId="12">#REF!</definedName>
    <definedName name="Print.selection.print" localSheetId="16">#REF!</definedName>
    <definedName name="Print.selection.print" localSheetId="25">#REF!</definedName>
    <definedName name="Print.selection.print" localSheetId="2">#REF!</definedName>
    <definedName name="Print.selection.print" localSheetId="26">#REF!</definedName>
    <definedName name="Print.selection.print" localSheetId="27">#REF!</definedName>
    <definedName name="Print.selection.print" localSheetId="6">#REF!</definedName>
    <definedName name="Print.selection.print">#REF!</definedName>
    <definedName name="_xlnm.Print_Area" localSheetId="14">'Attach 11a - TEC Cost Support'!$A$1:$AI$37</definedName>
    <definedName name="_xlnm.Print_Area" localSheetId="17">'Attach 13a-TEC Rev Req True up'!$A$1:$J$55</definedName>
    <definedName name="_xlnm.Print_Area" localSheetId="20">'Attach 16a Reg Asset-Storms'!$A$1:$I$24</definedName>
    <definedName name="_xlnm.Print_Area" localSheetId="21">'Attach 16b Reg Asset-Veg Mgmt'!$A$1:$I$24</definedName>
    <definedName name="_xlnm.Print_Area" localSheetId="22">'Attach 16c Reg Asset-start Cost'!$A$1:$I$24</definedName>
    <definedName name="_xlnm.Print_Area" localSheetId="11">'Attach 9 - Stated-value Inputs'!$A$1:$I$48</definedName>
    <definedName name="_xlnm.Print_Area" localSheetId="1">'Attachment 1 - Sched 1A'!$A$1:$J$18</definedName>
    <definedName name="_xlnm.Print_Area" localSheetId="12">'Attachment 10 - Debt Cost'!$A$1:$AA$56</definedName>
    <definedName name="_xlnm.Print_Area" localSheetId="13">'Attachment 11 - TEC'!$A$1:$S$98</definedName>
    <definedName name="_xlnm.Print_Area" localSheetId="15">'Attachment 12 - TEC True-up'!$A$1:$N$53</definedName>
    <definedName name="_xlnm.Print_Area" localSheetId="16">'Attachment 13 - Rev Req True-up'!$A$1:$J$55</definedName>
    <definedName name="_xlnm.Print_Area" localSheetId="18">'Attachment 14 - Other Rate Base'!$A$1:$H$72</definedName>
    <definedName name="_xlnm.Print_Area" localSheetId="19">'Attachment 15 - Income Tax Adj'!$A$1:$H$23</definedName>
    <definedName name="_xlnm.Print_Area" localSheetId="23">'Attachment 17 - Abandoned Plant'!$A$1:$I$24</definedName>
    <definedName name="_xlnm.Print_Area" localSheetId="25">'Attachment 19 - Tax Rates'!$A$1:$I$32</definedName>
    <definedName name="_xlnm.Print_Area" localSheetId="2">'Attachment 2 - Incentive ROE'!$A$1:$K$78</definedName>
    <definedName name="_xlnm.Print_Area" localSheetId="26">'Attachment 20 - O&amp;M and A&amp;G'!$A$1:$F$77</definedName>
    <definedName name="_xlnm.Print_Area" localSheetId="27">'Attachment 21 - Revenue Credits'!$A$1:$K$28</definedName>
    <definedName name="_xlnm.Print_Area" localSheetId="3">'Attachment 3 - Gross Plant'!$A$1:$L$69</definedName>
    <definedName name="_xlnm.Print_Area" localSheetId="4">'Attachment 4 - Accum Depr'!$A$1:$L$68</definedName>
    <definedName name="_xlnm.Print_Area" localSheetId="5">'Attachment 5 - ADIT'!$A$1:$L$49</definedName>
    <definedName name="_xlnm.Print_Area" localSheetId="7">'Attachment 5b - ADIT Detail'!$A$1:$E$182</definedName>
    <definedName name="_xlnm.Print_Area" localSheetId="0">'Attachment H-28A MAIT '!$A$1:$K$330</definedName>
    <definedName name="_xlnm.Print_Area" localSheetId="6">'Attch 5a - ADIT Normalization'!$A$1:$T$35</definedName>
    <definedName name="_xlnm.Print_Titles" localSheetId="13">'Attachment 11 - TEC'!$C:$D</definedName>
    <definedName name="_xlnm.Print_Titles" localSheetId="15">'Attachment 12 - TEC True-up'!$C:$D</definedName>
    <definedName name="Print1" localSheetId="17">#REF!</definedName>
    <definedName name="Print1" localSheetId="21">#REF!</definedName>
    <definedName name="Print1" localSheetId="22">#REF!</definedName>
    <definedName name="Print1" localSheetId="16">#REF!</definedName>
    <definedName name="Print1" localSheetId="25">#REF!</definedName>
    <definedName name="Print1" localSheetId="2">#REF!</definedName>
    <definedName name="Print1" localSheetId="26">#REF!</definedName>
    <definedName name="Print1" localSheetId="27">#REF!</definedName>
    <definedName name="Print1" localSheetId="6">#REF!</definedName>
    <definedName name="Print1">#REF!</definedName>
    <definedName name="Print3" localSheetId="17">#REF!</definedName>
    <definedName name="Print3" localSheetId="21">#REF!</definedName>
    <definedName name="Print3" localSheetId="22">#REF!</definedName>
    <definedName name="Print3" localSheetId="16">#REF!</definedName>
    <definedName name="Print3" localSheetId="25">#REF!</definedName>
    <definedName name="Print3" localSheetId="2">#REF!</definedName>
    <definedName name="Print3" localSheetId="27">#REF!</definedName>
    <definedName name="Print3" localSheetId="6">#REF!</definedName>
    <definedName name="Print3">#REF!</definedName>
    <definedName name="Print4" localSheetId="17">#REF!</definedName>
    <definedName name="Print4" localSheetId="21">#REF!</definedName>
    <definedName name="Print4" localSheetId="22">#REF!</definedName>
    <definedName name="Print4" localSheetId="16">#REF!</definedName>
    <definedName name="Print4" localSheetId="25">#REF!</definedName>
    <definedName name="Print4" localSheetId="2">#REF!</definedName>
    <definedName name="Print4" localSheetId="27">#REF!</definedName>
    <definedName name="Print4" localSheetId="6">#REF!</definedName>
    <definedName name="Print4">#REF!</definedName>
    <definedName name="Print5" localSheetId="17">#REF!</definedName>
    <definedName name="Print5" localSheetId="21">#REF!</definedName>
    <definedName name="Print5" localSheetId="22">#REF!</definedName>
    <definedName name="Print5" localSheetId="16">#REF!</definedName>
    <definedName name="Print5" localSheetId="25">#REF!</definedName>
    <definedName name="Print5" localSheetId="2">#REF!</definedName>
    <definedName name="Print5" localSheetId="27">#REF!</definedName>
    <definedName name="Print5" localSheetId="6">#REF!</definedName>
    <definedName name="Print5">#REF!</definedName>
    <definedName name="Proj_PIS">'[5]Final Summary Sheet'!$AB$132:$AM$141</definedName>
    <definedName name="Projection">"Projection"</definedName>
    <definedName name="ProjIDList" localSheetId="17">#REF!</definedName>
    <definedName name="ProjIDList" localSheetId="21">#REF!</definedName>
    <definedName name="ProjIDList" localSheetId="22">#REF!</definedName>
    <definedName name="ProjIDList" localSheetId="16">#REF!</definedName>
    <definedName name="ProjIDList" localSheetId="25">#REF!</definedName>
    <definedName name="ProjIDList" localSheetId="2">#REF!</definedName>
    <definedName name="ProjIDList" localSheetId="26">#REF!</definedName>
    <definedName name="ProjIDList" localSheetId="27">#REF!</definedName>
    <definedName name="ProjIDList" localSheetId="6">#REF!</definedName>
    <definedName name="ProjIDList">#REF!</definedName>
    <definedName name="PROSPECT" localSheetId="17">#REF!</definedName>
    <definedName name="PROSPECT" localSheetId="21">#REF!</definedName>
    <definedName name="PROSPECT" localSheetId="22">#REF!</definedName>
    <definedName name="PROSPECT" localSheetId="16">#REF!</definedName>
    <definedName name="PROSPECT" localSheetId="25">#REF!</definedName>
    <definedName name="PROSPECT" localSheetId="2">#REF!</definedName>
    <definedName name="PROSPECT" localSheetId="27">#REF!</definedName>
    <definedName name="PROSPECT" localSheetId="6">#REF!</definedName>
    <definedName name="PROSPECT">#REF!</definedName>
    <definedName name="PSCo_COS" localSheetId="17">#REF!</definedName>
    <definedName name="PSCo_COS" localSheetId="21">#REF!</definedName>
    <definedName name="PSCo_COS" localSheetId="22">#REF!</definedName>
    <definedName name="PSCo_COS" localSheetId="16">#REF!</definedName>
    <definedName name="PSCo_COS" localSheetId="25">#REF!</definedName>
    <definedName name="PSCo_COS" localSheetId="2">#REF!</definedName>
    <definedName name="PSCo_COS" localSheetId="27">#REF!</definedName>
    <definedName name="PSCo_COS" localSheetId="6">#REF!</definedName>
    <definedName name="PSCo_COS">#REF!</definedName>
    <definedName name="q_MTEP06_App_AB_Facility" localSheetId="17">#REF!</definedName>
    <definedName name="q_MTEP06_App_AB_Facility" localSheetId="21">#REF!</definedName>
    <definedName name="q_MTEP06_App_AB_Facility" localSheetId="22">#REF!</definedName>
    <definedName name="q_MTEP06_App_AB_Facility" localSheetId="16">#REF!</definedName>
    <definedName name="q_MTEP06_App_AB_Facility" localSheetId="25">#REF!</definedName>
    <definedName name="q_MTEP06_App_AB_Facility" localSheetId="2">#REF!</definedName>
    <definedName name="q_MTEP06_App_AB_Facility" localSheetId="27">#REF!</definedName>
    <definedName name="q_MTEP06_App_AB_Facility" localSheetId="6">#REF!</definedName>
    <definedName name="q_MTEP06_App_AB_Facility">#REF!</definedName>
    <definedName name="q_MTEP06_App_AB_Projects" localSheetId="17">#REF!</definedName>
    <definedName name="q_MTEP06_App_AB_Projects" localSheetId="21">#REF!</definedName>
    <definedName name="q_MTEP06_App_AB_Projects" localSheetId="22">#REF!</definedName>
    <definedName name="q_MTEP06_App_AB_Projects" localSheetId="16">#REF!</definedName>
    <definedName name="q_MTEP06_App_AB_Projects" localSheetId="25">#REF!</definedName>
    <definedName name="q_MTEP06_App_AB_Projects" localSheetId="2">#REF!</definedName>
    <definedName name="q_MTEP06_App_AB_Projects" localSheetId="27">#REF!</definedName>
    <definedName name="q_MTEP06_App_AB_Projects" localSheetId="6">#REF!</definedName>
    <definedName name="q_MTEP06_App_AB_Projects">#REF!</definedName>
    <definedName name="retail" localSheetId="26" hidden="1">{#N/A,#N/A,FALSE,"Loans";#N/A,#N/A,FALSE,"Program Costs";#N/A,#N/A,FALSE,"Measures";#N/A,#N/A,FALSE,"Net Lost Rev";#N/A,#N/A,FALSE,"Incentive"}</definedName>
    <definedName name="retail" localSheetId="27"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6" hidden="1">{#N/A,#N/A,FALSE,"Loans";#N/A,#N/A,FALSE,"Program Costs";#N/A,#N/A,FALSE,"Measures";#N/A,#N/A,FALSE,"Net Lost Rev";#N/A,#N/A,FALSE,"Incentive"}</definedName>
    <definedName name="retail_CC" localSheetId="2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6" hidden="1">{#N/A,#N/A,FALSE,"Loans";#N/A,#N/A,FALSE,"Program Costs";#N/A,#N/A,FALSE,"Measures";#N/A,#N/A,FALSE,"Net Lost Rev";#N/A,#N/A,FALSE,"Incentive"}</definedName>
    <definedName name="retail_CC1" localSheetId="27"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17">#REF!</definedName>
    <definedName name="revreq" localSheetId="21">#REF!</definedName>
    <definedName name="revreq" localSheetId="22">#REF!</definedName>
    <definedName name="revreq" localSheetId="16">#REF!</definedName>
    <definedName name="revreq" localSheetId="25">#REF!</definedName>
    <definedName name="revreq" localSheetId="2">#REF!</definedName>
    <definedName name="revreq" localSheetId="26">#REF!</definedName>
    <definedName name="revreq" localSheetId="27">#REF!</definedName>
    <definedName name="revreq" localSheetId="6">#REF!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17">#REF!</definedName>
    <definedName name="SEVILLE" localSheetId="21">#REF!</definedName>
    <definedName name="SEVILLE" localSheetId="22">#REF!</definedName>
    <definedName name="SEVILLE" localSheetId="16">#REF!</definedName>
    <definedName name="SEVILLE" localSheetId="25">#REF!</definedName>
    <definedName name="SEVILLE" localSheetId="2">#REF!</definedName>
    <definedName name="SEVILLE" localSheetId="26">#REF!</definedName>
    <definedName name="SEVILLE" localSheetId="27">#REF!</definedName>
    <definedName name="SEVILLE" localSheetId="6">#REF!</definedName>
    <definedName name="SEVILLE">#REF!</definedName>
    <definedName name="shit" localSheetId="26" hidden="1">{"PRINT",#N/A,TRUE,"APPA";"PRINT",#N/A,TRUE,"APS";"PRINT",#N/A,TRUE,"BHPL";"PRINT",#N/A,TRUE,"BHPL2";"PRINT",#N/A,TRUE,"CDWR";"PRINT",#N/A,TRUE,"EWEB";"PRINT",#N/A,TRUE,"LADWP";"PRINT",#N/A,TRUE,"NEVBASE"}</definedName>
    <definedName name="shit" localSheetId="27"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17">#REF!</definedName>
    <definedName name="SOUTH_VIENNA" localSheetId="21">#REF!</definedName>
    <definedName name="SOUTH_VIENNA" localSheetId="22">#REF!</definedName>
    <definedName name="SOUTH_VIENNA" localSheetId="16">#REF!</definedName>
    <definedName name="SOUTH_VIENNA" localSheetId="25">#REF!</definedName>
    <definedName name="SOUTH_VIENNA" localSheetId="2">#REF!</definedName>
    <definedName name="SOUTH_VIENNA" localSheetId="26">#REF!</definedName>
    <definedName name="SOUTH_VIENNA" localSheetId="27">#REF!</definedName>
    <definedName name="SOUTH_VIENNA" localSheetId="6">#REF!</definedName>
    <definedName name="SOUTH_VIENNA">#REF!</definedName>
    <definedName name="SPS_COS" localSheetId="17">#REF!</definedName>
    <definedName name="SPS_COS" localSheetId="21">#REF!</definedName>
    <definedName name="SPS_COS" localSheetId="22">#REF!</definedName>
    <definedName name="SPS_COS" localSheetId="16">#REF!</definedName>
    <definedName name="SPS_COS" localSheetId="25">#REF!</definedName>
    <definedName name="SPS_COS" localSheetId="2">#REF!</definedName>
    <definedName name="SPS_COS" localSheetId="27">#REF!</definedName>
    <definedName name="SPS_COS" localSheetId="6">#REF!</definedName>
    <definedName name="SPS_COS">#REF!</definedName>
    <definedName name="TEST0" localSheetId="17">#REF!</definedName>
    <definedName name="TEST0" localSheetId="27">#REF!</definedName>
    <definedName name="TEST0" localSheetId="6">#REF!</definedName>
    <definedName name="TEST0">#REF!</definedName>
    <definedName name="TESTHKEY" localSheetId="17">#REF!</definedName>
    <definedName name="TESTHKEY" localSheetId="27">#REF!</definedName>
    <definedName name="TESTHKEY" localSheetId="6">#REF!</definedName>
    <definedName name="TESTHKEY">#REF!</definedName>
    <definedName name="TESTKEYS" localSheetId="17">#REF!</definedName>
    <definedName name="TESTKEYS" localSheetId="27">#REF!</definedName>
    <definedName name="TESTKEYS" localSheetId="6">#REF!</definedName>
    <definedName name="TESTKEYS">#REF!</definedName>
    <definedName name="TESTVKEY" localSheetId="17">#REF!</definedName>
    <definedName name="TESTVKEY" localSheetId="27">#REF!</definedName>
    <definedName name="TESTVKEY" localSheetId="6">#REF!</definedName>
    <definedName name="TESTVKEY">#REF!</definedName>
    <definedName name="Toggle" localSheetId="26">Projection</definedName>
    <definedName name="Toggle" localSheetId="27">Projection</definedName>
    <definedName name="Toggle">Projection</definedName>
    <definedName name="Toggle.list">'[4]Appendix A'!$P$5:$P$6</definedName>
    <definedName name="TOTAL_COLUMBIANA" localSheetId="17">#REF!</definedName>
    <definedName name="TOTAL_COLUMBIANA" localSheetId="21">#REF!</definedName>
    <definedName name="TOTAL_COLUMBIANA" localSheetId="22">#REF!</definedName>
    <definedName name="TOTAL_COLUMBIANA" localSheetId="16">#REF!</definedName>
    <definedName name="TOTAL_COLUMBIANA" localSheetId="25">#REF!</definedName>
    <definedName name="TOTAL_COLUMBIANA" localSheetId="2">#REF!</definedName>
    <definedName name="TOTAL_COLUMBIANA" localSheetId="26">#REF!</definedName>
    <definedName name="TOTAL_COLUMBIANA" localSheetId="27">#REF!</definedName>
    <definedName name="TOTAL_COLUMBIANA" localSheetId="6">#REF!</definedName>
    <definedName name="TOTAL_COLUMBIANA">#REF!</definedName>
    <definedName name="Total_Grove_City" localSheetId="17">#REF!</definedName>
    <definedName name="Total_Grove_City" localSheetId="21">#REF!</definedName>
    <definedName name="Total_Grove_City" localSheetId="22">#REF!</definedName>
    <definedName name="Total_Grove_City" localSheetId="16">#REF!</definedName>
    <definedName name="Total_Grove_City" localSheetId="25">#REF!</definedName>
    <definedName name="Total_Grove_City" localSheetId="2">#REF!</definedName>
    <definedName name="Total_Grove_City" localSheetId="27">#REF!</definedName>
    <definedName name="Total_Grove_City" localSheetId="6">#REF!</definedName>
    <definedName name="Total_Grove_City">#REF!</definedName>
    <definedName name="TOTAL_HUDSON" localSheetId="17">#REF!</definedName>
    <definedName name="TOTAL_HUDSON" localSheetId="21">#REF!</definedName>
    <definedName name="TOTAL_HUDSON" localSheetId="22">#REF!</definedName>
    <definedName name="TOTAL_HUDSON" localSheetId="16">#REF!</definedName>
    <definedName name="TOTAL_HUDSON" localSheetId="25">#REF!</definedName>
    <definedName name="TOTAL_HUDSON" localSheetId="2">#REF!</definedName>
    <definedName name="TOTAL_HUDSON" localSheetId="27">#REF!</definedName>
    <definedName name="TOTAL_HUDSON" localSheetId="6">#REF!</definedName>
    <definedName name="TOTAL_HUDSON">#REF!</definedName>
    <definedName name="TOTAL_MONTPELIER" localSheetId="17">#REF!</definedName>
    <definedName name="TOTAL_MONTPELIER" localSheetId="21">#REF!</definedName>
    <definedName name="TOTAL_MONTPELIER" localSheetId="22">#REF!</definedName>
    <definedName name="TOTAL_MONTPELIER" localSheetId="16">#REF!</definedName>
    <definedName name="TOTAL_MONTPELIER" localSheetId="25">#REF!</definedName>
    <definedName name="TOTAL_MONTPELIER" localSheetId="2">#REF!</definedName>
    <definedName name="TOTAL_MONTPELIER" localSheetId="27">#REF!</definedName>
    <definedName name="TOTAL_MONTPELIER" localSheetId="6">#REF!</definedName>
    <definedName name="TOTAL_MONTPELIER">#REF!</definedName>
    <definedName name="TOTAL_WOODVILLE" localSheetId="17">#REF!</definedName>
    <definedName name="TOTAL_WOODVILLE" localSheetId="21">#REF!</definedName>
    <definedName name="TOTAL_WOODVILLE" localSheetId="22">#REF!</definedName>
    <definedName name="TOTAL_WOODVILLE" localSheetId="16">#REF!</definedName>
    <definedName name="TOTAL_WOODVILLE" localSheetId="25">#REF!</definedName>
    <definedName name="TOTAL_WOODVILLE" localSheetId="2">#REF!</definedName>
    <definedName name="TOTAL_WOODVILLE" localSheetId="27">#REF!</definedName>
    <definedName name="TOTAL_WOODVILLE" localSheetId="6">#REF!</definedName>
    <definedName name="TOTAL_WOODVILLE">#REF!</definedName>
    <definedName name="transmission.fixed.charge.rate">0.1525</definedName>
    <definedName name="True_up">'[4]Appendix A'!$P$6</definedName>
    <definedName name="WADSWORTH" localSheetId="17">#REF!</definedName>
    <definedName name="WADSWORTH" localSheetId="21">#REF!</definedName>
    <definedName name="WADSWORTH" localSheetId="22">#REF!</definedName>
    <definedName name="WADSWORTH" localSheetId="16">#REF!</definedName>
    <definedName name="WADSWORTH" localSheetId="25">#REF!</definedName>
    <definedName name="WADSWORTH" localSheetId="2">#REF!</definedName>
    <definedName name="WADSWORTH" localSheetId="26">#REF!</definedName>
    <definedName name="WADSWORTH" localSheetId="27">#REF!</definedName>
    <definedName name="WADSWORTH" localSheetId="6">#REF!</definedName>
    <definedName name="WADSWORTH">#REF!</definedName>
    <definedName name="WELLINGTON" localSheetId="17">#REF!</definedName>
    <definedName name="WELLINGTON" localSheetId="21">#REF!</definedName>
    <definedName name="WELLINGTON" localSheetId="22">#REF!</definedName>
    <definedName name="WELLINGTON" localSheetId="16">#REF!</definedName>
    <definedName name="WELLINGTON" localSheetId="25">#REF!</definedName>
    <definedName name="WELLINGTON" localSheetId="2">#REF!</definedName>
    <definedName name="WELLINGTON" localSheetId="27">#REF!</definedName>
    <definedName name="WELLINGTON" localSheetId="6">#REF!</definedName>
    <definedName name="WELLINGTON">#REF!</definedName>
    <definedName name="wrn.All._.Pages." localSheetId="26" hidden="1">{#N/A,#N/A,FALSE,"Cover";#N/A,#N/A,FALSE,"Lead Sheet";#N/A,#N/A,FALSE,"T-Accounts";#N/A,#N/A,FALSE,"Ins &amp; Prem ActualEstimates"}</definedName>
    <definedName name="wrn.All._.Pages." localSheetId="27"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6" hidden="1">{"Factors Pages 1-2",#N/A,FALSE,"Factors";"Factors Page 3",#N/A,FALSE,"Factors";"Factors Page 4",#N/A,FALSE,"Factors";"Factors Page 5",#N/A,FALSE,"Factors";"Factors Pages 8-27",#N/A,FALSE,"Factors"}</definedName>
    <definedName name="wrn.Factors._.Tab._.10." localSheetId="27"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6" hidden="1">{#N/A,#N/A,FALSE,"Loans";#N/A,#N/A,FALSE,"Program Costs";#N/A,#N/A,FALSE,"Measures";#N/A,#N/A,FALSE,"Net Lost Rev";#N/A,#N/A,FALSE,"Incentive"}</definedName>
    <definedName name="wrn.OR._.Carrying._.Charge._.JV." localSheetId="2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6" hidden="1">{#N/A,#N/A,FALSE,"Loans";#N/A,#N/A,FALSE,"Program Costs";#N/A,#N/A,FALSE,"Measures";#N/A,#N/A,FALSE,"Net Lost Rev";#N/A,#N/A,FALSE,"Incentive"}</definedName>
    <definedName name="wrn.OR._.Carrying._.Charge._.JV.1" localSheetId="2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6" hidden="1">{"PRINT",#N/A,TRUE,"APPA";"PRINT",#N/A,TRUE,"APS";"PRINT",#N/A,TRUE,"BHPL";"PRINT",#N/A,TRUE,"BHPL2";"PRINT",#N/A,TRUE,"CDWR";"PRINT",#N/A,TRUE,"EWEB";"PRINT",#N/A,TRUE,"LADWP";"PRINT",#N/A,TRUE,"NEVBASE"}</definedName>
    <definedName name="wrn.SALES._.VAR._.95._.BUDGET." localSheetId="27"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6" hidden="1">{"Factors Pages 1-2",#N/A,FALSE,"Variables";"Factors Page 3",#N/A,FALSE,"Variables";"Factors Page 4",#N/A,FALSE,"Variables";"Factors Page 5",#N/A,FALSE,"Variables";"YE Pages 7-26",#N/A,FALSE,"Variables"}</definedName>
    <definedName name="wrn.YearEnd." localSheetId="27"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17">'[6]Data Entry and Forecaster'!#REF!</definedName>
    <definedName name="Xcel" localSheetId="21">'[6]Data Entry and Forecaster'!#REF!</definedName>
    <definedName name="Xcel" localSheetId="22">'[6]Data Entry and Forecaster'!#REF!</definedName>
    <definedName name="Xcel" localSheetId="11">'[6]Data Entry and Forecaster'!#REF!</definedName>
    <definedName name="Xcel" localSheetId="15">'[6]Data Entry and Forecaster'!#REF!</definedName>
    <definedName name="Xcel" localSheetId="16">'[6]Data Entry and Forecaster'!#REF!</definedName>
    <definedName name="Xcel" localSheetId="25">'[6]Data Entry and Forecaster'!#REF!</definedName>
    <definedName name="Xcel" localSheetId="26">'[7]Data Entry and Forecaster'!#REF!</definedName>
    <definedName name="Xcel" localSheetId="27">'[7]Data Entry and Forecaster'!#REF!</definedName>
    <definedName name="Xcel" localSheetId="4">'[6]Data Entry and Forecaster'!#REF!</definedName>
    <definedName name="Xcel" localSheetId="5">'[6]Data Entry and Forecaster'!#REF!</definedName>
    <definedName name="Xcel" localSheetId="9">'[6]Data Entry and Forecaster'!#REF!</definedName>
    <definedName name="Xcel" localSheetId="10">'[6]Data Entry and Forecaster'!#REF!</definedName>
    <definedName name="Xcel" localSheetId="6">'[6]Data Entry and Forecaster'!#REF!</definedName>
    <definedName name="Xcel">'[6]Data Entry and Forecaster'!#REF!</definedName>
    <definedName name="Xcel_COS" localSheetId="17">#REF!</definedName>
    <definedName name="Xcel_COS" localSheetId="21">#REF!</definedName>
    <definedName name="Xcel_COS" localSheetId="22">#REF!</definedName>
    <definedName name="Xcel_COS" localSheetId="16">#REF!</definedName>
    <definedName name="Xcel_COS" localSheetId="25">#REF!</definedName>
    <definedName name="Xcel_COS" localSheetId="2">#REF!</definedName>
    <definedName name="Xcel_COS" localSheetId="26">#REF!</definedName>
    <definedName name="Xcel_COS" localSheetId="27">#REF!</definedName>
    <definedName name="Xcel_COS" localSheetId="6">#REF!</definedName>
    <definedName name="Xcel_COS">#REF!</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TEC'!$A$1:$N$95</definedName>
    <definedName name="Z_E1861F40_EBD5_44AE_868B_FDE0ED504D72_.wvu.PrintArea" localSheetId="15" hidden="1">'Attachment 12 - TEC True-up'!$A$1:$L$52</definedName>
    <definedName name="Z_E1861F40_EBD5_44AE_868B_FDE0ED504D72_.wvu.PrintArea" localSheetId="0" hidden="1">'Attachment H-28A MAIT '!$A$1:$K$330</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extLst/>
</workbook>
</file>

<file path=xl/calcChain.xml><?xml version="1.0" encoding="utf-8"?>
<calcChain xmlns="http://schemas.openxmlformats.org/spreadsheetml/2006/main">
  <c r="D300" i="1" l="1"/>
</calcChain>
</file>

<file path=xl/sharedStrings.xml><?xml version="1.0" encoding="utf-8"?>
<sst xmlns="http://schemas.openxmlformats.org/spreadsheetml/2006/main" count="2341" uniqueCount="1322">
  <si>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</si>
  <si>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</si>
  <si>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</si>
  <si>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</si>
  <si>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</si>
  <si>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</si>
  <si>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</si>
  <si>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</si>
  <si>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</si>
  <si>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</si>
  <si>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</si>
  <si>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</si>
  <si>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</si>
  <si>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</si>
  <si>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</si>
  <si>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</si>
  <si>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</si>
  <si>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</si>
  <si>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</si>
  <si>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</si>
  <si>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</si>
  <si>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</si>
  <si>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</si>
  <si>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</si>
  <si>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</si>
  <si>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</si>
  <si>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</si>
  <si>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</si>
  <si>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</si>
  <si>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</si>
  <si>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</si>
  <si>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</si>
  <si>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</si>
  <si>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</si>
  <si>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</si>
  <si>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</si>
  <si>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</si>
  <si>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</si>
  <si>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</si>
  <si>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</si>
  <si>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</si>
  <si>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</si>
  <si>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</si>
  <si>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</si>
  <si>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</si>
  <si>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</si>
  <si>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</si>
  <si>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</si>
  <si>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</si>
  <si>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</si>
  <si>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</si>
  <si>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</si>
  <si>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</si>
  <si>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</si>
  <si>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</si>
  <si>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</si>
  <si>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</si>
  <si>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</si>
  <si>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</si>
  <si>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</si>
  <si>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</si>
  <si>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</si>
  <si>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</si>
  <si>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</si>
  <si>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</si>
  <si>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</si>
  <si>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</si>
  <si>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</si>
  <si>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</si>
  <si>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</si>
  <si>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</si>
  <si>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</si>
  <si>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</si>
  <si>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</si>
  <si>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</si>
  <si>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</si>
  <si>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</si>
  <si>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</si>
  <si>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</si>
  <si>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</si>
  <si>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</si>
  <si>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</si>
  <si>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</si>
  <si>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</si>
  <si>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</si>
  <si>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</si>
  <si>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</si>
  <si>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</si>
  <si>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</si>
  <si>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</si>
  <si>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</si>
  <si>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</si>
  <si>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</si>
  <si>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</si>
  <si>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</si>
  <si>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</si>
  <si>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</si>
  <si>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</si>
  <si>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</si>
  <si>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</si>
  <si>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</si>
  <si>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</si>
  <si>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</si>
  <si>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</si>
  <si>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</si>
  <si>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</si>
  <si>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</si>
  <si>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</si>
  <si>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</si>
  <si>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</si>
  <si>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</si>
  <si>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</si>
  <si>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</si>
  <si>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</si>
  <si>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</si>
  <si>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</si>
  <si>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</si>
  <si>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</si>
  <si>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</si>
  <si>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</si>
  <si>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</si>
  <si>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</si>
  <si>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</si>
  <si>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</si>
  <si>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</si>
  <si>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</si>
  <si>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</si>
  <si>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</si>
  <si>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</si>
  <si>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</si>
  <si>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</si>
  <si>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</si>
  <si>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</si>
  <si>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</si>
  <si>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</si>
  <si>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</si>
  <si>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</si>
  <si>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</si>
  <si>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</si>
  <si>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</si>
  <si>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</si>
  <si>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</si>
  <si>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</si>
  <si>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</si>
  <si>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</si>
  <si>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</si>
  <si>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</si>
  <si>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</si>
  <si>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</si>
  <si>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</si>
  <si>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</si>
  <si>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</si>
  <si>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</si>
  <si>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</si>
  <si>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</si>
  <si>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</si>
  <si>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</si>
  <si>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</si>
  <si>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</si>
  <si>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</si>
  <si>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</si>
  <si>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</si>
  <si>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</si>
  <si>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</si>
  <si>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</si>
  <si>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</si>
  <si>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</si>
  <si>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</si>
  <si>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</si>
  <si>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</si>
  <si>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</si>
  <si>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</si>
  <si>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</si>
  <si>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</si>
  <si>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</si>
  <si>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</si>
  <si>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</si>
  <si>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</si>
  <si>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</si>
  <si>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</si>
  <si>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</si>
  <si>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</si>
  <si>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</si>
  <si>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</si>
  <si>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</si>
  <si>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</si>
  <si>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</si>
  <si>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</si>
  <si>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</si>
  <si>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</si>
  <si>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</si>
  <si>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</si>
  <si>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</si>
  <si>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</si>
  <si>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</si>
  <si>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</si>
  <si>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</si>
  <si>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</si>
  <si>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</si>
  <si>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</si>
  <si>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</si>
  <si>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</si>
  <si>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</si>
  <si>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</si>
  <si>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</si>
  <si>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</si>
  <si>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</si>
  <si>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</si>
  <si>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</si>
  <si>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</si>
  <si>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</si>
  <si>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</si>
  <si>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</si>
  <si>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</si>
  <si>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</si>
  <si>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</si>
  <si>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</si>
  <si>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</si>
  <si>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</si>
  <si>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</si>
  <si>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</si>
  <si>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</si>
  <si>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</si>
  <si>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</si>
  <si>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</si>
  <si>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</si>
  <si>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</si>
  <si>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</si>
  <si>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</si>
  <si>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</si>
  <si>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</si>
  <si>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</si>
  <si>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</si>
  <si>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</si>
  <si>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</si>
  <si>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</si>
  <si>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</si>
  <si>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</si>
  <si>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</si>
  <si>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</si>
  <si>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</si>
  <si>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</si>
  <si>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</si>
  <si>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</si>
  <si>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</si>
  <si>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</si>
  <si>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</si>
  <si>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</si>
  <si>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</si>
  <si>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</si>
  <si>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</si>
  <si>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</si>
  <si>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</si>
  <si>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</si>
  <si>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</si>
  <si>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</si>
  <si>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</si>
  <si>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</si>
  <si>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</si>
  <si>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</si>
  <si>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</si>
  <si>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</si>
  <si>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</si>
  <si>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</si>
  <si>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</si>
  <si>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</si>
  <si>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</si>
  <si>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</si>
  <si>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</si>
  <si>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</si>
  <si>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</si>
  <si>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</si>
  <si>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</si>
  <si>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</si>
  <si>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</si>
  <si>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Property Taxes</t>
  </si>
  <si>
    <t>Gross Receipts Tax</t>
  </si>
  <si>
    <t>Highway and Vehicle Taxes</t>
  </si>
  <si>
    <t>Payroll Taxes</t>
  </si>
  <si>
    <t>Other Taxes</t>
  </si>
  <si>
    <t>Sales &amp; Use Tax</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</si>
  <si>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</si>
  <si>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</si>
  <si>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</si>
  <si>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</si>
  <si>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</si>
  <si>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</si>
  <si>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</si>
  <si>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</si>
  <si>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</si>
  <si>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</si>
  <si>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</si>
  <si>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</si>
  <si>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</si>
  <si>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</si>
  <si>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</si>
  <si>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</si>
  <si>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</si>
  <si>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</si>
  <si>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</si>
  <si>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</si>
  <si>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</si>
  <si>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</si>
  <si>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</si>
  <si>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</si>
  <si>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</si>
  <si>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</si>
  <si>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</si>
  <si>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</si>
  <si>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</si>
  <si>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</si>
  <si>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</si>
  <si>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</si>
  <si>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</si>
  <si>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</si>
  <si>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</si>
  <si>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</si>
  <si>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</si>
  <si>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</si>
  <si>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</si>
  <si>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</si>
  <si>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</si>
  <si>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</si>
  <si>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</si>
  <si>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</si>
  <si>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</si>
  <si>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</si>
  <si>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</si>
  <si>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</si>
  <si>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</si>
  <si>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</si>
  <si>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</si>
  <si>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</si>
  <si>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</si>
  <si>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</si>
  <si>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</si>
  <si>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</si>
  <si>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</si>
  <si>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</si>
  <si>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</si>
  <si>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</si>
  <si>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</si>
  <si>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</si>
  <si>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</si>
  <si>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</si>
  <si>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</si>
  <si>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</si>
  <si>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</si>
  <si>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</si>
  <si>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</si>
  <si>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</si>
  <si>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</si>
  <si>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</si>
  <si>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</si>
  <si>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</si>
  <si>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</si>
  <si>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</si>
  <si>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</si>
  <si>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</si>
  <si>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</si>
  <si>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</si>
  <si>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</si>
  <si>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</si>
  <si>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</si>
  <si>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</si>
  <si>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</si>
  <si>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</si>
  <si>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</si>
  <si>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</si>
  <si>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</si>
  <si>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</si>
  <si>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</si>
  <si>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</si>
  <si>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</si>
  <si>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</si>
  <si>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</si>
  <si>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</si>
  <si>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</si>
  <si>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</si>
  <si>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</si>
  <si>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</si>
  <si>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</si>
  <si>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</si>
  <si>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</si>
  <si>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</si>
  <si>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</si>
  <si>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</si>
  <si>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</si>
  <si>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</si>
  <si>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</si>
  <si>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</si>
  <si>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</si>
  <si>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</si>
  <si>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</si>
  <si>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</si>
  <si>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</si>
  <si>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</si>
  <si>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</si>
  <si>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</si>
  <si>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</si>
  <si>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</si>
  <si>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</si>
  <si>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</si>
  <si>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</si>
  <si>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</si>
  <si>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</si>
  <si>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</si>
  <si>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</si>
  <si>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</si>
  <si>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</si>
  <si>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</si>
  <si>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</si>
  <si>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</si>
  <si>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</si>
  <si>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</si>
  <si>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</si>
  <si>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</si>
  <si>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</si>
  <si>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</si>
  <si>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</si>
  <si>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</si>
  <si>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</si>
  <si>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</si>
  <si>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</si>
  <si>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</si>
  <si>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</si>
  <si>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</si>
  <si>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</si>
  <si>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</si>
  <si>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</si>
  <si>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</si>
  <si>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</si>
  <si>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</si>
  <si>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</si>
  <si>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</si>
  <si>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</si>
  <si>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</si>
  <si>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</si>
  <si>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</si>
  <si>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</si>
  <si>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</si>
  <si>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</si>
  <si>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ADIT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</si>
  <si>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</si>
  <si>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</si>
  <si>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</si>
  <si>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</si>
  <si>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</si>
  <si>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</si>
  <si>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</si>
  <si>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</si>
  <si>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</si>
  <si>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</si>
  <si>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</si>
  <si>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</si>
  <si>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</si>
  <si>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</si>
  <si>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</si>
  <si>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p232 (and Notes)</t>
  </si>
  <si>
    <t xml:space="preserve">p232 (and Notes) </t>
  </si>
  <si>
    <t>Amortization Expense                             (Company Records)</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</si>
  <si>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</si>
  <si>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</si>
  <si>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</si>
  <si>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</si>
  <si>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</si>
  <si>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</si>
  <si>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</si>
  <si>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</si>
  <si>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</si>
  <si>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</si>
  <si>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</si>
  <si>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</si>
  <si>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</si>
  <si>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</si>
  <si>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</si>
  <si>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</si>
  <si>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</si>
  <si>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</si>
  <si>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</si>
  <si>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</si>
  <si>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</si>
  <si>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</si>
  <si>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</si>
  <si>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</si>
  <si>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</si>
  <si>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</si>
  <si>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</si>
  <si>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</si>
  <si>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</si>
  <si>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</si>
  <si>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</si>
  <si>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</si>
  <si>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</si>
  <si>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</si>
  <si>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</si>
  <si>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</si>
  <si>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</si>
  <si>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</si>
  <si>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</si>
  <si>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</si>
  <si>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</si>
  <si>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</si>
  <si>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</si>
  <si>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</si>
  <si>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</si>
  <si>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</si>
  <si>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</si>
  <si>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</si>
  <si>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</si>
  <si>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</si>
  <si>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</si>
  <si>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</si>
  <si>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</si>
  <si>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</si>
  <si>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</si>
  <si>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</si>
  <si>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</si>
  <si>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</si>
  <si>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</si>
  <si>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</si>
  <si>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</si>
  <si>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</si>
  <si>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</si>
  <si>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</si>
  <si>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</si>
  <si>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</si>
  <si>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</si>
  <si>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</si>
  <si>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</si>
  <si>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</si>
  <si>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</si>
  <si>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</si>
  <si>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</si>
  <si>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</si>
  <si>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</si>
  <si>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</si>
  <si>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</si>
  <si>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</si>
  <si>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</si>
  <si>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</si>
  <si>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</si>
  <si>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</si>
  <si>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</si>
  <si>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</si>
  <si>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</si>
  <si>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</si>
  <si>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</si>
  <si>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Pro-rated Q1</t>
  </si>
  <si>
    <t>Pro-rated Q2</t>
  </si>
  <si>
    <t>Pro-rated Q3</t>
  </si>
  <si>
    <t>Pro-rated Q4</t>
  </si>
  <si>
    <t>Pro-rated Total</t>
  </si>
  <si>
    <t>Prorated year-end less FERC Form 1 Year-end</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</si>
  <si>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</si>
  <si>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</si>
  <si>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</si>
  <si>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</si>
  <si>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</si>
  <si>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</si>
  <si>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</si>
  <si>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</si>
  <si>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</si>
  <si>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</si>
  <si>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</si>
  <si>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</si>
  <si>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</si>
  <si>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</si>
  <si>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</si>
  <si>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</si>
  <si>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</si>
  <si>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</si>
  <si>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</si>
  <si>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</si>
  <si>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</si>
  <si>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</si>
  <si>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</si>
  <si>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</si>
  <si>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</si>
  <si>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</si>
  <si>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</si>
  <si>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</si>
  <si>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</si>
  <si>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</si>
  <si>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</si>
  <si>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</si>
  <si>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</si>
  <si>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</si>
  <si>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</si>
  <si>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</si>
  <si>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</si>
  <si>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</si>
  <si>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</si>
  <si>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</si>
  <si>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</si>
  <si>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</si>
  <si>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</si>
  <si>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</si>
  <si>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</si>
  <si>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</si>
  <si>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</si>
  <si>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</si>
  <si>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</si>
  <si>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</si>
  <si>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</si>
  <si>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</si>
  <si>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</si>
  <si>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</si>
  <si>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</si>
  <si>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</si>
  <si>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</si>
  <si>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</si>
  <si>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</si>
  <si>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</si>
  <si>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</si>
  <si>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</si>
  <si>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</si>
  <si>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</si>
  <si>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</si>
  <si>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</si>
  <si>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</si>
  <si>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</si>
  <si>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</si>
  <si>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</si>
  <si>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</si>
  <si>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</si>
  <si>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</si>
  <si>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</si>
  <si>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</si>
  <si>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</si>
  <si>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</si>
  <si>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</si>
  <si>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</si>
  <si>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</si>
  <si>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</si>
  <si>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</si>
  <si>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</si>
  <si>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</si>
  <si>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</si>
  <si>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</si>
  <si>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</si>
  <si>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</si>
  <si>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</si>
  <si>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</si>
  <si>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</si>
  <si>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</si>
  <si>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</si>
  <si>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</si>
  <si>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</si>
  <si>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</si>
  <si>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</si>
  <si>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</si>
  <si>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</si>
  <si>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</si>
  <si>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</si>
  <si>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</si>
  <si>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</si>
  <si>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</si>
  <si>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</si>
  <si>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</si>
  <si>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</si>
  <si>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</si>
  <si>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</si>
  <si>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</si>
  <si>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</si>
  <si>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</si>
  <si>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</si>
  <si>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</si>
  <si>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</si>
  <si>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</si>
  <si>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</si>
  <si>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</si>
  <si>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</si>
  <si>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</si>
  <si>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</si>
  <si>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</si>
  <si>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</si>
  <si>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</si>
  <si>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</si>
  <si>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</si>
  <si>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</si>
  <si>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</si>
  <si>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</si>
  <si>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</si>
  <si>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</si>
  <si>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</si>
  <si>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</si>
  <si>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</si>
  <si>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</si>
  <si>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</si>
  <si>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</si>
  <si>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</si>
  <si>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</si>
  <si>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</si>
  <si>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</si>
  <si>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</si>
  <si>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</si>
  <si>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</si>
  <si>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</si>
  <si>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</si>
  <si>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</si>
  <si>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</si>
  <si>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</si>
  <si>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</si>
  <si>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</si>
  <si>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</si>
  <si>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</si>
  <si>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</si>
  <si>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</si>
  <si>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</si>
  <si>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</si>
  <si>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</si>
  <si>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</si>
  <si>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</si>
  <si>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</si>
  <si>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</si>
  <si>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</si>
  <si>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</si>
  <si>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</si>
  <si>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</si>
  <si>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</si>
  <si>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</si>
  <si>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</si>
  <si>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</si>
  <si>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</si>
  <si>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</si>
  <si>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</si>
  <si>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</si>
  <si>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</si>
  <si>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</si>
  <si>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</si>
  <si>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</si>
  <si>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</si>
  <si>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</si>
  <si>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</si>
  <si>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</si>
  <si>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</si>
  <si>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</si>
  <si>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</si>
  <si>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</si>
  <si>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</si>
  <si>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</si>
  <si>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</si>
  <si>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</si>
  <si>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</si>
  <si>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</si>
  <si>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</si>
  <si>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</si>
  <si>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</si>
  <si>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</si>
  <si>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</si>
  <si>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</si>
  <si>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</si>
  <si>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</si>
  <si>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</si>
  <si>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</si>
  <si>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</si>
  <si>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</si>
  <si>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</si>
  <si>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</si>
  <si>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</si>
  <si>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</si>
  <si>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</si>
  <si>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</si>
  <si>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</si>
  <si>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</si>
  <si>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</si>
  <si>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</si>
  <si>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</si>
  <si>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</si>
  <si>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</si>
  <si>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</si>
  <si>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</si>
  <si>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</si>
  <si>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</si>
  <si>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</si>
  <si>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</si>
  <si>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</si>
  <si>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</si>
  <si>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</si>
  <si>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</si>
  <si>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</si>
  <si>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</si>
  <si>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</si>
  <si>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</si>
  <si>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</si>
  <si>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</si>
  <si>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</si>
  <si>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</si>
  <si>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</si>
  <si>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</si>
  <si>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</si>
  <si>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</si>
  <si>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</si>
  <si>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</si>
  <si>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</si>
  <si>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</si>
  <si>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</si>
  <si>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</si>
  <si>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</si>
  <si>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</si>
  <si>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</si>
  <si>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</si>
  <si>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</si>
  <si>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</si>
  <si>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</si>
  <si>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</si>
  <si>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</si>
  <si>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</si>
  <si>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</si>
  <si>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</si>
  <si>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</si>
  <si>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</si>
  <si>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</si>
  <si>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</si>
  <si>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</si>
  <si>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</si>
  <si>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</si>
  <si>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</si>
  <si>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</si>
  <si>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</si>
  <si>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</si>
  <si>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</si>
  <si>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</si>
  <si>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</si>
  <si>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</si>
  <si>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</si>
  <si>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</si>
  <si>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</si>
  <si>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</si>
  <si>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</si>
  <si>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</si>
  <si>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</si>
  <si>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</si>
  <si>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</si>
  <si>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</si>
  <si>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</si>
  <si>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</si>
  <si>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</si>
  <si>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</si>
  <si>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</si>
  <si>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</si>
  <si>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</si>
  <si>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</si>
  <si>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</si>
  <si>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</si>
  <si>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</si>
  <si>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</si>
  <si>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</si>
  <si>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</si>
  <si>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</si>
  <si>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</si>
  <si>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</si>
  <si>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</si>
  <si>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</si>
  <si>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</si>
  <si>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</si>
  <si>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</si>
  <si>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</si>
  <si>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</si>
  <si>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</si>
  <si>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</si>
  <si>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</si>
  <si>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</si>
  <si>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</si>
  <si>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</si>
  <si>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</si>
  <si>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</si>
  <si>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</si>
  <si>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</si>
  <si>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</si>
  <si>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</si>
  <si>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 xml:space="preserve"> Property Tax</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</si>
  <si>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</si>
  <si>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</si>
  <si>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</si>
  <si>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</si>
  <si>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</si>
  <si>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</si>
  <si>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</si>
  <si>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</si>
  <si>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</si>
  <si>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</si>
  <si>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</si>
  <si>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</si>
  <si>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</si>
  <si>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</si>
  <si>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</si>
  <si>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Attachment 5, Line 3, Col. 1 (Notes F &amp; Y &amp; DD)</t>
  </si>
  <si>
    <t>Attachment 5, Line 3, Col. 2 (Notes F &amp; Y &amp; DD)</t>
  </si>
  <si>
    <t>Attachment 5, Line 3, Col. 3 (Notes F &amp; Y &amp; DD)</t>
  </si>
  <si>
    <t>Attachment 5, Line 3, Col. 4 (Notes F &amp; Y &amp; DD)</t>
  </si>
  <si>
    <t>Attachment 5, Line 3, Col. 5 (Notes F &amp; Y &amp; DD)</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</si>
  <si>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</si>
  <si>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</si>
  <si>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</si>
  <si>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</si>
  <si>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</si>
  <si>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</si>
  <si>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</si>
  <si>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</si>
  <si>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</si>
  <si>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</si>
  <si>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</si>
  <si>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</si>
  <si>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</si>
  <si>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</si>
  <si>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</si>
  <si>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</si>
  <si>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</si>
  <si>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</si>
  <si>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</si>
  <si>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</si>
  <si>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</si>
  <si>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</si>
  <si>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</si>
  <si>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</si>
  <si>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</si>
  <si>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</si>
  <si>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</si>
  <si>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</si>
  <si>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</si>
  <si>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</si>
  <si>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</si>
  <si>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</si>
  <si>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</si>
  <si>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</si>
  <si>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</si>
  <si>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</si>
  <si>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</si>
  <si>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</si>
  <si>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</si>
  <si>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</si>
  <si>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</si>
  <si>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</si>
  <si>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</si>
  <si>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</si>
  <si>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</si>
  <si>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</si>
  <si>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</si>
  <si>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</si>
  <si>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</si>
  <si>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</si>
  <si>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</si>
  <si>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</si>
  <si>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</si>
  <si>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</si>
  <si>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</si>
  <si>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</si>
  <si>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</si>
  <si>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</si>
  <si>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</si>
  <si>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</si>
  <si>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</si>
  <si>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</si>
  <si>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</si>
  <si>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</si>
  <si>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</si>
  <si>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</si>
  <si>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</si>
  <si>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</si>
  <si>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</si>
  <si>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</si>
  <si>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</si>
  <si>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</si>
  <si>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</si>
  <si>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</si>
  <si>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</si>
  <si>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</si>
  <si>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</si>
  <si>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</si>
  <si>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</si>
  <si>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</si>
  <si>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</si>
  <si>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</si>
  <si>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</si>
  <si>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</si>
  <si>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</si>
  <si>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</si>
  <si>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</si>
  <si>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</si>
  <si>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</si>
  <si>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</si>
  <si>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</si>
  <si>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</si>
  <si>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</si>
  <si>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</si>
  <si>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</si>
  <si>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</si>
  <si>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</si>
  <si>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</si>
  <si>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</si>
  <si>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</si>
  <si>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</si>
  <si>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</si>
  <si>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</si>
  <si>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</si>
  <si>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</si>
  <si>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</si>
  <si>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</si>
  <si>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</si>
  <si>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</si>
  <si>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</si>
  <si>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</si>
  <si>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</si>
  <si>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</si>
  <si>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</si>
  <si>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</si>
  <si>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</si>
  <si>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</si>
  <si>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</si>
  <si>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</si>
  <si>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</si>
  <si>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</si>
  <si>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</si>
  <si>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</si>
  <si>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</si>
  <si>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</si>
  <si>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</si>
  <si>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</si>
  <si>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</si>
  <si>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</si>
  <si>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</si>
  <si>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</si>
  <si>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</si>
  <si>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</si>
  <si>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</si>
  <si>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</si>
  <si>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</si>
  <si>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</si>
  <si>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</si>
  <si>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</si>
  <si>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</si>
  <si>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</si>
  <si>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</si>
  <si>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</si>
  <si>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</si>
  <si>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</si>
  <si>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</si>
  <si>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</si>
  <si>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</si>
  <si>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</si>
  <si>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</si>
  <si>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</si>
  <si>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</si>
  <si>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</si>
  <si>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</si>
  <si>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</si>
  <si>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</si>
  <si>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</si>
  <si>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</si>
  <si>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</si>
  <si>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</si>
  <si>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</si>
  <si>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</si>
  <si>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</si>
  <si>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</si>
  <si>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</si>
  <si>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</si>
  <si>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</si>
  <si>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</si>
  <si>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</si>
  <si>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</si>
  <si>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</si>
  <si>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</si>
  <si>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</si>
  <si>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</si>
  <si>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</si>
  <si>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</si>
  <si>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</si>
  <si>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</si>
  <si>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</si>
  <si>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</si>
  <si>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</si>
  <si>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</si>
  <si>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</si>
  <si>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</si>
  <si>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</si>
  <si>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</si>
  <si>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</si>
  <si>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</si>
  <si>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</si>
  <si>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</si>
  <si>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</si>
  <si>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</si>
  <si>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</si>
  <si>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</si>
  <si>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</si>
  <si>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</si>
  <si>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</si>
  <si>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</si>
  <si>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</si>
  <si>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</si>
  <si>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</si>
  <si>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</si>
  <si>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</si>
  <si>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</si>
  <si>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</si>
  <si>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</si>
  <si>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</si>
  <si>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</si>
  <si>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</si>
  <si>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2d</t>
  </si>
  <si>
    <t>2e</t>
  </si>
  <si>
    <t>2f</t>
  </si>
  <si>
    <t>2g</t>
  </si>
  <si>
    <t>2h</t>
  </si>
  <si>
    <t>2j</t>
  </si>
  <si>
    <t>2k</t>
  </si>
  <si>
    <t>2l</t>
  </si>
  <si>
    <t>Transmission Charge - TMI Unit 1</t>
  </si>
  <si>
    <t>Transmission Investment - Power Pool Agreement</t>
  </si>
  <si>
    <t>FERC Form 1, page 330 and footnote data</t>
  </si>
  <si>
    <t>Transmission of Electricity by Others</t>
  </si>
  <si>
    <t>Maintenance of General Plant</t>
  </si>
  <si>
    <t>(See Footnote T on Attachment H-28A, page 5)</t>
  </si>
  <si>
    <t>Sum of FAS143, FAS106, FAS109, CIAC and Other from Attachment 5, page 1, notes</t>
  </si>
  <si>
    <t>2m</t>
  </si>
  <si>
    <t>[H]</t>
  </si>
  <si>
    <t>Include any additional adjustments to ADIT items as may be recognized in the future to be proper for PTRR/ATRR calculation purposes.</t>
  </si>
  <si>
    <t>Other: [H]</t>
  </si>
  <si>
    <t>Point-to-point Revenues</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</si>
  <si>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</si>
  <si>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</si>
  <si>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</si>
  <si>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</si>
  <si>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</si>
  <si>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</si>
  <si>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</si>
  <si>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Commitment Fees (Short-term debt revolving credit facilities)</t>
  </si>
  <si>
    <t xml:space="preserve">Dec 31, </t>
  </si>
  <si>
    <t>Federal - Other</t>
  </si>
  <si>
    <t>Accumulated Depreciation</t>
  </si>
  <si>
    <t>Project Net Plant</t>
  </si>
  <si>
    <t>Ending Balance 13-Month Average</t>
  </si>
  <si>
    <t xml:space="preserve">  CWC  </t>
  </si>
  <si>
    <t>Seneca Transmission Facilities Charges</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</si>
  <si>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</si>
  <si>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</si>
  <si>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</si>
  <si>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</si>
  <si>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</si>
  <si>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</si>
  <si>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</si>
  <si>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</si>
  <si>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 xml:space="preserve">2i </t>
  </si>
  <si>
    <t>2n</t>
  </si>
  <si>
    <t>2o</t>
  </si>
  <si>
    <t>2p</t>
  </si>
  <si>
    <t>2q</t>
  </si>
  <si>
    <t>Year 2021</t>
  </si>
  <si>
    <t>2020 Quarterly Activity and Balances</t>
  </si>
  <si>
    <t>2020 Activity</t>
  </si>
  <si>
    <t>OF 12-31-20</t>
  </si>
  <si>
    <t>Year 2022</t>
  </si>
  <si>
    <t>December 2020</t>
  </si>
  <si>
    <t>263A MSC-PA-Norm</t>
  </si>
  <si>
    <t>263A-PA-Norm</t>
  </si>
  <si>
    <t>Accelerated Tax Depr-Fed-FT</t>
  </si>
  <si>
    <t>Accelerated Tax Depr-PA-FT</t>
  </si>
  <si>
    <t>Accelerated Tax Depr-Fed-Norm</t>
  </si>
  <si>
    <t>AFUDC debt-Fed-Norm-reversal-CWIP</t>
  </si>
  <si>
    <t>AFUDC debt-PA-Norm</t>
  </si>
  <si>
    <t>AFUDC debt-Fed-Norm-incurred-CWIP</t>
  </si>
  <si>
    <t>AFUDC Equity/FAS 43-Fed-FT</t>
  </si>
  <si>
    <t>AFUDC Equity/FAS 43-Fed-FT-incurred-CWIP</t>
  </si>
  <si>
    <t>AFUDC Equity/FAS 43-PA-FT</t>
  </si>
  <si>
    <t>AFUDC Equity/FAS 43-PA-FT-incurred-CWIP</t>
  </si>
  <si>
    <t>Cap Vertical Tree Trimming-PA-Norm</t>
  </si>
  <si>
    <t>Casualty Loss-Fed-Norm</t>
  </si>
  <si>
    <t>Casualty Loss PA-Norm</t>
  </si>
  <si>
    <t>CIAC-Fed-Norm-reversal-CWIP</t>
  </si>
  <si>
    <t>CIAC-PA-Norm-reversal-CWIP</t>
  </si>
  <si>
    <t>Deferred Charge-EIB</t>
  </si>
  <si>
    <t>FAS123R - Performance Shares-PA-Norm</t>
  </si>
  <si>
    <t>FAS123R - Restricted Stock-Fed-Norm</t>
  </si>
  <si>
    <t>FAS123R - RSU Capital-PA-Norm</t>
  </si>
  <si>
    <t>G Overheads-PA-Norm</t>
  </si>
  <si>
    <t>Lease ROU Asset &amp; Liability</t>
  </si>
  <si>
    <t>Life Insurance-Fed-Norm</t>
  </si>
  <si>
    <t>OPEBs-Fed-Norm</t>
  </si>
  <si>
    <t>Other Basis Differences-Fed-Norm</t>
  </si>
  <si>
    <t>Pensions-Fed-Norm</t>
  </si>
  <si>
    <t>PJM Receivable</t>
  </si>
  <si>
    <t>State Income Tax Deductible</t>
  </si>
  <si>
    <t>Storm Damage</t>
  </si>
  <si>
    <t>Tax Interest Capitalized-Fed-Norm-Reversal-CWIP</t>
  </si>
  <si>
    <t>Tax Interest Capitalized-PA-Norm-Reversal-CWIP</t>
  </si>
  <si>
    <t>Tax UoP Repair Exp-Fed-Norm-Reversal-CWIP</t>
  </si>
  <si>
    <t>Tax UoP Repair Exp-PA-Norm</t>
  </si>
  <si>
    <t>Tax UoP Repair Exp-PA-Norm-Reversal-CWIP</t>
  </si>
  <si>
    <t>Vegetation Management - FERC Adjustment</t>
  </si>
  <si>
    <t>Year-End Additional Temporary Adjustments L/T</t>
  </si>
  <si>
    <t>AFUDC debt-PA-Norm-incurred-CWIP</t>
  </si>
  <si>
    <t>AFUDC Debt-Fed-Norm</t>
  </si>
  <si>
    <t>AFUDC debt-PA-Norm-reversal-CWIP</t>
  </si>
  <si>
    <t>AFUDC Equity/FAS 43-Fed-FT-reversal-CWIP</t>
  </si>
  <si>
    <t>AFUDC Equity/FAS 43-PA-FT-reversal-CWIP</t>
  </si>
  <si>
    <t>Asset Retirement Obligation Liability</t>
  </si>
  <si>
    <t>Cap Vertical Tree Trimming-Fed-Norm</t>
  </si>
  <si>
    <t>Charitable Contribution Carryforward</t>
  </si>
  <si>
    <t>CIAC-Fed-Norm</t>
  </si>
  <si>
    <t>CIAC-Fed-Norm-Incurred-CWIP</t>
  </si>
  <si>
    <t>CIAC-PA-Norm</t>
  </si>
  <si>
    <t>CIAC-PA-Norm-Incurred-CWIP</t>
  </si>
  <si>
    <t>Federal NOL</t>
  </si>
  <si>
    <t>FAS123R - Performance Shares-Fed-Norm</t>
  </si>
  <si>
    <t>FAS123R - Restricted Stock-PA-Norm</t>
  </si>
  <si>
    <t>FAS123R - RSU Capital-Fed-Norm</t>
  </si>
  <si>
    <t>G Overheads-Fed-Norm</t>
  </si>
  <si>
    <t>ITC FAS 109</t>
  </si>
  <si>
    <t>Life Insurance-PA-Norm</t>
  </si>
  <si>
    <t>NOL Deferred Tax Asset - LT PA</t>
  </si>
  <si>
    <t>OPEBs-PA-Norm</t>
  </si>
  <si>
    <t>Other Basis Differences-PA-Norm</t>
  </si>
  <si>
    <t>Pensions-PA-Norm</t>
  </si>
  <si>
    <t>PJM Payable</t>
  </si>
  <si>
    <t>Tax Interest Capitalized-Fed-Norm</t>
  </si>
  <si>
    <t>Tax Interest Capitalized-Fed-Norm-Incurred-CWIP</t>
  </si>
  <si>
    <t>Tax Interest Capitalized-PA-Norm</t>
  </si>
  <si>
    <t>Tax Interest Capitalized-PA-Norm-Incurred-CWIP</t>
  </si>
  <si>
    <t>Tax UoP Repair Exp-Fed-Norm</t>
  </si>
  <si>
    <t>Tax UoP Repair Exp-Fed-Norm-Incurred-CWIP</t>
  </si>
  <si>
    <t>Tax UoP Repair Exp-PA-Norm-Incurred-CWIP</t>
  </si>
  <si>
    <t>Pension EDCP-SERP Payments</t>
  </si>
  <si>
    <t>Accumulated Deferred Investment Tax Credits</t>
  </si>
  <si>
    <t>2r</t>
  </si>
  <si>
    <t>Reconductor the North Meshoppen –  Oxbow - Lackawanna 230 kV circuit and upgrade terminal equipment (PENELEC portion)</t>
  </si>
  <si>
    <t>b2552.1</t>
  </si>
  <si>
    <t>4.10%, Senior Unsecured Note</t>
  </si>
  <si>
    <t>3.60%, Senior Unsecured Note</t>
  </si>
  <si>
    <t>3.70%, Senior Unsecured Note</t>
  </si>
  <si>
    <t>263A MSC-Fed-Norm</t>
  </si>
  <si>
    <t>263A-Fed-Norm</t>
  </si>
  <si>
    <t>Accelerated Tax Depr-PA-Norm</t>
  </si>
  <si>
    <t>AFUDC Debt-Fed-Norm-Incurred-CWIP</t>
  </si>
  <si>
    <t>AFUDC Debt-Fed-Norm-Reversal-CWIP</t>
  </si>
  <si>
    <t>AFUDC Debt-PA-Norm</t>
  </si>
  <si>
    <t>AFUDC Debt-PA-Norm-Incurred-CWIP</t>
  </si>
  <si>
    <t>AFUDC Debt-PA-Norm-Reversal-CWIP</t>
  </si>
  <si>
    <t>AFUDC Equity/FAS 43-Fed-FT-Incurred-CWIP</t>
  </si>
  <si>
    <t>AFUDC Equity/FAS 43-Fed-FT-Reversal-CWIP</t>
  </si>
  <si>
    <t>AFUDC Equity/FAS 43-PA-FT-Incurred-CWIP</t>
  </si>
  <si>
    <t>AFUDC Equity/FAS 43-PA-FT-Reversal-CWIP</t>
  </si>
  <si>
    <t>ARO-Fed-Norm</t>
  </si>
  <si>
    <t>ARO-PA-Norm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</si>
  <si>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</si>
  <si>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</si>
  <si>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</si>
  <si>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</si>
  <si>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</si>
  <si>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</si>
  <si>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</si>
  <si>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PT Rebal-Add'l Property RTA-All-Norm</t>
  </si>
  <si>
    <t>Sale of Property - Book Gain or (Loss)</t>
  </si>
  <si>
    <t>Tax Depreciation Adjustment - PA</t>
  </si>
  <si>
    <t>Tax UoP Repair Exp-PA-FT</t>
  </si>
  <si>
    <t>b2743.2</t>
  </si>
  <si>
    <t>b2743.3</t>
  </si>
  <si>
    <t>b2743.4</t>
  </si>
  <si>
    <t>2s</t>
  </si>
  <si>
    <t>2t</t>
  </si>
  <si>
    <t>2u</t>
  </si>
  <si>
    <t>Tie in new Rice substation to Conemaugh-Hunterstown 500 kV</t>
  </si>
  <si>
    <t xml:space="preserve">Upgrade terminal equipment at Conemaugh 500 kV: on the Conemaugh - Hunterstown 500 kV circuit </t>
  </si>
  <si>
    <t xml:space="preserve">Upgrade terminal equipment at Hunterstown 500 kV: on the Conemaugh - Hunterstown 500 kV circuit </t>
  </si>
  <si>
    <t>Miscellaneous Service Revenues</t>
  </si>
  <si>
    <t>Sale of Property Book Gain Loss</t>
  </si>
  <si>
    <t>Charitable Contribution</t>
  </si>
  <si>
    <t>For the 12 months ended 12/31/2021</t>
  </si>
  <si>
    <t>OF 12-31-21</t>
  </si>
  <si>
    <t>Dec 31, 2021</t>
  </si>
  <si>
    <t>Year 2023</t>
  </si>
  <si>
    <t>December 2021</t>
  </si>
  <si>
    <t>December 31, 2021</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</si>
  <si>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</si>
  <si>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</si>
  <si>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</si>
  <si>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</si>
  <si>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</si>
  <si>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</si>
  <si>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</si>
  <si>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</si>
  <si>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</si>
  <si>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</si>
  <si>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</si>
  <si>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</si>
  <si>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</si>
  <si>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</si>
  <si>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</si>
  <si>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</si>
  <si>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</si>
  <si>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</si>
  <si>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</si>
  <si>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</si>
  <si>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</si>
  <si>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</si>
  <si>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</si>
  <si>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</si>
  <si>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</si>
  <si>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2v</t>
  </si>
  <si>
    <t>2w</t>
  </si>
  <si>
    <t>Replace wave trap and upgrade a bus section at Keystone 500 kV – on the Keystone – Airydale 500 kV</t>
  </si>
  <si>
    <t>b0284.3</t>
  </si>
  <si>
    <t>Install 100 MVAR Dynamic Reactive Device at Airydale 500 kV substation</t>
  </si>
  <si>
    <t>b0369</t>
  </si>
  <si>
    <t>Reconciliation Revenue Requirement For Year 2021 filed on June 1, 2022</t>
  </si>
  <si>
    <t>2021 Revenue Requirement Collected by PJM Based on Forecast filed on Oct 05, 2020</t>
  </si>
  <si>
    <t>TEC Reconciliation Revenue Requirement For Year 2021 Available June 1, 2022</t>
  </si>
  <si>
    <t>TEC 2021 Revenue Requirement Collected by PJM Based on Forecast filed on Oct 05, 2020</t>
  </si>
  <si>
    <t>5/24/2021</t>
  </si>
  <si>
    <t>5/15/2028</t>
  </si>
  <si>
    <t>FIN 48 -R&amp;D Credit</t>
  </si>
  <si>
    <t>Pension Expense</t>
  </si>
  <si>
    <t>Post Retirement Benefits SFAS 106 Accrual</t>
  </si>
  <si>
    <t>General Business Credit Carryforward</t>
  </si>
  <si>
    <t>PJM Revenue Over/Under Recovery</t>
  </si>
  <si>
    <t>FAS109 Gross-up on Non-property Items (see below)</t>
  </si>
  <si>
    <t>An over or under collection will be recovered prorata over 2021, held for 2022 and returned prorate over 2023</t>
  </si>
  <si>
    <t>Deferred Tax Gain-Fed-Norm</t>
  </si>
  <si>
    <t>Tax Step Up-Fed-Norm</t>
  </si>
  <si>
    <t>Tax Step Up-PA-Norm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</si>
</sst>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s>
  <fonts count="133">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0"/>
      <color indexed="10"/>
      <name val="Arial"/>
      <family val="2"/>
    </font>
    <font>
      <u val="single"/>
      <sz val="12"/>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alibri"/>
      <family val="2"/>
    </font>
    <font>
      <sz val="11"/>
      <color theme="1"/>
      <name val="Arial"/>
      <family val="2"/>
    </font>
    <font>
      <b/>
      <u val="single"/>
      <sz val="12"/>
      <color rgb="FFFF0000"/>
      <name val="Calibri"/>
      <family val="2"/>
      <scheme val="minor"/>
    </font>
    <font>
      <b/>
      <sz val="11"/>
      <color rgb="FFFF0000"/>
      <name val="Calibri"/>
      <family val="2"/>
    </font>
    <font>
      <sz val="11"/>
      <name val="Calibri"/>
      <family val="2"/>
    </font>
  </fonts>
  <fills count="56">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
      <patternFill patternType="solid">
        <fgColor theme="1" tint="0.0499899983406067"/>
        <bgColor indexed="64"/>
      </patternFill>
    </fill>
    <fill>
      <patternFill patternType="solid">
        <fgColor rgb="FFFCE4D6"/>
        <bgColor indexed="64"/>
      </patternFill>
    </fill>
  </fills>
  <borders count="57">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style="thin">
        <color auto="1"/>
      </top>
      <bottom/>
    </border>
    <border>
      <left/>
      <right style="thin">
        <color auto="1"/>
      </right>
      <top/>
      <bottom/>
    </border>
    <border>
      <left style="thin">
        <color auto="1"/>
      </left>
      <right/>
      <top/>
      <bottom style="thin">
        <color auto="1"/>
      </bottom>
    </border>
    <border>
      <left/>
      <right style="thin">
        <color auto="1"/>
      </right>
      <top style="thin">
        <color auto="1"/>
      </top>
      <bottom style="thin">
        <color auto="1"/>
      </bottom>
    </border>
    <border>
      <left style="medium">
        <color auto="1"/>
      </left>
      <right style="medium">
        <color auto="1"/>
      </right>
      <top/>
      <bottom/>
    </border>
    <border>
      <left style="medium">
        <color auto="1"/>
      </left>
      <right style="medium">
        <color auto="1"/>
      </right>
      <top/>
      <bottom style="medium">
        <color auto="1"/>
      </bottom>
    </border>
    <border>
      <left style="medium">
        <color auto="1"/>
      </left>
      <right style="medium">
        <color auto="1"/>
      </right>
      <top style="medium">
        <color auto="1"/>
      </top>
      <bottom/>
    </border>
    <border>
      <left/>
      <right/>
      <top style="thin">
        <color auto="1"/>
      </top>
      <bottom style="double">
        <color auto="1"/>
      </bottom>
    </border>
    <border>
      <left/>
      <right style="thin">
        <color auto="1"/>
      </right>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medium">
        <color auto="1"/>
      </right>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style="medium">
        <color auto="1"/>
      </left>
      <right style="medium">
        <color auto="1"/>
      </right>
      <top style="medium">
        <color auto="1"/>
      </top>
      <bottom style="medium">
        <color auto="1"/>
      </bottom>
    </border>
    <border>
      <left style="thin">
        <color auto="1"/>
      </left>
      <right style="thin">
        <color auto="1"/>
      </right>
      <top/>
      <bottom style="thin">
        <color auto="1"/>
      </bottom>
    </border>
    <border>
      <left/>
      <right/>
      <top/>
      <bottom style="double">
        <color auto="1"/>
      </bottom>
    </border>
    <border>
      <left style="medium">
        <color auto="1"/>
      </left>
      <right style="medium">
        <color auto="1"/>
      </right>
      <top style="thin">
        <color auto="1"/>
      </top>
      <bottom style="medium">
        <color auto="1"/>
      </bottom>
    </border>
    <border>
      <left style="medium">
        <color auto="1"/>
      </left>
      <right/>
      <top/>
      <bottom style="medium">
        <color auto="1"/>
      </bottom>
    </border>
    <border>
      <left/>
      <right style="medium">
        <color auto="1"/>
      </right>
      <top/>
      <bottom style="medium">
        <color auto="1"/>
      </bottom>
    </border>
    <border>
      <left style="medium">
        <color auto="1"/>
      </left>
      <right/>
      <top/>
      <bottom style="thin">
        <color auto="1"/>
      </bottom>
    </border>
    <border>
      <left/>
      <right/>
      <top style="medium">
        <color auto="1"/>
      </top>
      <bottom style="double">
        <color auto="1"/>
      </bottom>
    </border>
    <border>
      <left/>
      <right style="thin">
        <color auto="1"/>
      </right>
      <top/>
      <bottom style="double">
        <color auto="1"/>
      </bottom>
    </border>
    <border>
      <left/>
      <right/>
      <top style="medium">
        <color auto="1"/>
      </top>
      <bottom style="medium">
        <color auto="1"/>
      </bottom>
    </border>
  </borders>
  <cellStyleXfs count="248">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97" fillId="0" borderId="0">
      <alignment/>
      <protection/>
    </xf>
    <xf numFmtId="43" fontId="97"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13" fillId="0" borderId="0" applyNumberFormat="0" applyFill="0" applyBorder="0" applyAlignment="0" applyProtection="0"/>
    <xf numFmtId="0" fontId="114" fillId="0" borderId="14" applyNumberFormat="0" applyFill="0" applyAlignment="0" applyProtection="0"/>
    <xf numFmtId="0" fontId="115" fillId="0" borderId="15" applyNumberFormat="0" applyFill="0" applyAlignment="0" applyProtection="0"/>
    <xf numFmtId="0" fontId="116" fillId="0" borderId="16" applyNumberFormat="0" applyFill="0" applyAlignment="0" applyProtection="0"/>
    <xf numFmtId="0" fontId="116" fillId="0" borderId="0" applyNumberFormat="0" applyFill="0" applyBorder="0" applyAlignment="0" applyProtection="0"/>
    <xf numFmtId="0" fontId="117" fillId="20" borderId="0" applyNumberFormat="0" applyBorder="0" applyAlignment="0" applyProtection="0"/>
    <xf numFmtId="0" fontId="118" fillId="21" borderId="0" applyNumberFormat="0" applyBorder="0" applyAlignment="0" applyProtection="0"/>
    <xf numFmtId="0" fontId="119" fillId="22" borderId="0" applyNumberFormat="0" applyBorder="0" applyAlignment="0" applyProtection="0"/>
    <xf numFmtId="0" fontId="120" fillId="23" borderId="17" applyNumberFormat="0" applyAlignment="0" applyProtection="0"/>
    <xf numFmtId="0" fontId="121" fillId="24" borderId="18" applyNumberFormat="0" applyAlignment="0" applyProtection="0"/>
    <xf numFmtId="0" fontId="122" fillId="24" borderId="17" applyNumberFormat="0" applyAlignment="0" applyProtection="0"/>
    <xf numFmtId="0" fontId="123" fillId="0" borderId="19" applyNumberFormat="0" applyFill="0" applyAlignment="0" applyProtection="0"/>
    <xf numFmtId="0" fontId="124" fillId="25" borderId="20" applyNumberFormat="0" applyAlignment="0" applyProtection="0"/>
    <xf numFmtId="0" fontId="125" fillId="0" borderId="0" applyNumberFormat="0" applyFill="0" applyBorder="0" applyAlignment="0" applyProtection="0"/>
    <xf numFmtId="0" fontId="2" fillId="26" borderId="21" applyNumberFormat="0" applyFont="0" applyAlignment="0" applyProtection="0"/>
    <xf numFmtId="0" fontId="126" fillId="0" borderId="0" applyNumberFormat="0" applyFill="0" applyBorder="0" applyAlignment="0" applyProtection="0"/>
    <xf numFmtId="0" fontId="95" fillId="0" borderId="22" applyNumberFormat="0" applyFill="0" applyAlignment="0" applyProtection="0"/>
    <xf numFmtId="0" fontId="1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2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27"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27"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protection/>
    </xf>
  </cellStyleXfs>
  <cellXfs count="1225">
    <xf numFmtId="174" fontId="0" fillId="0" borderId="0" xfId="0" applyAlignment="1">
      <alignment/>
    </xf>
    <xf numFmtId="0" fontId="32" fillId="0" borderId="0" xfId="0" applyNumberFormat="1" applyFont="1" applyAlignment="1">
      <alignment horizontal="center"/>
    </xf>
    <xf numFmtId="174" fontId="32" fillId="0" borderId="0" xfId="0" applyFont="1" applyAlignment="1">
      <alignment/>
    </xf>
    <xf numFmtId="174" fontId="32" fillId="0" borderId="0" xfId="0" applyFont="1" applyFill="1" applyAlignment="1">
      <alignment/>
    </xf>
    <xf numFmtId="0" fontId="32" fillId="0" borderId="0" xfId="0" applyNumberFormat="1" applyFont="1" applyAlignment="1">
      <alignment/>
    </xf>
    <xf numFmtId="0" fontId="32" fillId="0" borderId="0" xfId="0" applyNumberFormat="1" applyFont="1"/>
    <xf numFmtId="0" fontId="32" fillId="0" borderId="0" xfId="0" applyNumberFormat="1" applyFont="1" applyAlignment="1">
      <alignment horizontal="right"/>
    </xf>
    <xf numFmtId="0" fontId="32" fillId="0" borderId="0" xfId="0" applyNumberFormat="1" applyFont="1" applyFill="1"/>
    <xf numFmtId="3" fontId="32" fillId="0" borderId="0" xfId="0" applyNumberFormat="1" applyFont="1" applyAlignment="1">
      <alignment horizontal="center"/>
    </xf>
    <xf numFmtId="0" fontId="32" fillId="0" borderId="0" xfId="0" applyNumberFormat="1" applyFont="1" applyFill="1" applyAlignment="1">
      <alignment horizontal="right"/>
    </xf>
    <xf numFmtId="0" fontId="32" fillId="0" borderId="0" xfId="0" applyNumberFormat="1" applyFont="1" applyFill="1" applyBorder="1"/>
    <xf numFmtId="174" fontId="32" fillId="0" borderId="0" xfId="0" applyFont="1" applyFill="1" applyBorder="1" applyAlignment="1">
      <alignment/>
    </xf>
    <xf numFmtId="3" fontId="32" fillId="0" borderId="0" xfId="99" applyNumberFormat="1" applyFont="1" applyAlignment="1">
      <alignment/>
      <protection/>
    </xf>
    <xf numFmtId="0" fontId="5" fillId="0" borderId="0" xfId="99">
      <alignment/>
      <protection/>
    </xf>
    <xf numFmtId="0" fontId="34" fillId="0" borderId="0" xfId="99" applyFont="1" applyAlignment="1">
      <alignment/>
      <protection/>
    </xf>
    <xf numFmtId="3" fontId="34" fillId="0" borderId="0" xfId="99" applyNumberFormat="1" applyFont="1" applyAlignment="1">
      <alignment/>
      <protection/>
    </xf>
    <xf numFmtId="3" fontId="32" fillId="0" borderId="0" xfId="99" applyNumberFormat="1" applyFont="1" applyBorder="1" applyAlignment="1">
      <alignment/>
      <protection/>
    </xf>
    <xf numFmtId="0" fontId="32" fillId="0" borderId="0" xfId="99" applyFont="1" applyBorder="1" applyAlignment="1">
      <alignment/>
      <protection/>
    </xf>
    <xf numFmtId="3" fontId="32" fillId="0" borderId="0" xfId="99" applyNumberFormat="1" applyFont="1" applyFill="1" applyBorder="1" applyAlignment="1">
      <alignment/>
      <protection/>
    </xf>
    <xf numFmtId="175" fontId="32" fillId="0" borderId="0" xfId="16" applyNumberFormat="1" applyFont="1" applyFill="1" applyBorder="1" applyAlignment="1">
      <alignment/>
    </xf>
    <xf numFmtId="0" fontId="32" fillId="0" borderId="0" xfId="99" applyNumberFormat="1" applyFont="1" applyBorder="1" applyAlignment="1">
      <alignment/>
      <protection/>
    </xf>
    <xf numFmtId="0" fontId="36" fillId="0" borderId="0" xfId="99" applyFont="1" applyBorder="1">
      <alignment/>
      <protection/>
    </xf>
    <xf numFmtId="0" fontId="32" fillId="0" borderId="0" xfId="99" applyFont="1" applyBorder="1">
      <alignment/>
      <protection/>
    </xf>
    <xf numFmtId="175" fontId="32" fillId="0" borderId="0" xfId="16" applyNumberFormat="1" applyFont="1" applyBorder="1" applyAlignment="1">
      <alignment/>
    </xf>
    <xf numFmtId="0" fontId="32" fillId="0" borderId="0" xfId="99" applyFont="1">
      <alignment/>
      <protection/>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Fill="1" applyBorder="1" applyAlignment="1">
      <alignment horizontal="right"/>
    </xf>
    <xf numFmtId="174" fontId="32" fillId="0" borderId="0" xfId="0" applyFont="1" applyFill="1" applyBorder="1" applyAlignment="1">
      <alignment horizontal="center"/>
    </xf>
    <xf numFmtId="174" fontId="33" fillId="0" borderId="0" xfId="0" applyFont="1" applyFill="1" applyBorder="1" applyAlignment="1">
      <alignment/>
    </xf>
    <xf numFmtId="174" fontId="33" fillId="0" borderId="23" xfId="0" applyFont="1" applyFill="1" applyBorder="1" applyAlignment="1">
      <alignment horizontal="center" wrapText="1"/>
    </xf>
    <xf numFmtId="174" fontId="33" fillId="0" borderId="24" xfId="0" applyFont="1" applyFill="1" applyBorder="1" applyAlignment="1">
      <alignment/>
    </xf>
    <xf numFmtId="174" fontId="33" fillId="0" borderId="24" xfId="0" applyFont="1" applyFill="1" applyBorder="1" applyAlignment="1">
      <alignment horizontal="center" wrapText="1"/>
    </xf>
    <xf numFmtId="0" fontId="33" fillId="0" borderId="24" xfId="0" applyNumberFormat="1" applyFont="1" applyFill="1" applyBorder="1" applyAlignment="1">
      <alignment horizontal="center" wrapText="1"/>
    </xf>
    <xf numFmtId="0" fontId="32" fillId="0" borderId="23" xfId="0" applyNumberFormat="1" applyFont="1" applyFill="1" applyBorder="1"/>
    <xf numFmtId="0" fontId="32" fillId="0" borderId="24" xfId="0" applyNumberFormat="1" applyFont="1" applyFill="1" applyBorder="1"/>
    <xf numFmtId="0" fontId="32" fillId="0" borderId="24" xfId="0" applyNumberFormat="1" applyFont="1" applyFill="1" applyBorder="1" applyAlignment="1">
      <alignment horizontal="center"/>
    </xf>
    <xf numFmtId="0" fontId="32" fillId="0" borderId="25" xfId="0" applyNumberFormat="1" applyFont="1" applyFill="1" applyBorder="1"/>
    <xf numFmtId="1" fontId="32" fillId="0" borderId="0" xfId="0" applyNumberFormat="1" applyFont="1" applyFill="1" applyBorder="1" applyAlignment="1">
      <alignment horizontal="center"/>
    </xf>
    <xf numFmtId="174" fontId="34" fillId="0" borderId="0" xfId="0" applyFont="1" applyFill="1" applyBorder="1" applyAlignment="1">
      <alignment/>
    </xf>
    <xf numFmtId="174" fontId="36" fillId="0" borderId="0" xfId="0" applyFont="1" applyFill="1" applyBorder="1" applyAlignment="1">
      <alignment/>
    </xf>
    <xf numFmtId="174" fontId="33" fillId="0" borderId="24" xfId="0" applyFont="1" applyFill="1" applyBorder="1" applyAlignment="1">
      <alignment horizontal="center"/>
    </xf>
    <xf numFmtId="0" fontId="32" fillId="0" borderId="0" xfId="99" applyFont="1" applyAlignment="1">
      <alignment horizontal="center" vertical="top"/>
      <protection/>
    </xf>
    <xf numFmtId="174" fontId="32" fillId="32" borderId="0" xfId="0" applyFont="1" applyFill="1" applyAlignment="1">
      <alignment/>
    </xf>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1" fillId="0" borderId="0" xfId="0" applyFont="1" applyFill="1" applyAlignment="1">
      <alignment horizontal="center" vertical="center"/>
    </xf>
    <xf numFmtId="174" fontId="53" fillId="0" borderId="0" xfId="0" applyFont="1" applyFill="1" applyAlignment="1">
      <alignment horizontal="center" vertical="center"/>
    </xf>
    <xf numFmtId="174" fontId="52" fillId="0" borderId="0" xfId="0" applyFont="1" applyAlignment="1">
      <alignment horizontal="left" vertical="center"/>
    </xf>
    <xf numFmtId="0" fontId="54" fillId="0" borderId="0" xfId="0" applyNumberFormat="1" applyFont="1" applyFill="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6"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5" xfId="0" applyFont="1" applyBorder="1" applyAlignment="1">
      <alignment vertical="center"/>
    </xf>
    <xf numFmtId="174" fontId="51" fillId="0" borderId="0" xfId="0" applyFont="1" applyBorder="1" applyAlignment="1">
      <alignment vertical="center"/>
    </xf>
    <xf numFmtId="174" fontId="53" fillId="0" borderId="0" xfId="0" applyFont="1" applyBorder="1" applyAlignment="1">
      <alignment horizontal="center" vertical="center"/>
    </xf>
    <xf numFmtId="174" fontId="51" fillId="0" borderId="27" xfId="0" applyFont="1" applyBorder="1" applyAlignment="1">
      <alignment vertical="center"/>
    </xf>
    <xf numFmtId="174" fontId="52" fillId="0" borderId="0" xfId="0" applyFont="1" applyBorder="1" applyAlignment="1">
      <alignment horizontal="right" vertical="center"/>
    </xf>
    <xf numFmtId="174" fontId="52" fillId="0" borderId="0" xfId="0" applyFont="1" applyBorder="1" applyAlignment="1">
      <alignment horizontal="center" vertical="center"/>
    </xf>
    <xf numFmtId="0" fontId="51" fillId="0" borderId="0" xfId="0" applyNumberFormat="1" applyFont="1" applyBorder="1" applyAlignment="1">
      <alignment vertical="center"/>
    </xf>
    <xf numFmtId="174" fontId="51" fillId="0" borderId="28" xfId="0" applyFont="1" applyBorder="1" applyAlignment="1">
      <alignment vertical="center"/>
    </xf>
    <xf numFmtId="174" fontId="51" fillId="0" borderId="11" xfId="0" applyFont="1" applyBorder="1" applyAlignment="1">
      <alignment vertical="center"/>
    </xf>
    <xf numFmtId="0" fontId="32" fillId="0" borderId="29" xfId="0" applyNumberFormat="1" applyFont="1" applyFill="1" applyBorder="1" applyAlignment="1">
      <alignment horizontal="center"/>
    </xf>
    <xf numFmtId="174" fontId="58" fillId="0" borderId="0" xfId="0" applyFont="1" applyFill="1" applyBorder="1" applyAlignment="1">
      <alignment horizontal="center" vertical="center"/>
    </xf>
    <xf numFmtId="174" fontId="58" fillId="0" borderId="0" xfId="0" applyFont="1" applyFill="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74" fontId="59" fillId="0" borderId="0" xfId="0" applyFont="1" applyFill="1" applyProtection="1">
      <protection locked="0"/>
    </xf>
    <xf numFmtId="174" fontId="12" fillId="0" borderId="0" xfId="0" applyFont="1" applyFill="1" applyProtection="1">
      <protection locked="0"/>
    </xf>
    <xf numFmtId="174" fontId="59" fillId="0" borderId="30" xfId="0" applyFont="1" applyFill="1" applyBorder="1" applyAlignment="1" applyProtection="1">
      <alignment horizontal="center" wrapText="1"/>
      <protection locked="0"/>
    </xf>
    <xf numFmtId="174" fontId="59" fillId="0" borderId="30" xfId="0" applyFont="1" applyFill="1" applyBorder="1" applyProtection="1">
      <protection locked="0"/>
    </xf>
    <xf numFmtId="174" fontId="59" fillId="0" borderId="0" xfId="0" applyFont="1" applyFill="1" applyAlignment="1" applyProtection="1">
      <alignment horizontal="center"/>
      <protection locked="0"/>
    </xf>
    <xf numFmtId="178" fontId="59" fillId="0" borderId="0" xfId="0" applyNumberFormat="1" applyFont="1" applyFill="1" applyProtection="1">
      <protection locked="0"/>
    </xf>
    <xf numFmtId="174" fontId="60" fillId="0" borderId="0" xfId="0" applyFont="1" applyFill="1" applyAlignment="1" applyProtection="1">
      <alignment horizontal="center"/>
      <protection locked="0"/>
    </xf>
    <xf numFmtId="5" fontId="59" fillId="0" borderId="31" xfId="0" applyNumberFormat="1" applyFont="1" applyFill="1" applyBorder="1" applyAlignment="1" applyProtection="1">
      <alignment horizontal="center"/>
      <protection locked="0"/>
    </xf>
    <xf numFmtId="178" fontId="59" fillId="0" borderId="6" xfId="0" applyNumberFormat="1" applyFont="1" applyFill="1" applyBorder="1" applyProtection="1">
      <protection locked="0"/>
    </xf>
    <xf numFmtId="174" fontId="59" fillId="0" borderId="6" xfId="0" applyFont="1" applyFill="1" applyBorder="1" applyAlignment="1" applyProtection="1">
      <alignment horizontal="center"/>
      <protection locked="0"/>
    </xf>
    <xf numFmtId="174" fontId="12" fillId="0" borderId="6" xfId="0" applyFont="1" applyFill="1" applyBorder="1" applyProtection="1">
      <protection locked="0"/>
    </xf>
    <xf numFmtId="178" fontId="59" fillId="0" borderId="0" xfId="0" applyNumberFormat="1" applyFont="1" applyFill="1" applyAlignment="1" applyProtection="1">
      <alignment horizontal="left"/>
      <protection locked="0"/>
    </xf>
    <xf numFmtId="0" fontId="60" fillId="0" borderId="0" xfId="0" applyNumberFormat="1" applyFont="1" applyFill="1" applyAlignment="1" applyProtection="1">
      <alignment horizontal="left"/>
      <protection locked="0"/>
    </xf>
    <xf numFmtId="174" fontId="60" fillId="0" borderId="0" xfId="0" applyFont="1" applyFill="1" applyAlignment="1" applyProtection="1">
      <alignment horizontal="center" wrapText="1"/>
      <protection locked="0"/>
    </xf>
    <xf numFmtId="178" fontId="60" fillId="0" borderId="0" xfId="0" applyNumberFormat="1" applyFont="1" applyFill="1" applyAlignment="1" applyProtection="1">
      <alignment horizontal="center" wrapText="1"/>
      <protection locked="0"/>
    </xf>
    <xf numFmtId="182" fontId="59" fillId="0" borderId="0" xfId="15" applyNumberFormat="1" applyFont="1" applyFill="1" applyProtection="1">
      <protection locked="0"/>
    </xf>
    <xf numFmtId="178" fontId="59" fillId="0" borderId="0" xfId="0" applyNumberFormat="1" applyFont="1" applyFill="1" applyAlignment="1" applyProtection="1">
      <alignment horizontal="center"/>
      <protection locked="0"/>
    </xf>
    <xf numFmtId="178" fontId="59" fillId="0" borderId="0" xfId="18" applyNumberFormat="1" applyFont="1" applyFill="1" applyProtection="1">
      <protection locked="0"/>
    </xf>
    <xf numFmtId="182" fontId="59" fillId="0" borderId="0" xfId="0" applyNumberFormat="1" applyFont="1" applyFill="1" applyProtection="1">
      <protection locked="0"/>
    </xf>
    <xf numFmtId="0" fontId="59" fillId="0" borderId="0" xfId="0" applyNumberFormat="1" applyFont="1" applyFill="1" applyProtection="1">
      <protection locked="0"/>
    </xf>
    <xf numFmtId="0" fontId="59" fillId="0" borderId="0" xfId="0" applyNumberFormat="1" applyFont="1" applyFill="1"/>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4" fontId="12" fillId="0" borderId="0" xfId="0" applyFont="1" applyFill="1"/>
    <xf numFmtId="178" fontId="60" fillId="0" borderId="0" xfId="18" applyNumberFormat="1" applyFont="1" applyFill="1" applyAlignment="1" applyProtection="1">
      <alignment horizontal="center"/>
      <protection locked="0"/>
    </xf>
    <xf numFmtId="174" fontId="61" fillId="0" borderId="0" xfId="0" applyFont="1" applyFill="1" applyProtection="1">
      <protection locked="0"/>
    </xf>
    <xf numFmtId="178" fontId="60" fillId="0" borderId="0" xfId="0" applyNumberFormat="1" applyFont="1" applyFill="1" applyProtection="1">
      <protection locked="0"/>
    </xf>
    <xf numFmtId="175" fontId="12" fillId="0" borderId="0" xfId="16" applyNumberFormat="1" applyFont="1" applyFill="1"/>
    <xf numFmtId="174" fontId="12" fillId="0" borderId="0" xfId="0" applyFont="1" applyFill="1" applyAlignment="1" applyProtection="1">
      <alignment wrapText="1"/>
      <protection locked="0"/>
    </xf>
    <xf numFmtId="174" fontId="32" fillId="0" borderId="0" xfId="0" applyFont="1" applyAlignment="1">
      <alignment vertical="center" wrapText="1"/>
    </xf>
    <xf numFmtId="174" fontId="59" fillId="0" borderId="32" xfId="0" applyFont="1" applyFill="1" applyBorder="1" applyAlignment="1" applyProtection="1">
      <alignment horizontal="center" vertical="center" wrapText="1"/>
      <protection locked="0"/>
    </xf>
    <xf numFmtId="174" fontId="59" fillId="0" borderId="0" xfId="0" applyFont="1" applyFill="1" applyAlignment="1" applyProtection="1">
      <alignment horizontal="center" vertical="center" wrapText="1"/>
      <protection locked="0"/>
    </xf>
    <xf numFmtId="174" fontId="61" fillId="0" borderId="0" xfId="0" applyFont="1" applyFill="1" applyAlignment="1" applyProtection="1">
      <alignment horizontal="left"/>
      <protection locked="0"/>
    </xf>
    <xf numFmtId="0" fontId="59" fillId="0" borderId="0" xfId="0" applyNumberFormat="1" applyFont="1" applyFill="1" applyAlignment="1" applyProtection="1">
      <alignment horizontal="left"/>
      <protection locked="0"/>
    </xf>
    <xf numFmtId="0" fontId="51" fillId="0" borderId="0" xfId="0" applyNumberFormat="1" applyFont="1" applyFill="1" applyAlignment="1">
      <alignment vertical="center"/>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1" fillId="0" borderId="0" xfId="145" applyFont="1" applyFill="1">
      <alignment/>
      <protection/>
    </xf>
    <xf numFmtId="174" fontId="51" fillId="0" borderId="0" xfId="0" applyFont="1" applyFill="1" applyAlignment="1">
      <alignment vertical="center"/>
    </xf>
    <xf numFmtId="174" fontId="52" fillId="0" borderId="0" xfId="0" applyFont="1" applyFill="1" applyAlignment="1">
      <alignment vertical="center"/>
    </xf>
    <xf numFmtId="174" fontId="32" fillId="0" borderId="0" xfId="0" applyFont="1" applyFill="1" applyAlignment="1">
      <alignment vertical="center"/>
    </xf>
    <xf numFmtId="0" fontId="5" fillId="0" borderId="0" xfId="99" applyFill="1">
      <alignment/>
      <protection/>
    </xf>
    <xf numFmtId="0" fontId="2" fillId="0" borderId="0" xfId="145" applyAlignment="1">
      <alignment vertical="center"/>
      <protection/>
    </xf>
    <xf numFmtId="3" fontId="32" fillId="32" borderId="0" xfId="99" applyNumberFormat="1" applyFont="1" applyFill="1" applyBorder="1" applyAlignment="1">
      <alignment/>
      <protection/>
    </xf>
    <xf numFmtId="174" fontId="51" fillId="0" borderId="0" xfId="0" applyFont="1" applyAlignment="1">
      <alignment horizontal="left" vertical="center"/>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33" xfId="145" applyNumberFormat="1" applyFont="1" applyBorder="1">
      <alignment/>
      <protection/>
    </xf>
    <xf numFmtId="0" fontId="62" fillId="0" borderId="0" xfId="145"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3" fontId="12" fillId="0" borderId="0" xfId="148" applyNumberFormat="1" applyFont="1" applyFill="1" applyBorder="1" applyAlignment="1">
      <alignment/>
      <protection/>
    </xf>
    <xf numFmtId="178" fontId="12" fillId="0" borderId="0" xfId="149" applyNumberFormat="1" applyFont="1" applyFill="1"/>
    <xf numFmtId="0" fontId="12" fillId="0" borderId="0" xfId="148" applyFont="1" applyFill="1">
      <alignment/>
      <protection/>
    </xf>
    <xf numFmtId="0" fontId="71" fillId="52" borderId="0" xfId="148" applyFont="1" applyFill="1">
      <alignment/>
      <protection/>
    </xf>
    <xf numFmtId="0" fontId="12" fillId="52" borderId="0" xfId="148" applyFont="1" applyFill="1">
      <alignment/>
      <protection/>
    </xf>
    <xf numFmtId="0" fontId="71" fillId="0" borderId="0" xfId="148" applyFont="1" applyFill="1">
      <alignment/>
      <protection/>
    </xf>
    <xf numFmtId="0" fontId="7" fillId="0" borderId="0" xfId="148" applyFont="1" applyFill="1" applyAlignment="1">
      <alignment horizontal="center"/>
      <protection/>
    </xf>
    <xf numFmtId="0" fontId="12" fillId="0" borderId="0" xfId="148" applyFont="1" applyFill="1" applyAlignment="1">
      <alignment wrapText="1"/>
      <protection/>
    </xf>
    <xf numFmtId="0" fontId="12" fillId="0" borderId="0" xfId="148" applyFont="1" applyFill="1" applyAlignment="1">
      <alignment horizontal="center"/>
      <protection/>
    </xf>
    <xf numFmtId="0" fontId="12" fillId="0" borderId="0" xfId="148" applyFont="1" applyAlignment="1">
      <alignment horizontal="left"/>
      <protection/>
    </xf>
    <xf numFmtId="0" fontId="12" fillId="0" borderId="0" xfId="148" applyFont="1" applyFill="1" applyAlignment="1">
      <alignment horizontal="left"/>
      <protection/>
    </xf>
    <xf numFmtId="3" fontId="12" fillId="0" borderId="0" xfId="148" applyNumberFormat="1" applyFont="1" applyBorder="1" applyAlignment="1">
      <alignment horizontal="left"/>
      <protection/>
    </xf>
    <xf numFmtId="0" fontId="12" fillId="0" borderId="0" xfId="148" applyFont="1" applyAlignment="1">
      <alignment wrapText="1"/>
      <protection/>
    </xf>
    <xf numFmtId="0" fontId="12" fillId="0" borderId="0" xfId="148" applyNumberFormat="1" applyFont="1" applyFill="1" applyAlignment="1">
      <alignment horizontal="center"/>
      <protection/>
    </xf>
    <xf numFmtId="0" fontId="12" fillId="0" borderId="0" xfId="148" applyNumberFormat="1" applyFont="1" applyAlignment="1">
      <alignment horizontal="left"/>
      <protection/>
    </xf>
    <xf numFmtId="0" fontId="12" fillId="0" borderId="0" xfId="148" applyFont="1" applyAlignment="1">
      <alignment/>
      <protection/>
    </xf>
    <xf numFmtId="3" fontId="12" fillId="0" borderId="0" xfId="148" applyNumberFormat="1" applyFont="1" applyAlignment="1">
      <alignment/>
      <protection/>
    </xf>
    <xf numFmtId="3" fontId="12" fillId="0" borderId="0" xfId="148" applyNumberFormat="1" applyFont="1" applyFill="1" applyAlignment="1">
      <alignment/>
      <protection/>
    </xf>
    <xf numFmtId="3" fontId="7" fillId="0" borderId="0" xfId="148" applyNumberFormat="1" applyFont="1" applyAlignment="1">
      <alignment horizontal="left"/>
      <protection/>
    </xf>
    <xf numFmtId="0" fontId="12" fillId="0" borderId="0" xfId="148" applyNumberFormat="1" applyFont="1" applyAlignment="1">
      <alignment/>
      <protection/>
    </xf>
    <xf numFmtId="3" fontId="12" fillId="0" borderId="0" xfId="148" applyNumberFormat="1" applyFont="1" applyAlignment="1">
      <alignment horizontal="left"/>
      <protection/>
    </xf>
    <xf numFmtId="0" fontId="7" fillId="0" borderId="0" xfId="148" applyNumberFormat="1" applyFont="1" applyAlignment="1">
      <alignment horizontal="left"/>
      <protection/>
    </xf>
    <xf numFmtId="0" fontId="12" fillId="0" borderId="0" xfId="148" applyNumberFormat="1" applyFont="1" applyBorder="1" applyAlignment="1">
      <alignment horizontal="left"/>
      <protection/>
    </xf>
    <xf numFmtId="3" fontId="12" fillId="0" borderId="11" xfId="148" applyNumberFormat="1" applyFont="1" applyBorder="1" applyAlignment="1">
      <alignment/>
      <protection/>
    </xf>
    <xf numFmtId="3" fontId="12" fillId="0" borderId="11" xfId="148" applyNumberFormat="1" applyFont="1" applyFill="1" applyBorder="1" applyAlignment="1">
      <alignment/>
      <protection/>
    </xf>
    <xf numFmtId="3" fontId="12" fillId="0" borderId="11" xfId="148" applyNumberFormat="1" applyFont="1" applyBorder="1" applyAlignment="1">
      <alignment horizontal="left"/>
      <protection/>
    </xf>
    <xf numFmtId="0" fontId="12" fillId="0" borderId="0" xfId="148" applyNumberFormat="1" applyFont="1" applyFill="1" applyAlignment="1">
      <alignment horizontal="left"/>
      <protection/>
    </xf>
    <xf numFmtId="0" fontId="12" fillId="0" borderId="0" xfId="148" applyFont="1" applyFill="1" applyAlignment="1">
      <alignment/>
      <protection/>
    </xf>
    <xf numFmtId="0" fontId="12" fillId="0" borderId="0" xfId="148" applyNumberFormat="1" applyFont="1" applyFill="1" applyAlignment="1">
      <alignment/>
      <protection/>
    </xf>
    <xf numFmtId="0" fontId="12" fillId="0" borderId="2" xfId="148" applyFont="1" applyBorder="1" applyAlignment="1">
      <alignment/>
      <protection/>
    </xf>
    <xf numFmtId="0" fontId="7" fillId="0" borderId="2" xfId="148" applyNumberFormat="1" applyFont="1" applyBorder="1" applyAlignment="1">
      <alignment/>
      <protection/>
    </xf>
    <xf numFmtId="3" fontId="12" fillId="0" borderId="2" xfId="148" applyNumberFormat="1" applyFont="1" applyBorder="1" applyAlignment="1">
      <alignment/>
      <protection/>
    </xf>
    <xf numFmtId="3" fontId="12" fillId="0" borderId="2" xfId="148" applyNumberFormat="1" applyFont="1" applyFill="1" applyBorder="1" applyAlignment="1">
      <alignment/>
      <protection/>
    </xf>
    <xf numFmtId="3" fontId="12" fillId="0" borderId="0" xfId="148" applyNumberFormat="1" applyFont="1" applyFill="1" applyAlignment="1">
      <alignment horizontal="center"/>
      <protection/>
    </xf>
    <xf numFmtId="0" fontId="12" fillId="0" borderId="0" xfId="148" applyNumberFormat="1" applyFont="1" applyFill="1" applyBorder="1" applyAlignment="1">
      <alignment/>
      <protection/>
    </xf>
    <xf numFmtId="182" fontId="12" fillId="0" borderId="0" xfId="150" applyNumberFormat="1" applyFont="1" applyFill="1" applyBorder="1" applyAlignment="1">
      <alignment/>
    </xf>
    <xf numFmtId="169" fontId="12" fillId="0" borderId="0" xfId="148" applyNumberFormat="1" applyFont="1" applyFill="1" applyAlignment="1">
      <alignment/>
      <protection/>
    </xf>
    <xf numFmtId="0" fontId="12" fillId="0" borderId="0" xfId="148" applyFont="1" applyBorder="1">
      <alignment/>
      <protection/>
    </xf>
    <xf numFmtId="169" fontId="12" fillId="0" borderId="0" xfId="148" applyNumberFormat="1" applyFont="1" applyBorder="1">
      <alignment/>
      <protection/>
    </xf>
    <xf numFmtId="3" fontId="12" fillId="0" borderId="0" xfId="148" applyNumberFormat="1" applyFont="1" applyFill="1" applyAlignment="1">
      <alignment horizontal="left"/>
      <protection/>
    </xf>
    <xf numFmtId="10" fontId="72" fillId="0" borderId="0" xfId="148" applyNumberFormat="1" applyFont="1" applyFill="1" applyAlignment="1">
      <alignment/>
      <protection/>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169" fontId="12" fillId="0" borderId="0" xfId="148" applyNumberFormat="1" applyFont="1" applyAlignment="1">
      <alignment/>
      <protection/>
    </xf>
    <xf numFmtId="0" fontId="12" fillId="0" borderId="0" xfId="148" applyFont="1" applyAlignment="1">
      <alignment horizontal="right"/>
      <protection/>
    </xf>
    <xf numFmtId="0" fontId="12" fillId="0" borderId="11" xfId="148" applyNumberFormat="1" applyFont="1" applyBorder="1" applyAlignment="1">
      <alignment horizontal="left"/>
      <protection/>
    </xf>
    <xf numFmtId="0" fontId="12" fillId="0" borderId="11" xfId="148" applyNumberFormat="1" applyFont="1" applyBorder="1" applyAlignment="1">
      <alignmen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169" fontId="12" fillId="0" borderId="11" xfId="148" applyNumberFormat="1" applyFont="1" applyBorder="1" applyAlignment="1">
      <alignment/>
      <protection/>
    </xf>
    <xf numFmtId="0" fontId="7" fillId="0" borderId="0" xfId="148" applyFont="1" applyBorder="1" applyAlignment="1">
      <alignment/>
      <protection/>
    </xf>
    <xf numFmtId="0" fontId="7" fillId="0" borderId="0" xfId="148" applyNumberFormat="1" applyFont="1" applyBorder="1" applyAlignment="1">
      <alignment/>
      <protection/>
    </xf>
    <xf numFmtId="3" fontId="7" fillId="0" borderId="0" xfId="148" applyNumberFormat="1" applyFont="1" applyBorder="1" applyAlignment="1" quotePrefix="1">
      <alignment horizontal="right"/>
      <protection/>
    </xf>
    <xf numFmtId="169" fontId="7" fillId="0" borderId="0" xfId="148" applyNumberFormat="1" applyFont="1" applyAlignment="1">
      <alignment/>
      <protection/>
    </xf>
    <xf numFmtId="0" fontId="7" fillId="0" borderId="0" xfId="148" applyNumberFormat="1" applyFont="1" applyFill="1" applyAlignment="1">
      <alignment horizontal="center"/>
      <protection/>
    </xf>
    <xf numFmtId="0" fontId="7" fillId="0" borderId="0" xfId="148" applyFont="1" applyBorder="1" applyAlignment="1">
      <alignment horizontal="left"/>
      <protection/>
    </xf>
    <xf numFmtId="0" fontId="7" fillId="0" borderId="33" xfId="148" applyFont="1" applyBorder="1" applyAlignment="1">
      <alignment/>
      <protection/>
    </xf>
    <xf numFmtId="0" fontId="12" fillId="0" borderId="33" xfId="148" applyFont="1" applyBorder="1">
      <alignment/>
      <protection/>
    </xf>
    <xf numFmtId="3" fontId="7" fillId="0" borderId="33" xfId="148" applyNumberFormat="1" applyFont="1" applyBorder="1" applyAlignment="1">
      <alignment horizontal="left"/>
      <protection/>
    </xf>
    <xf numFmtId="166" fontId="7" fillId="0" borderId="33" xfId="148" applyNumberFormat="1" applyFont="1" applyBorder="1" applyAlignment="1">
      <alignment horizontal="center"/>
      <protection/>
    </xf>
    <xf numFmtId="3" fontId="7" fillId="0" borderId="33" xfId="148" applyNumberFormat="1" applyFont="1" applyBorder="1" applyAlignment="1">
      <alignment/>
      <protection/>
    </xf>
    <xf numFmtId="0" fontId="12" fillId="0" borderId="0" xfId="148" applyNumberFormat="1" applyFont="1" applyAlignment="1">
      <alignment horizontal="center"/>
      <protection/>
    </xf>
    <xf numFmtId="0" fontId="73" fillId="52" borderId="0" xfId="148" applyNumberFormat="1" applyFont="1" applyFill="1" applyAlignment="1">
      <alignment horizontal="left"/>
      <protection/>
    </xf>
    <xf numFmtId="0" fontId="73" fillId="52" borderId="0" xfId="148" applyFont="1" applyFill="1" applyAlignment="1">
      <alignment horizontal="left"/>
      <protection/>
    </xf>
    <xf numFmtId="0" fontId="73" fillId="52" borderId="0" xfId="148" applyFont="1" applyFill="1" applyAlignment="1">
      <alignment/>
      <protection/>
    </xf>
    <xf numFmtId="0" fontId="74" fillId="52" borderId="0" xfId="148" applyNumberFormat="1" applyFont="1" applyFill="1" applyAlignment="1">
      <alignment horizontal="left"/>
      <protection/>
    </xf>
    <xf numFmtId="0" fontId="12" fillId="52" borderId="0" xfId="148" applyFont="1" applyFill="1" applyAlignment="1">
      <alignment/>
      <protection/>
    </xf>
    <xf numFmtId="0" fontId="74" fillId="52" borderId="0" xfId="148" applyNumberFormat="1" applyFont="1" applyFill="1" applyAlignment="1">
      <alignment horizontal="center"/>
      <protection/>
    </xf>
    <xf numFmtId="0" fontId="12" fillId="52" borderId="0" xfId="148" applyFont="1" applyFill="1" applyBorder="1" applyAlignment="1">
      <alignment horizontal="center" wrapText="1"/>
      <protection/>
    </xf>
    <xf numFmtId="0" fontId="7" fillId="0" borderId="0" xfId="148" applyNumberFormat="1" applyFont="1" applyFill="1" applyAlignment="1">
      <alignmen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4" fontId="7" fillId="0" borderId="0" xfId="148" applyNumberFormat="1" applyFont="1" applyBorder="1" applyAlignment="1">
      <alignment horizontal="left"/>
      <protection/>
    </xf>
    <xf numFmtId="166" fontId="12" fillId="0" borderId="0" xfId="148" applyNumberFormat="1" applyFont="1" applyAlignment="1">
      <alignment horizontal="center"/>
      <protection/>
    </xf>
    <xf numFmtId="3" fontId="12" fillId="0" borderId="0" xfId="148" applyNumberFormat="1" applyFont="1" applyFill="1" applyBorder="1" applyAlignment="1">
      <alignment horizontal="left"/>
      <protection/>
    </xf>
    <xf numFmtId="0" fontId="0" fillId="0" borderId="0" xfId="148" applyNumberFormat="1" applyFont="1" applyFill="1">
      <alignment/>
      <protection/>
    </xf>
    <xf numFmtId="10" fontId="0" fillId="0" borderId="0" xfId="148" applyNumberFormat="1" applyFont="1" applyFill="1">
      <alignment/>
      <protection/>
    </xf>
    <xf numFmtId="174" fontId="12" fillId="0" borderId="0" xfId="148" applyNumberFormat="1" applyFont="1" applyFill="1" applyAlignment="1">
      <alignment/>
      <protection/>
    </xf>
    <xf numFmtId="43" fontId="0" fillId="0" borderId="0" xfId="148" applyNumberFormat="1" applyFont="1" applyFill="1">
      <alignment/>
      <protection/>
    </xf>
    <xf numFmtId="164" fontId="12" fillId="0" borderId="0" xfId="148" applyNumberFormat="1" applyFont="1" applyFill="1" applyAlignment="1">
      <alignment horizontal="left"/>
      <protection/>
    </xf>
    <xf numFmtId="174" fontId="12" fillId="0" borderId="0" xfId="148" applyNumberFormat="1" applyFont="1" applyAlignment="1">
      <alignment/>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0" fontId="12" fillId="0" borderId="0" xfId="148" applyNumberFormat="1" applyFont="1" applyFill="1" applyAlignment="1">
      <alignment horizontal="right"/>
      <protection/>
    </xf>
    <xf numFmtId="10" fontId="70" fillId="0" borderId="0" xfId="148" applyNumberFormat="1" applyFont="1" applyFill="1" applyAlignment="1">
      <alignment horizontal="right"/>
      <protection/>
    </xf>
    <xf numFmtId="3" fontId="12" fillId="0" borderId="0" xfId="148" applyNumberFormat="1" applyFont="1" applyBorder="1" applyAlignment="1">
      <alignment/>
      <protection/>
    </xf>
    <xf numFmtId="0" fontId="12" fillId="0" borderId="0" xfId="148" applyFont="1" applyFill="1" applyBorder="1" applyAlignment="1">
      <alignment/>
      <protection/>
    </xf>
    <xf numFmtId="0" fontId="12" fillId="0" borderId="0" xfId="148" applyNumberFormat="1" applyFont="1" applyFill="1" applyBorder="1" applyAlignment="1">
      <alignment horizontal="center"/>
      <protection/>
    </xf>
    <xf numFmtId="3" fontId="75" fillId="0" borderId="0" xfId="148" applyNumberFormat="1" applyFont="1" applyBorder="1" applyAlignment="1">
      <alignment horizontal="right"/>
      <protection/>
    </xf>
    <xf numFmtId="3" fontId="76" fillId="0" borderId="0" xfId="148" applyNumberFormat="1" applyFont="1" applyBorder="1" applyAlignment="1">
      <alignment horizontal="right"/>
      <protection/>
    </xf>
    <xf numFmtId="3" fontId="12" fillId="0" borderId="0" xfId="148" applyNumberFormat="1" applyFont="1" applyFill="1" applyAlignment="1">
      <alignment horizontal="right"/>
      <protection/>
    </xf>
    <xf numFmtId="166" fontId="12" fillId="0" borderId="0" xfId="148" applyNumberFormat="1" applyFont="1" applyAlignment="1">
      <alignment/>
      <protection/>
    </xf>
    <xf numFmtId="185" fontId="12" fillId="0" borderId="0" xfId="150" applyNumberFormat="1" applyFont="1" applyFill="1" applyAlignment="1">
      <alignment horizontal="right"/>
    </xf>
    <xf numFmtId="0" fontId="5" fillId="0" borderId="0" xfId="148" applyFill="1">
      <alignment/>
      <protection/>
    </xf>
    <xf numFmtId="0" fontId="5" fillId="0" borderId="0" xfId="148" applyFill="1" applyBorder="1">
      <alignment/>
      <protection/>
    </xf>
    <xf numFmtId="0" fontId="69" fillId="0" borderId="0" xfId="148" applyFont="1" applyAlignment="1">
      <alignment/>
      <protection/>
    </xf>
    <xf numFmtId="174" fontId="53" fillId="0" borderId="0" xfId="0" applyFont="1" applyAlignment="1">
      <alignment horizontal="center" vertical="center"/>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0" fontId="12" fillId="0" borderId="0" xfId="148" applyNumberFormat="1" applyFont="1" applyBorder="1" applyAlignment="1">
      <alignment horizontal="center"/>
      <protection/>
    </xf>
    <xf numFmtId="0" fontId="52"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5" fillId="0" borderId="0" xfId="97" applyNumberFormat="1" applyFont="1" applyFill="1" applyBorder="1" applyAlignment="1">
      <alignment/>
      <protection/>
    </xf>
    <xf numFmtId="0" fontId="77" fillId="0" borderId="0" xfId="97" applyFont="1" applyBorder="1" applyAlignment="1">
      <alignment horizontal="left"/>
      <protection/>
    </xf>
    <xf numFmtId="0" fontId="5" fillId="0" borderId="0" xfId="97" applyFont="1" applyBorder="1" applyAlignment="1">
      <alignment/>
      <protection/>
    </xf>
    <xf numFmtId="0" fontId="5" fillId="0" borderId="0" xfId="97" applyFont="1" applyBorder="1" applyAlignment="1">
      <alignment horizontal="center"/>
      <protection/>
    </xf>
    <xf numFmtId="0" fontId="5" fillId="0" borderId="0" xfId="97" applyFont="1" applyBorder="1">
      <alignment/>
      <protection/>
    </xf>
    <xf numFmtId="0" fontId="77" fillId="0" borderId="0" xfId="97" applyFont="1" applyFill="1" applyBorder="1">
      <alignment/>
      <protection/>
    </xf>
    <xf numFmtId="3" fontId="12" fillId="0" borderId="0" xfId="97" applyNumberFormat="1" applyFont="1" applyFill="1" applyBorder="1" applyAlignment="1">
      <alignment/>
      <protection/>
    </xf>
    <xf numFmtId="174" fontId="5" fillId="0" borderId="0" xfId="0" applyFont="1" applyBorder="1" applyAlignment="1">
      <alignment/>
    </xf>
    <xf numFmtId="174" fontId="31" fillId="0" borderId="0" xfId="0" applyFont="1" applyBorder="1" applyAlignment="1">
      <alignment/>
    </xf>
    <xf numFmtId="43" fontId="5" fillId="0" borderId="0" xfId="18" applyFont="1" applyFill="1" applyBorder="1" applyAlignment="1">
      <alignment/>
    </xf>
    <xf numFmtId="174" fontId="5" fillId="0" borderId="0" xfId="0" applyFont="1" applyFill="1" applyBorder="1" applyAlignment="1">
      <alignment/>
    </xf>
    <xf numFmtId="178" fontId="5" fillId="0" borderId="0" xfId="18" applyNumberFormat="1" applyFont="1" applyFill="1" applyBorder="1" applyAlignment="1">
      <alignment/>
    </xf>
    <xf numFmtId="186" fontId="5" fillId="0" borderId="0" xfId="0" applyNumberFormat="1" applyFont="1" applyFill="1" applyBorder="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applyAlignment="1">
      <alignment/>
    </xf>
    <xf numFmtId="174" fontId="52" fillId="0" borderId="0" xfId="0" applyFont="1" applyAlignment="1">
      <alignment horizontal="center" vertical="top"/>
    </xf>
    <xf numFmtId="0" fontId="73" fillId="0" borderId="0" xfId="148" applyNumberFormat="1" applyFont="1" applyFill="1" applyAlignment="1">
      <alignment horizontal="left"/>
      <protection/>
    </xf>
    <xf numFmtId="0" fontId="73" fillId="0" borderId="0" xfId="148" applyFont="1" applyFill="1" applyAlignment="1">
      <alignment horizontal="left"/>
      <protection/>
    </xf>
    <xf numFmtId="0" fontId="73" fillId="0" borderId="0" xfId="148" applyFont="1" applyFill="1" applyAlignment="1">
      <alignment/>
      <protection/>
    </xf>
    <xf numFmtId="0" fontId="74" fillId="0" borderId="0" xfId="148" applyNumberFormat="1" applyFont="1" applyFill="1" applyAlignment="1">
      <alignment horizontal="left"/>
      <protection/>
    </xf>
    <xf numFmtId="0" fontId="74" fillId="0" borderId="0" xfId="148" applyNumberFormat="1" applyFont="1" applyFill="1" applyAlignment="1">
      <alignment horizontal="center"/>
      <protection/>
    </xf>
    <xf numFmtId="0" fontId="12" fillId="0" borderId="0" xfId="148" applyFont="1" applyFill="1" applyBorder="1" applyAlignment="1">
      <alignment horizontal="center" wrapText="1"/>
      <protection/>
    </xf>
    <xf numFmtId="0" fontId="5" fillId="53" borderId="0" xfId="98" applyFont="1" applyFill="1" applyBorder="1">
      <alignment/>
      <protection/>
    </xf>
    <xf numFmtId="1" fontId="5" fillId="53" borderId="0" xfId="98" applyNumberFormat="1" applyFont="1" applyFill="1" applyBorder="1" applyAlignment="1">
      <alignment horizontal="center"/>
      <protection/>
    </xf>
    <xf numFmtId="178" fontId="12" fillId="53" borderId="0" xfId="79" applyNumberFormat="1" applyFont="1" applyFill="1" applyBorder="1" applyAlignment="1">
      <alignment/>
    </xf>
    <xf numFmtId="43" fontId="0" fillId="53" borderId="0" xfId="18" applyFont="1" applyFill="1" applyBorder="1" applyAlignment="1">
      <alignment/>
    </xf>
    <xf numFmtId="49" fontId="5" fillId="53" borderId="0" xfId="98" applyNumberFormat="1" applyFont="1" applyFill="1" applyBorder="1" applyAlignment="1">
      <alignment horizontal="left"/>
      <protection/>
    </xf>
    <xf numFmtId="0" fontId="5" fillId="53" borderId="0" xfId="98" applyFont="1" applyFill="1" applyBorder="1" applyAlignment="1">
      <alignment/>
      <protection/>
    </xf>
    <xf numFmtId="0" fontId="5" fillId="53" borderId="0" xfId="98" applyFont="1" applyFill="1" applyBorder="1" applyAlignment="1">
      <alignment wrapText="1"/>
      <protection/>
    </xf>
    <xf numFmtId="0" fontId="27" fillId="53" borderId="0" xfId="98" applyNumberFormat="1" applyFont="1" applyFill="1" applyBorder="1" applyAlignment="1">
      <alignment horizontal="left"/>
      <protection/>
    </xf>
    <xf numFmtId="174" fontId="0" fillId="53" borderId="0" xfId="0" applyFont="1" applyFill="1" applyBorder="1" applyAlignment="1">
      <alignment/>
    </xf>
    <xf numFmtId="0" fontId="5" fillId="53" borderId="0" xfId="151" applyNumberFormat="1" applyFont="1" applyFill="1" applyBorder="1" applyAlignment="1" applyProtection="1">
      <alignment horizontal="center"/>
      <protection locked="0"/>
    </xf>
    <xf numFmtId="0" fontId="77" fillId="53" borderId="0" xfId="98" applyFont="1" applyFill="1" applyBorder="1" applyAlignment="1">
      <alignment horizontal="left"/>
      <protection/>
    </xf>
    <xf numFmtId="0" fontId="5" fillId="53" borderId="0" xfId="98" applyFont="1" applyFill="1" applyBorder="1" applyAlignment="1">
      <alignment horizontal="center" wrapText="1"/>
      <protection/>
    </xf>
    <xf numFmtId="0" fontId="5" fillId="53" borderId="0" xfId="98" applyFont="1" applyFill="1" applyBorder="1" applyAlignment="1">
      <alignment horizontal="center"/>
      <protection/>
    </xf>
    <xf numFmtId="174" fontId="35" fillId="53" borderId="0" xfId="0" applyFont="1" applyFill="1" applyBorder="1" applyAlignment="1">
      <alignment horizontal="center" wrapText="1"/>
    </xf>
    <xf numFmtId="174" fontId="35" fillId="53" borderId="0" xfId="0" applyFont="1" applyFill="1" applyBorder="1" applyAlignment="1">
      <alignment horizontal="center"/>
    </xf>
    <xf numFmtId="3" fontId="12" fillId="53" borderId="0" xfId="151" applyNumberFormat="1" applyFont="1" applyFill="1" applyBorder="1" applyAlignment="1">
      <alignment horizontal="right"/>
    </xf>
    <xf numFmtId="3" fontId="12" fillId="53" borderId="0" xfId="151" applyNumberFormat="1" applyFont="1" applyFill="1" applyBorder="1" applyAlignment="1">
      <alignment/>
    </xf>
    <xf numFmtId="174" fontId="53" fillId="0" borderId="0" xfId="0" applyFont="1" applyFill="1" applyAlignment="1">
      <alignment horizontal="center" vertical="center" wrapText="1"/>
    </xf>
    <xf numFmtId="174" fontId="52" fillId="0" borderId="0" xfId="0" applyFont="1" applyFill="1" applyAlignment="1">
      <alignment horizontal="center" vertical="center"/>
    </xf>
    <xf numFmtId="164" fontId="12" fillId="0" borderId="0" xfId="148" applyNumberFormat="1" applyFont="1" applyFill="1" applyAlignment="1">
      <alignment horizontal="center"/>
      <protection/>
    </xf>
    <xf numFmtId="166" fontId="12" fillId="0" borderId="0" xfId="148" applyNumberFormat="1" applyFont="1" applyFill="1" applyAlignment="1">
      <alignment horizontal="center"/>
      <protection/>
    </xf>
    <xf numFmtId="43" fontId="12" fillId="0" borderId="0" xfId="148" applyNumberFormat="1" applyFont="1" applyFill="1" applyAlignment="1">
      <alignment horizontal="right"/>
      <protection/>
    </xf>
    <xf numFmtId="164" fontId="12" fillId="0" borderId="0" xfId="0" applyNumberFormat="1" applyFont="1" applyAlignment="1">
      <alignment horizontal="left"/>
    </xf>
    <xf numFmtId="174" fontId="12" fillId="0" borderId="0" xfId="0" applyFont="1" applyAlignment="1">
      <alignment/>
    </xf>
    <xf numFmtId="0" fontId="12" fillId="0" borderId="0" xfId="0" applyNumberFormat="1" applyFont="1" applyAlignment="1">
      <alignment/>
    </xf>
    <xf numFmtId="0" fontId="12" fillId="0" borderId="0" xfId="0" applyNumberFormat="1" applyFont="1" applyFill="1" applyAlignment="1">
      <alignment/>
    </xf>
    <xf numFmtId="164" fontId="12" fillId="0" borderId="0" xfId="0" applyNumberFormat="1" applyFont="1" applyFill="1" applyAlignment="1">
      <alignment horizontal="left"/>
    </xf>
    <xf numFmtId="174" fontId="12" fillId="0" borderId="0" xfId="0" applyFont="1" applyFill="1" applyAlignment="1">
      <alignment/>
    </xf>
    <xf numFmtId="43" fontId="12" fillId="0" borderId="0" xfId="148" applyNumberFormat="1" applyFont="1">
      <alignment/>
      <protection/>
    </xf>
    <xf numFmtId="174" fontId="53" fillId="0" borderId="0" xfId="0" applyFont="1" applyAlignment="1">
      <alignment horizontal="center" vertical="center"/>
    </xf>
    <xf numFmtId="3" fontId="32" fillId="0" borderId="0" xfId="0" applyNumberFormat="1" applyFont="1" applyFill="1" applyBorder="1" applyAlignment="1" applyProtection="1">
      <alignment/>
      <protection locked="0"/>
    </xf>
    <xf numFmtId="0" fontId="32" fillId="0" borderId="0" xfId="0" applyNumberFormat="1" applyFont="1" applyFill="1" applyBorder="1" applyAlignment="1" applyProtection="1">
      <alignment/>
      <protection locked="0"/>
    </xf>
    <xf numFmtId="17" fontId="33" fillId="0" borderId="24" xfId="0" applyNumberFormat="1" applyFont="1" applyFill="1" applyBorder="1" applyAlignment="1">
      <alignment horizontal="center" wrapText="1"/>
    </xf>
    <xf numFmtId="17" fontId="33" fillId="51" borderId="24" xfId="0" applyNumberFormat="1" applyFont="1" applyFill="1" applyBorder="1" applyAlignment="1">
      <alignment horizontal="center" wrapText="1"/>
    </xf>
    <xf numFmtId="0" fontId="32" fillId="51" borderId="0" xfId="0" applyNumberFormat="1" applyFont="1" applyFill="1" applyBorder="1"/>
    <xf numFmtId="175" fontId="32" fillId="51" borderId="0" xfId="16" applyNumberFormat="1" applyFont="1" applyFill="1" applyBorder="1" applyAlignment="1">
      <alignment/>
    </xf>
    <xf numFmtId="0" fontId="32" fillId="51" borderId="24" xfId="0" applyNumberFormat="1" applyFont="1" applyFill="1" applyBorder="1" applyAlignment="1">
      <alignment horizontal="center"/>
    </xf>
    <xf numFmtId="174" fontId="0" fillId="51" borderId="24" xfId="0" applyFill="1" applyBorder="1" applyAlignment="1">
      <alignment/>
    </xf>
    <xf numFmtId="17" fontId="33" fillId="0" borderId="0" xfId="0" applyNumberFormat="1" applyFont="1" applyFill="1" applyBorder="1" applyAlignment="1">
      <alignment horizontal="center" wrapText="1"/>
    </xf>
    <xf numFmtId="174" fontId="0" fillId="0" borderId="0" xfId="0" applyBorder="1" applyAlignment="1">
      <alignment/>
    </xf>
    <xf numFmtId="0" fontId="33" fillId="0" borderId="29" xfId="0" applyNumberFormat="1" applyFont="1" applyFill="1" applyBorder="1" applyAlignment="1">
      <alignment horizontal="center" wrapText="1"/>
    </xf>
    <xf numFmtId="174" fontId="0" fillId="51" borderId="0" xfId="0" applyFill="1" applyBorder="1" applyAlignment="1">
      <alignment/>
    </xf>
    <xf numFmtId="174" fontId="0" fillId="0" borderId="27" xfId="0" applyBorder="1" applyAlignment="1">
      <alignment/>
    </xf>
    <xf numFmtId="174" fontId="0" fillId="0" borderId="28" xfId="0" applyBorder="1" applyAlignment="1">
      <alignment/>
    </xf>
    <xf numFmtId="174" fontId="0" fillId="0" borderId="11" xfId="0" applyBorder="1" applyAlignment="1">
      <alignment/>
    </xf>
    <xf numFmtId="174" fontId="0" fillId="0" borderId="34" xfId="0" applyBorder="1" applyAlignment="1">
      <alignment/>
    </xf>
    <xf numFmtId="174" fontId="51" fillId="0" borderId="0" xfId="0" applyFont="1" applyAlignment="1">
      <alignment horizontal="center" vertical="center"/>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6"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35" xfId="153" applyFont="1" applyBorder="1" applyAlignment="1">
      <alignment horizontal="left"/>
      <protection/>
    </xf>
    <xf numFmtId="0" fontId="26" fillId="0" borderId="0" xfId="153" applyFont="1" applyBorder="1" applyAlignment="1">
      <alignment horizontal="left"/>
      <protection/>
    </xf>
    <xf numFmtId="0" fontId="13" fillId="0" borderId="0" xfId="153" applyFont="1">
      <alignment/>
      <protection/>
    </xf>
    <xf numFmtId="0" fontId="5" fillId="0" borderId="25" xfId="153" applyBorder="1">
      <alignment/>
      <protection/>
    </xf>
    <xf numFmtId="0" fontId="5" fillId="0" borderId="0" xfId="153" applyBorder="1">
      <alignment/>
      <protection/>
    </xf>
    <xf numFmtId="0" fontId="81" fillId="0" borderId="0" xfId="153" applyFont="1" applyFill="1" applyBorder="1" applyAlignment="1">
      <alignment horizontal="left"/>
      <protection/>
    </xf>
    <xf numFmtId="0" fontId="26" fillId="0" borderId="0" xfId="153" applyFont="1" applyFill="1" applyBorder="1" applyAlignment="1">
      <alignment horizontal="left"/>
      <protection/>
    </xf>
    <xf numFmtId="0" fontId="26" fillId="0" borderId="27" xfId="153" applyFont="1" applyBorder="1" applyAlignment="1">
      <alignment horizontal="left"/>
      <protection/>
    </xf>
    <xf numFmtId="0" fontId="8" fillId="0" borderId="36" xfId="153" applyFont="1" applyBorder="1">
      <alignment/>
      <protection/>
    </xf>
    <xf numFmtId="14" fontId="8" fillId="0" borderId="37" xfId="153" applyNumberFormat="1" applyFont="1" applyBorder="1">
      <alignment/>
      <protection/>
    </xf>
    <xf numFmtId="0" fontId="13" fillId="0" borderId="0" xfId="153" applyFont="1" applyFill="1" applyBorder="1" applyAlignment="1">
      <alignment horizontal="left"/>
      <protection/>
    </xf>
    <xf numFmtId="0" fontId="68" fillId="0" borderId="0" xfId="153" applyFont="1" applyBorder="1" applyAlignment="1">
      <alignment horizontal="left"/>
      <protection/>
    </xf>
    <xf numFmtId="0" fontId="13" fillId="0" borderId="0" xfId="153" applyFont="1" applyBorder="1">
      <alignment/>
      <protection/>
    </xf>
    <xf numFmtId="0" fontId="27" fillId="0" borderId="25" xfId="153" applyFont="1" applyBorder="1" applyAlignment="1">
      <alignment horizontal="center"/>
      <protection/>
    </xf>
    <xf numFmtId="0" fontId="7" fillId="0" borderId="0" xfId="153" applyFont="1" applyBorder="1" applyAlignment="1">
      <alignment horizontal="center"/>
      <protection/>
    </xf>
    <xf numFmtId="0" fontId="26" fillId="0" borderId="0" xfId="153" applyFont="1" applyFill="1" applyBorder="1" applyAlignment="1">
      <alignment horizontal="center"/>
      <protection/>
    </xf>
    <xf numFmtId="0" fontId="26" fillId="0" borderId="0" xfId="153" applyFont="1" applyBorder="1" applyAlignment="1">
      <alignment horizontal="center"/>
      <protection/>
    </xf>
    <xf numFmtId="0" fontId="26" fillId="0" borderId="0" xfId="153" applyFont="1" applyFill="1" applyBorder="1" applyAlignment="1" quotePrefix="1">
      <alignment horizontal="center"/>
      <protection/>
    </xf>
    <xf numFmtId="0" fontId="26" fillId="0" borderId="27" xfId="153" applyFont="1" applyBorder="1" applyAlignment="1">
      <alignment horizontal="center"/>
      <protection/>
    </xf>
    <xf numFmtId="0" fontId="27" fillId="0" borderId="0" xfId="153" applyFont="1" applyAlignment="1">
      <alignment horizontal="center"/>
      <protection/>
    </xf>
    <xf numFmtId="0" fontId="26" fillId="0" borderId="0" xfId="153" applyFont="1" applyAlignment="1">
      <alignment horizontal="center"/>
      <protection/>
    </xf>
    <xf numFmtId="0" fontId="5" fillId="0" borderId="0" xfId="153" applyBorder="1" applyAlignment="1">
      <alignment horizontal="center"/>
      <protection/>
    </xf>
    <xf numFmtId="0" fontId="13" fillId="0" borderId="0" xfId="153" applyFont="1" applyFill="1" applyBorder="1">
      <alignment/>
      <protection/>
    </xf>
    <xf numFmtId="0" fontId="31" fillId="0" borderId="0" xfId="153" applyFont="1" applyBorder="1" applyAlignment="1">
      <alignment horizontal="center"/>
      <protection/>
    </xf>
    <xf numFmtId="0" fontId="82" fillId="0" borderId="0" xfId="153" applyFont="1" applyFill="1" applyBorder="1">
      <alignment/>
      <protection/>
    </xf>
    <xf numFmtId="0" fontId="13" fillId="0" borderId="27" xfId="153" applyFont="1" applyBorder="1">
      <alignment/>
      <protection/>
    </xf>
    <xf numFmtId="175" fontId="13" fillId="0" borderId="0" xfId="153" applyNumberFormat="1" applyFont="1" applyBorder="1">
      <alignment/>
      <protection/>
    </xf>
    <xf numFmtId="10" fontId="83" fillId="0" borderId="0" xfId="153" applyNumberFormat="1" applyFont="1" applyBorder="1" applyAlignment="1">
      <alignment horizontal="left"/>
      <protection/>
    </xf>
    <xf numFmtId="0" fontId="31" fillId="0" borderId="0" xfId="153" applyFont="1" applyFill="1" applyBorder="1" applyAlignment="1">
      <alignment horizontal="center"/>
      <protection/>
    </xf>
    <xf numFmtId="0" fontId="31" fillId="0" borderId="0" xfId="153" applyFont="1" applyBorder="1">
      <alignment/>
      <protection/>
    </xf>
    <xf numFmtId="0" fontId="31" fillId="0" borderId="27" xfId="153" applyFont="1" applyBorder="1">
      <alignment/>
      <protection/>
    </xf>
    <xf numFmtId="175" fontId="31" fillId="0" borderId="0" xfId="153" applyNumberFormat="1" applyFont="1" applyBorder="1">
      <alignment/>
      <protection/>
    </xf>
    <xf numFmtId="0" fontId="31" fillId="0" borderId="0" xfId="153" applyFont="1">
      <alignment/>
      <protection/>
    </xf>
    <xf numFmtId="10" fontId="84" fillId="0" borderId="0" xfId="153" applyNumberFormat="1" applyFont="1" applyBorder="1" applyAlignment="1">
      <alignment horizontal="left"/>
      <protection/>
    </xf>
    <xf numFmtId="0" fontId="85" fillId="0" borderId="0" xfId="153" applyFont="1" applyBorder="1" applyAlignment="1">
      <alignment horizontal="center"/>
      <protection/>
    </xf>
    <xf numFmtId="0" fontId="27" fillId="0" borderId="0" xfId="153" applyFont="1" applyBorder="1" applyAlignment="1">
      <alignment horizontal="left"/>
      <protection/>
    </xf>
    <xf numFmtId="17" fontId="13" fillId="0" borderId="0" xfId="153" applyNumberFormat="1" applyFont="1" applyBorder="1" applyAlignment="1">
      <alignment horizontal="left"/>
      <protection/>
    </xf>
    <xf numFmtId="41" fontId="5" fillId="0" borderId="0" xfId="153" applyNumberFormat="1" applyBorder="1">
      <alignment/>
      <protection/>
    </xf>
    <xf numFmtId="0" fontId="8" fillId="0" borderId="0" xfId="153" applyFont="1" applyBorder="1" applyAlignment="1">
      <alignment horizontal="center"/>
      <protection/>
    </xf>
    <xf numFmtId="0" fontId="86" fillId="0" borderId="0" xfId="153" applyFont="1" applyBorder="1">
      <alignment/>
      <protection/>
    </xf>
    <xf numFmtId="14" fontId="8" fillId="0" borderId="0" xfId="153" applyNumberFormat="1" applyFont="1" applyFill="1" applyBorder="1" applyAlignment="1">
      <alignment horizontal="left"/>
      <protection/>
    </xf>
    <xf numFmtId="0" fontId="87" fillId="0" borderId="0" xfId="153" applyFont="1" applyBorder="1">
      <alignment/>
      <protection/>
    </xf>
    <xf numFmtId="6" fontId="31" fillId="0" borderId="0" xfId="153" applyNumberFormat="1" applyFont="1" applyBorder="1" applyAlignment="1">
      <alignment horizontal="center"/>
      <protection/>
    </xf>
    <xf numFmtId="6" fontId="31" fillId="0" borderId="0" xfId="153" applyNumberFormat="1" applyFont="1" applyFill="1" applyBorder="1" applyAlignment="1">
      <alignment horizontal="center"/>
      <protection/>
    </xf>
    <xf numFmtId="0" fontId="5" fillId="0" borderId="25" xfId="153" applyBorder="1" quotePrefix="1">
      <alignment/>
      <protection/>
    </xf>
    <xf numFmtId="164" fontId="13" fillId="0" borderId="0" xfId="153" applyNumberFormat="1" applyFont="1" applyBorder="1" applyAlignment="1">
      <alignment horizontal="left"/>
      <protection/>
    </xf>
    <xf numFmtId="0" fontId="88" fillId="0" borderId="0" xfId="153" applyFont="1" applyBorder="1">
      <alignment/>
      <protection/>
    </xf>
    <xf numFmtId="14" fontId="31" fillId="0" borderId="0" xfId="153" applyNumberFormat="1" applyFont="1" applyBorder="1" applyAlignment="1">
      <alignment horizontal="center"/>
      <protection/>
    </xf>
    <xf numFmtId="175" fontId="31" fillId="0" borderId="0" xfId="154" applyNumberFormat="1" applyFont="1" applyBorder="1" applyAlignment="1">
      <alignment horizontal="center"/>
    </xf>
    <xf numFmtId="10" fontId="5" fillId="0" borderId="0" xfId="153" applyNumberFormat="1" applyBorder="1">
      <alignment/>
      <protection/>
    </xf>
    <xf numFmtId="10" fontId="31" fillId="0" borderId="0" xfId="153" applyNumberFormat="1" applyFont="1" applyFill="1" applyBorder="1" applyAlignment="1">
      <alignment/>
      <protection/>
    </xf>
    <xf numFmtId="10" fontId="31" fillId="0" borderId="0" xfId="153" applyNumberFormat="1" applyFont="1" applyBorder="1">
      <alignment/>
      <protection/>
    </xf>
    <xf numFmtId="44" fontId="31" fillId="0" borderId="0" xfId="153" applyNumberFormat="1" applyFont="1" applyBorder="1">
      <alignment/>
      <protection/>
    </xf>
    <xf numFmtId="0" fontId="89" fillId="0" borderId="0" xfId="153" applyFont="1" applyFill="1" applyBorder="1">
      <alignment/>
      <protection/>
    </xf>
    <xf numFmtId="178" fontId="89" fillId="0" borderId="0" xfId="155" applyNumberFormat="1" applyFont="1" applyFill="1" applyBorder="1"/>
    <xf numFmtId="14" fontId="90" fillId="0" borderId="0" xfId="153" applyNumberFormat="1" applyFont="1" applyBorder="1" applyAlignment="1" quotePrefix="1">
      <alignment horizontal="center"/>
      <protection/>
    </xf>
    <xf numFmtId="175" fontId="89" fillId="0" borderId="0" xfId="154" applyNumberFormat="1" applyFont="1" applyFill="1" applyBorder="1"/>
    <xf numFmtId="178" fontId="89" fillId="0" borderId="0" xfId="153" applyNumberFormat="1" applyFont="1" applyFill="1" applyBorder="1">
      <alignment/>
      <protection/>
    </xf>
    <xf numFmtId="175" fontId="31" fillId="0" borderId="0" xfId="154" applyNumberFormat="1" applyFont="1" applyFill="1" applyBorder="1"/>
    <xf numFmtId="182" fontId="31" fillId="0" borderId="0" xfId="153" applyNumberFormat="1" applyFont="1" applyBorder="1">
      <alignment/>
      <protection/>
    </xf>
    <xf numFmtId="49" fontId="31" fillId="0" borderId="0" xfId="153" applyNumberFormat="1" applyFont="1" applyFill="1" applyBorder="1" applyAlignment="1" applyProtection="1">
      <alignment horizontal="center"/>
      <protection/>
    </xf>
    <xf numFmtId="178" fontId="31" fillId="0" borderId="0" xfId="155" applyNumberFormat="1" applyFont="1" applyFill="1" applyBorder="1"/>
    <xf numFmtId="178" fontId="31" fillId="0" borderId="0" xfId="153" applyNumberFormat="1" applyFont="1" applyFill="1" applyBorder="1">
      <alignment/>
      <protection/>
    </xf>
    <xf numFmtId="0" fontId="31" fillId="0" borderId="0" xfId="153" applyFont="1" applyFill="1" applyBorder="1">
      <alignment/>
      <protection/>
    </xf>
    <xf numFmtId="164" fontId="31" fillId="0" borderId="0" xfId="155" applyNumberFormat="1" applyFont="1" applyBorder="1" applyAlignment="1">
      <alignment/>
    </xf>
    <xf numFmtId="44" fontId="31" fillId="0" borderId="0" xfId="153" applyNumberFormat="1" applyFont="1" applyFill="1" applyBorder="1">
      <alignment/>
      <protection/>
    </xf>
    <xf numFmtId="175" fontId="31" fillId="0" borderId="0" xfId="154" applyNumberFormat="1" applyFont="1" applyFill="1" applyBorder="1" applyAlignment="1">
      <alignment horizontal="center"/>
    </xf>
    <xf numFmtId="164" fontId="31" fillId="0" borderId="0" xfId="153" applyNumberFormat="1" applyFont="1" applyFill="1" applyBorder="1" applyAlignment="1">
      <alignment/>
      <protection/>
    </xf>
    <xf numFmtId="0" fontId="5" fillId="0" borderId="0" xfId="153" applyFont="1" applyBorder="1">
      <alignment/>
      <protection/>
    </xf>
    <xf numFmtId="41" fontId="13" fillId="0" borderId="0" xfId="153" applyNumberFormat="1" applyFont="1" applyBorder="1">
      <alignment/>
      <protection/>
    </xf>
    <xf numFmtId="175" fontId="31" fillId="0" borderId="11" xfId="154" applyNumberFormat="1" applyFont="1" applyFill="1" applyBorder="1"/>
    <xf numFmtId="0" fontId="31" fillId="0" borderId="11" xfId="153" applyFont="1" applyFill="1" applyBorder="1">
      <alignment/>
      <protection/>
    </xf>
    <xf numFmtId="0" fontId="31" fillId="0" borderId="11" xfId="153" applyFont="1" applyBorder="1">
      <alignment/>
      <protection/>
    </xf>
    <xf numFmtId="44" fontId="31" fillId="0" borderId="0" xfId="153" applyNumberFormat="1" applyFont="1" applyBorder="1" applyAlignment="1">
      <alignment horizontal="right"/>
      <protection/>
    </xf>
    <xf numFmtId="175" fontId="31" fillId="0" borderId="0" xfId="154" applyNumberFormat="1" applyFont="1" applyBorder="1"/>
    <xf numFmtId="164" fontId="31" fillId="0" borderId="0" xfId="153" applyNumberFormat="1" applyFont="1" applyBorder="1">
      <alignment/>
      <protection/>
    </xf>
    <xf numFmtId="44" fontId="88" fillId="0" borderId="0" xfId="153" applyNumberFormat="1" applyFont="1" applyBorder="1">
      <alignment/>
      <protection/>
    </xf>
    <xf numFmtId="44" fontId="31" fillId="0" borderId="27" xfId="153" applyNumberFormat="1" applyFont="1" applyBorder="1">
      <alignment/>
      <protection/>
    </xf>
    <xf numFmtId="0" fontId="31" fillId="0" borderId="38" xfId="153" applyFont="1" applyBorder="1">
      <alignment/>
      <protection/>
    </xf>
    <xf numFmtId="41" fontId="13" fillId="0" borderId="0" xfId="153" applyNumberFormat="1" applyFont="1" applyFill="1" applyBorder="1">
      <alignment/>
      <protection/>
    </xf>
    <xf numFmtId="164" fontId="13" fillId="0" borderId="0" xfId="153" applyNumberFormat="1" applyFont="1" applyBorder="1">
      <alignment/>
      <protection/>
    </xf>
    <xf numFmtId="164" fontId="13" fillId="0" borderId="0" xfId="153" applyNumberFormat="1" applyFont="1" applyFill="1" applyBorder="1">
      <alignment/>
      <protection/>
    </xf>
    <xf numFmtId="0" fontId="5" fillId="0" borderId="28"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4" xfId="153" applyNumberFormat="1" applyFont="1" applyBorder="1">
      <alignment/>
      <protection/>
    </xf>
    <xf numFmtId="44" fontId="7" fillId="0" borderId="0" xfId="153" applyNumberFormat="1" applyFont="1" applyBorder="1">
      <alignment/>
      <protection/>
    </xf>
    <xf numFmtId="0" fontId="86" fillId="0" borderId="2" xfId="153" applyFont="1" applyBorder="1">
      <alignment/>
      <protection/>
    </xf>
    <xf numFmtId="44" fontId="31" fillId="0" borderId="2" xfId="153" applyNumberFormat="1" applyFont="1" applyBorder="1">
      <alignment/>
      <protection/>
    </xf>
    <xf numFmtId="44" fontId="31" fillId="0" borderId="35" xfId="153" applyNumberFormat="1" applyFont="1" applyBorder="1">
      <alignment/>
      <protection/>
    </xf>
    <xf numFmtId="0" fontId="5" fillId="0" borderId="35" xfId="153" applyBorder="1">
      <alignment/>
      <protection/>
    </xf>
    <xf numFmtId="0" fontId="5" fillId="0" borderId="27" xfId="153" applyBorder="1">
      <alignment/>
      <protection/>
    </xf>
    <xf numFmtId="0" fontId="27" fillId="0" borderId="0" xfId="153" applyFont="1" applyBorder="1" applyAlignment="1">
      <alignment horizontal="center"/>
      <protection/>
    </xf>
    <xf numFmtId="0" fontId="8" fillId="0" borderId="0" xfId="153" applyFont="1" applyBorder="1" applyAlignment="1" quotePrefix="1">
      <alignment horizontal="center"/>
      <protection/>
    </xf>
    <xf numFmtId="0" fontId="8" fillId="0" borderId="27" xfId="153" applyFont="1" applyBorder="1" applyAlignment="1">
      <alignment horizontal="center"/>
      <protection/>
    </xf>
    <xf numFmtId="0" fontId="27" fillId="0" borderId="0" xfId="153" applyFont="1" applyBorder="1" applyAlignment="1" quotePrefix="1">
      <alignment horizontal="center"/>
      <protection/>
    </xf>
    <xf numFmtId="0" fontId="8" fillId="0" borderId="0" xfId="153" applyFont="1" applyAlignment="1">
      <alignment horizontal="center"/>
      <protection/>
    </xf>
    <xf numFmtId="42" fontId="26" fillId="0" borderId="0" xfId="153" applyNumberFormat="1" applyFont="1" applyBorder="1" applyAlignment="1">
      <alignment horizontal="center"/>
      <protection/>
    </xf>
    <xf numFmtId="44" fontId="8" fillId="0" borderId="0" xfId="153" applyNumberFormat="1" applyFont="1" applyFill="1" applyBorder="1">
      <alignment/>
      <protection/>
    </xf>
    <xf numFmtId="0" fontId="5" fillId="0" borderId="0" xfId="153" applyFont="1" applyBorder="1" applyAlignment="1">
      <alignment horizontal="center"/>
      <protection/>
    </xf>
    <xf numFmtId="0" fontId="5" fillId="0" borderId="27" xfId="153" applyBorder="1" applyAlignment="1">
      <alignment horizontal="center"/>
      <protection/>
    </xf>
    <xf numFmtId="0" fontId="31" fillId="0" borderId="27" xfId="153" applyFont="1" applyBorder="1" applyAlignment="1">
      <alignment horizontal="center"/>
      <protection/>
    </xf>
    <xf numFmtId="0" fontId="79" fillId="0" borderId="0" xfId="153" applyFont="1" applyBorder="1">
      <alignment/>
      <protection/>
    </xf>
    <xf numFmtId="0" fontId="91" fillId="0" borderId="0" xfId="153" applyFont="1" applyBorder="1">
      <alignment/>
      <protection/>
    </xf>
    <xf numFmtId="0" fontId="87" fillId="0" borderId="0" xfId="153" applyFont="1" applyBorder="1" applyAlignment="1">
      <alignment horizontal="center"/>
      <protection/>
    </xf>
    <xf numFmtId="164" fontId="87" fillId="0" borderId="0" xfId="153" applyNumberFormat="1" applyFont="1" applyFill="1" applyBorder="1">
      <alignment/>
      <protection/>
    </xf>
    <xf numFmtId="0" fontId="87" fillId="0" borderId="27" xfId="153" applyFont="1" applyBorder="1" applyAlignment="1">
      <alignment horizontal="center"/>
      <protection/>
    </xf>
    <xf numFmtId="0" fontId="5" fillId="0" borderId="25" xfId="153" applyBorder="1" applyAlignment="1" quotePrefix="1">
      <alignment horizontal="center"/>
      <protection/>
    </xf>
    <xf numFmtId="42" fontId="31" fillId="0" borderId="0" xfId="153" applyNumberFormat="1" applyFont="1" applyBorder="1">
      <alignment/>
      <protection/>
    </xf>
    <xf numFmtId="42" fontId="31" fillId="0" borderId="27" xfId="155" applyNumberFormat="1" applyFont="1" applyBorder="1"/>
    <xf numFmtId="169" fontId="31" fillId="0" borderId="0" xfId="153" applyNumberFormat="1" applyFont="1" applyBorder="1">
      <alignment/>
      <protection/>
    </xf>
    <xf numFmtId="166" fontId="31" fillId="0" borderId="0" xfId="153" applyNumberFormat="1" applyFont="1" applyBorder="1">
      <alignment/>
      <protection/>
    </xf>
    <xf numFmtId="10" fontId="31" fillId="0" borderId="27" xfId="155" applyNumberFormat="1" applyFont="1" applyBorder="1" applyAlignment="1">
      <alignment horizontal="center"/>
    </xf>
    <xf numFmtId="188" fontId="31" fillId="0" borderId="0" xfId="153" applyNumberFormat="1" applyFont="1" applyBorder="1">
      <alignment/>
      <protection/>
    </xf>
    <xf numFmtId="188" fontId="31" fillId="0" borderId="0" xfId="153" applyNumberFormat="1" applyFont="1">
      <alignment/>
      <protection/>
    </xf>
    <xf numFmtId="166" fontId="31" fillId="0" borderId="0" xfId="153" applyNumberFormat="1" applyFont="1">
      <alignment/>
      <protection/>
    </xf>
    <xf numFmtId="164" fontId="31" fillId="0" borderId="0" xfId="153" applyNumberFormat="1" applyFont="1">
      <alignment/>
      <protection/>
    </xf>
    <xf numFmtId="0" fontId="5" fillId="0" borderId="25" xfId="153" applyBorder="1" applyAlignment="1">
      <alignment horizontal="center"/>
      <protection/>
    </xf>
    <xf numFmtId="178" fontId="31" fillId="0" borderId="0" xfId="155" applyNumberFormat="1" applyFont="1" applyBorder="1"/>
    <xf numFmtId="1" fontId="31" fillId="0" borderId="27" xfId="155" applyNumberFormat="1" applyFont="1" applyBorder="1"/>
    <xf numFmtId="164" fontId="31" fillId="0" borderId="27" xfId="155" applyNumberFormat="1" applyFont="1" applyBorder="1" applyAlignment="1">
      <alignment horizontal="center"/>
    </xf>
    <xf numFmtId="0" fontId="31" fillId="0" borderId="0" xfId="153" applyFont="1" applyBorder="1" applyAlignment="1" quotePrefix="1">
      <alignment horizontal="center"/>
      <protection/>
    </xf>
    <xf numFmtId="14" fontId="31" fillId="0" borderId="0" xfId="153" applyNumberFormat="1" applyFont="1" applyBorder="1" applyAlignment="1" quotePrefix="1">
      <alignment horizontal="center"/>
      <protection/>
    </xf>
    <xf numFmtId="178" fontId="31" fillId="0" borderId="11" xfId="155" applyNumberFormat="1" applyFont="1" applyBorder="1"/>
    <xf numFmtId="0" fontId="5" fillId="0" borderId="11" xfId="153" applyFont="1" applyBorder="1">
      <alignment/>
      <protection/>
    </xf>
    <xf numFmtId="0" fontId="31" fillId="0" borderId="34" xfId="153" applyFont="1" applyBorder="1">
      <alignment/>
      <protection/>
    </xf>
    <xf numFmtId="175" fontId="31" fillId="0" borderId="11" xfId="153" applyNumberFormat="1" applyFont="1" applyBorder="1">
      <alignment/>
      <protection/>
    </xf>
    <xf numFmtId="164" fontId="31" fillId="0" borderId="0" xfId="153" applyNumberFormat="1" applyFont="1" applyBorder="1" applyAlignment="1">
      <alignment horizontal="right"/>
      <protection/>
    </xf>
    <xf numFmtId="42" fontId="31" fillId="0" borderId="0" xfId="155" applyNumberFormat="1" applyFont="1" applyBorder="1"/>
    <xf numFmtId="42" fontId="31" fillId="0" borderId="27" xfId="153" applyNumberFormat="1" applyFont="1" applyBorder="1">
      <alignment/>
      <protection/>
    </xf>
    <xf numFmtId="169" fontId="31" fillId="0" borderId="27" xfId="153" applyNumberFormat="1" applyFont="1" applyBorder="1">
      <alignment/>
      <protection/>
    </xf>
    <xf numFmtId="175" fontId="31" fillId="0" borderId="0" xfId="153" applyNumberFormat="1" applyFont="1">
      <alignment/>
      <protection/>
    </xf>
    <xf numFmtId="43" fontId="31" fillId="0" borderId="11" xfId="155" applyFont="1" applyBorder="1"/>
    <xf numFmtId="188" fontId="31" fillId="0" borderId="34" xfId="153" applyNumberFormat="1" applyFont="1" applyBorder="1">
      <alignment/>
      <protection/>
    </xf>
    <xf numFmtId="43" fontId="31" fillId="0" borderId="0" xfId="155" applyFont="1"/>
    <xf numFmtId="178" fontId="31" fillId="0" borderId="0" xfId="153" applyNumberFormat="1" applyFont="1">
      <alignment/>
      <protection/>
    </xf>
    <xf numFmtId="0" fontId="93" fillId="0" borderId="0" xfId="153" applyFont="1" applyFill="1">
      <alignment/>
      <protection/>
    </xf>
    <xf numFmtId="43" fontId="31" fillId="0" borderId="0" xfId="153" applyNumberFormat="1" applyFont="1" applyBorder="1">
      <alignment/>
      <protection/>
    </xf>
    <xf numFmtId="10" fontId="31" fillId="0" borderId="0" xfId="157" applyNumberFormat="1" applyFont="1" applyBorder="1"/>
    <xf numFmtId="175" fontId="31" fillId="0" borderId="0" xfId="158" applyNumberFormat="1" applyFont="1" applyBorder="1"/>
    <xf numFmtId="0" fontId="31" fillId="0" borderId="0" xfId="153" applyFont="1" applyBorder="1" applyAlignment="1">
      <alignment horizontal="right"/>
      <protection/>
    </xf>
    <xf numFmtId="0" fontId="91" fillId="0" borderId="0" xfId="153" applyFont="1" applyBorder="1" applyAlignment="1">
      <alignment horizontal="left"/>
      <protection/>
    </xf>
    <xf numFmtId="0" fontId="8" fillId="0" borderId="0" xfId="153" applyFont="1" applyBorder="1" applyAlignment="1">
      <alignment horizontal="left"/>
      <protection/>
    </xf>
    <xf numFmtId="164" fontId="31" fillId="0" borderId="0" xfId="153" applyNumberFormat="1" applyFont="1" applyBorder="1" applyAlignment="1">
      <alignment horizontal="center"/>
      <protection/>
    </xf>
    <xf numFmtId="42" fontId="13" fillId="0" borderId="0" xfId="153" applyNumberFormat="1" applyFont="1" applyBorder="1">
      <alignment/>
      <protection/>
    </xf>
    <xf numFmtId="164" fontId="13" fillId="0" borderId="0" xfId="153" applyNumberFormat="1" applyFont="1" applyBorder="1" applyAlignment="1">
      <alignment horizontal="center"/>
      <protection/>
    </xf>
    <xf numFmtId="0" fontId="26" fillId="0" borderId="0" xfId="153" applyFont="1" applyBorder="1">
      <alignment/>
      <protection/>
    </xf>
    <xf numFmtId="0" fontId="83" fillId="0" borderId="0" xfId="153" applyFont="1" applyBorder="1">
      <alignment/>
      <protection/>
    </xf>
    <xf numFmtId="0" fontId="13" fillId="0" borderId="0" xfId="153" applyFont="1" applyBorder="1" applyAlignment="1">
      <alignment horizontal="center"/>
      <protection/>
    </xf>
    <xf numFmtId="0" fontId="94" fillId="0" borderId="0" xfId="153" applyFont="1" applyBorder="1">
      <alignment/>
      <protection/>
    </xf>
    <xf numFmtId="44" fontId="13" fillId="0" borderId="0" xfId="153" applyNumberFormat="1" applyFont="1" applyBorder="1">
      <alignment/>
      <protection/>
    </xf>
    <xf numFmtId="0" fontId="3" fillId="0" borderId="0" xfId="153" applyFont="1" applyFill="1" applyBorder="1" applyAlignment="1">
      <alignment horizontal="left"/>
      <protection/>
    </xf>
    <xf numFmtId="164" fontId="94" fillId="0" borderId="0" xfId="153" applyNumberFormat="1" applyFont="1" applyBorder="1">
      <alignment/>
      <protection/>
    </xf>
    <xf numFmtId="44" fontId="26" fillId="0" borderId="0" xfId="153" applyNumberFormat="1" applyFont="1" applyBorder="1">
      <alignment/>
      <protection/>
    </xf>
    <xf numFmtId="175" fontId="5" fillId="0" borderId="0" xfId="158" applyNumberFormat="1" applyFont="1" applyBorder="1"/>
    <xf numFmtId="175" fontId="5" fillId="0" borderId="0" xfId="153" applyNumberFormat="1" applyFont="1" applyBorder="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Border="1" applyAlignment="1">
      <alignment horizontal="right"/>
      <protection/>
    </xf>
    <xf numFmtId="0" fontId="83" fillId="0" borderId="0" xfId="153" applyFont="1" applyBorder="1" applyAlignment="1">
      <alignment horizontal="left"/>
      <protection/>
    </xf>
    <xf numFmtId="164" fontId="13" fillId="0" borderId="0" xfId="157" applyNumberFormat="1" applyFont="1" applyBorder="1"/>
    <xf numFmtId="0" fontId="51" fillId="0" borderId="0" xfId="0" applyNumberFormat="1" applyFont="1" applyFill="1" applyBorder="1" applyAlignment="1">
      <alignment vertical="center"/>
    </xf>
    <xf numFmtId="174" fontId="65" fillId="0" borderId="0" xfId="0" applyFont="1" applyAlignment="1">
      <alignment horizontal="left" vertical="center"/>
    </xf>
    <xf numFmtId="174" fontId="0" fillId="0" borderId="0" xfId="0" applyFill="1" applyAlignment="1">
      <alignment/>
    </xf>
    <xf numFmtId="174" fontId="51" fillId="0" borderId="0" xfId="0" applyFont="1" applyAlignment="1">
      <alignment horizontal="center"/>
    </xf>
    <xf numFmtId="0" fontId="2" fillId="0" borderId="0" xfId="164">
      <alignment/>
      <protection/>
    </xf>
    <xf numFmtId="0" fontId="2" fillId="0" borderId="0" xfId="164" applyFill="1">
      <alignment/>
      <protection/>
    </xf>
    <xf numFmtId="0" fontId="95" fillId="0" borderId="0" xfId="164" applyFont="1" applyFill="1" applyBorder="1" applyAlignment="1">
      <alignment horizontal="center"/>
      <protection/>
    </xf>
    <xf numFmtId="0" fontId="2" fillId="0" borderId="39" xfId="164" applyBorder="1">
      <alignment/>
      <protection/>
    </xf>
    <xf numFmtId="0" fontId="2" fillId="0" borderId="40" xfId="164" applyBorder="1">
      <alignment/>
      <protection/>
    </xf>
    <xf numFmtId="0" fontId="2" fillId="0" borderId="41" xfId="164" applyFill="1" applyBorder="1">
      <alignment/>
      <protection/>
    </xf>
    <xf numFmtId="0" fontId="2" fillId="0" borderId="11" xfId="164" applyBorder="1" applyAlignment="1">
      <alignment horizontal="center" wrapText="1"/>
      <protection/>
    </xf>
    <xf numFmtId="0" fontId="95" fillId="0" borderId="11" xfId="164" applyFont="1" applyFill="1" applyBorder="1" applyAlignment="1">
      <alignment horizontal="left" indent="2"/>
      <protection/>
    </xf>
    <xf numFmtId="0" fontId="2" fillId="0" borderId="11" xfId="164" applyBorder="1">
      <alignment/>
      <protection/>
    </xf>
    <xf numFmtId="0" fontId="95" fillId="0" borderId="11" xfId="164" applyFont="1" applyBorder="1" applyAlignment="1">
      <alignment horizontal="left" indent="2"/>
      <protection/>
    </xf>
    <xf numFmtId="37" fontId="2" fillId="0" borderId="0" xfId="164" applyNumberFormat="1">
      <alignment/>
      <protection/>
    </xf>
    <xf numFmtId="37" fontId="2" fillId="0" borderId="0" xfId="164" applyNumberFormat="1" applyFill="1">
      <alignment/>
      <protection/>
    </xf>
    <xf numFmtId="37" fontId="2" fillId="0" borderId="42" xfId="164" applyNumberFormat="1" applyBorder="1">
      <alignment/>
      <protection/>
    </xf>
    <xf numFmtId="37" fontId="2" fillId="0" borderId="0" xfId="164" applyNumberFormat="1" applyBorder="1">
      <alignment/>
      <protection/>
    </xf>
    <xf numFmtId="37" fontId="2" fillId="0" borderId="43" xfId="164" applyNumberFormat="1" applyBorder="1">
      <alignment/>
      <protection/>
    </xf>
    <xf numFmtId="37" fontId="2" fillId="0" borderId="43" xfId="164" applyNumberFormat="1" applyFill="1" applyBorder="1">
      <alignment/>
      <protection/>
    </xf>
    <xf numFmtId="0" fontId="2" fillId="0" borderId="43" xfId="164" applyBorder="1">
      <alignment/>
      <protection/>
    </xf>
    <xf numFmtId="0" fontId="2" fillId="0" borderId="0" xfId="164" applyBorder="1">
      <alignment/>
      <protection/>
    </xf>
    <xf numFmtId="37" fontId="2" fillId="0" borderId="0" xfId="164" applyNumberFormat="1" applyFill="1" applyBorder="1">
      <alignment/>
      <protection/>
    </xf>
    <xf numFmtId="37" fontId="95" fillId="0" borderId="0" xfId="164" applyNumberFormat="1" applyFont="1" applyFill="1" applyBorder="1">
      <alignment/>
      <protection/>
    </xf>
    <xf numFmtId="37" fontId="95" fillId="0" borderId="42" xfId="164" applyNumberFormat="1" applyFont="1" applyFill="1" applyBorder="1">
      <alignment/>
      <protection/>
    </xf>
    <xf numFmtId="37" fontId="2" fillId="32" borderId="43" xfId="164" applyNumberFormat="1" applyFill="1" applyBorder="1">
      <alignment/>
      <protection/>
    </xf>
    <xf numFmtId="37" fontId="2" fillId="32" borderId="44" xfId="164" applyNumberFormat="1" applyFill="1" applyBorder="1">
      <alignment/>
      <protection/>
    </xf>
    <xf numFmtId="0" fontId="95" fillId="0" borderId="11" xfId="164" applyFont="1" applyFill="1" applyBorder="1" applyAlignment="1">
      <alignment horizontal="center" wrapText="1"/>
      <protection/>
    </xf>
    <xf numFmtId="0" fontId="2" fillId="0" borderId="0" xfId="164" applyFill="1" applyBorder="1">
      <alignment/>
      <protection/>
    </xf>
    <xf numFmtId="0" fontId="95" fillId="0" borderId="45" xfId="164" applyFont="1" applyFill="1" applyBorder="1" applyAlignment="1">
      <alignment horizontal="center" wrapText="1"/>
      <protection/>
    </xf>
    <xf numFmtId="37" fontId="2" fillId="0" borderId="38" xfId="164" applyNumberFormat="1" applyFill="1" applyBorder="1">
      <alignment/>
      <protection/>
    </xf>
    <xf numFmtId="37" fontId="2" fillId="0" borderId="46" xfId="164" applyNumberFormat="1" applyFill="1" applyBorder="1">
      <alignment/>
      <protection/>
    </xf>
    <xf numFmtId="37" fontId="95" fillId="0" borderId="0" xfId="164" applyNumberFormat="1" applyFont="1" applyFill="1">
      <alignment/>
      <protection/>
    </xf>
    <xf numFmtId="0" fontId="95" fillId="0" borderId="0" xfId="164" applyFont="1" applyFill="1" applyAlignment="1">
      <alignment wrapText="1"/>
      <protection/>
    </xf>
    <xf numFmtId="37" fontId="2" fillId="0" borderId="42" xfId="164" applyNumberFormat="1" applyFill="1" applyBorder="1">
      <alignment/>
      <protection/>
    </xf>
    <xf numFmtId="178" fontId="95" fillId="0" borderId="0" xfId="165" applyNumberFormat="1" applyFont="1" applyFill="1"/>
    <xf numFmtId="0" fontId="95" fillId="0" borderId="0" xfId="164" applyFont="1" applyFill="1">
      <alignment/>
      <protection/>
    </xf>
    <xf numFmtId="0" fontId="95" fillId="0" borderId="47" xfId="164" applyFont="1" applyBorder="1" applyAlignment="1">
      <alignment horizontal="center" wrapText="1"/>
      <protection/>
    </xf>
    <xf numFmtId="37" fontId="95" fillId="0" borderId="0" xfId="164" applyNumberFormat="1" applyFont="1" applyBorder="1">
      <alignment/>
      <protection/>
    </xf>
    <xf numFmtId="0" fontId="95" fillId="0" borderId="0" xfId="164" applyFont="1" applyBorder="1">
      <alignment/>
      <protection/>
    </xf>
    <xf numFmtId="174" fontId="32" fillId="0" borderId="25" xfId="0" applyFont="1" applyFill="1" applyBorder="1" applyAlignment="1" quotePrefix="1">
      <alignment horizontal="center"/>
    </xf>
    <xf numFmtId="174" fontId="51" fillId="0" borderId="0" xfId="0" applyFont="1" applyAlignment="1">
      <alignment horizontal="center" vertical="center"/>
    </xf>
    <xf numFmtId="174" fontId="53" fillId="0" borderId="0" xfId="0" applyFont="1" applyAlignment="1">
      <alignment horizontal="center" vertical="center"/>
    </xf>
    <xf numFmtId="178" fontId="32" fillId="0" borderId="0" xfId="18" applyNumberFormat="1" applyFont="1" applyAlignment="1">
      <alignment horizontal="center" vertical="center"/>
    </xf>
    <xf numFmtId="174" fontId="0" fillId="0" borderId="27" xfId="0" applyFill="1" applyBorder="1" applyAlignment="1">
      <alignment/>
    </xf>
    <xf numFmtId="174" fontId="53" fillId="32" borderId="0" xfId="0" applyFont="1" applyFill="1" applyAlignment="1" quotePrefix="1">
      <alignment horizontal="center" vertical="center"/>
    </xf>
    <xf numFmtId="1" fontId="5" fillId="32" borderId="0" xfId="98" applyNumberFormat="1" applyFont="1" applyFill="1" applyBorder="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174" fontId="5" fillId="0" borderId="0" xfId="0" applyFont="1" applyAlignment="1">
      <alignment/>
    </xf>
    <xf numFmtId="0" fontId="27" fillId="0" borderId="0" xfId="98" applyNumberFormat="1" applyFont="1" applyFill="1" applyBorder="1" applyAlignment="1">
      <alignment horizontal="left"/>
      <protection/>
    </xf>
    <xf numFmtId="0" fontId="5" fillId="0" borderId="0" xfId="98" applyFont="1" applyFill="1" applyBorder="1" applyAlignment="1">
      <alignment/>
      <protection/>
    </xf>
    <xf numFmtId="174" fontId="0" fillId="0" borderId="0" xfId="0" applyFont="1" applyFill="1" applyBorder="1" applyAlignment="1">
      <alignment/>
    </xf>
    <xf numFmtId="3" fontId="12" fillId="0" borderId="0" xfId="151" applyNumberFormat="1" applyFont="1" applyFill="1" applyBorder="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174" fontId="12" fillId="0" borderId="0" xfId="0" applyFont="1" applyFill="1" applyBorder="1" applyAlignment="1">
      <alignment/>
    </xf>
    <xf numFmtId="0" fontId="12" fillId="0" borderId="0" xfId="0" applyNumberFormat="1" applyFont="1" applyAlignment="1">
      <alignment horizontal="right"/>
    </xf>
    <xf numFmtId="174" fontId="7" fillId="0" borderId="0" xfId="0" applyFont="1" applyFill="1" applyBorder="1" applyAlignment="1">
      <alignment/>
    </xf>
    <xf numFmtId="0" fontId="12" fillId="0" borderId="0" xfId="0" applyNumberFormat="1" applyFont="1" applyFill="1" applyAlignment="1">
      <alignment horizontal="right"/>
    </xf>
    <xf numFmtId="0" fontId="12" fillId="0" borderId="0" xfId="0" applyNumberFormat="1" applyFont="1" applyFill="1" applyBorder="1" applyAlignment="1" applyProtection="1">
      <alignment horizontal="center"/>
      <protection locked="0"/>
    </xf>
    <xf numFmtId="0" fontId="12" fillId="0" borderId="0" xfId="0" applyNumberFormat="1" applyFont="1" applyFill="1" applyBorder="1"/>
    <xf numFmtId="49" fontId="12" fillId="0" borderId="0" xfId="0" applyNumberFormat="1" applyFont="1" applyFill="1" applyBorder="1"/>
    <xf numFmtId="174" fontId="12" fillId="0" borderId="25" xfId="0" applyFont="1" applyFill="1" applyBorder="1" applyAlignment="1">
      <alignment/>
    </xf>
    <xf numFmtId="3" fontId="12" fillId="0" borderId="0" xfId="0" applyNumberFormat="1" applyFont="1" applyFill="1" applyBorder="1"/>
    <xf numFmtId="174" fontId="12" fillId="0" borderId="27" xfId="0" applyFont="1" applyFill="1" applyBorder="1" applyAlignment="1">
      <alignment/>
    </xf>
    <xf numFmtId="0" fontId="12" fillId="0" borderId="0" xfId="0" applyNumberFormat="1" applyFont="1" applyFill="1" applyBorder="1" applyAlignment="1">
      <alignment horizontal="center"/>
    </xf>
    <xf numFmtId="49" fontId="12" fillId="0" borderId="0" xfId="0" applyNumberFormat="1" applyFont="1" applyFill="1" applyBorder="1" applyAlignment="1">
      <alignment horizontal="center"/>
    </xf>
    <xf numFmtId="49" fontId="12" fillId="0" borderId="25" xfId="0" applyNumberFormat="1" applyFont="1" applyFill="1" applyBorder="1" applyAlignment="1">
      <alignment horizontal="center"/>
    </xf>
    <xf numFmtId="49" fontId="12" fillId="0" borderId="27" xfId="0" applyNumberFormat="1" applyFont="1" applyFill="1" applyBorder="1" applyAlignment="1">
      <alignment horizontal="center"/>
    </xf>
    <xf numFmtId="0" fontId="12" fillId="0" borderId="0" xfId="0" applyNumberFormat="1" applyFont="1" applyFill="1" applyBorder="1" applyAlignment="1">
      <alignment/>
    </xf>
    <xf numFmtId="3" fontId="7" fillId="0" borderId="0" xfId="0" applyNumberFormat="1" applyFont="1" applyFill="1" applyBorder="1" applyAlignment="1">
      <alignment horizontal="center"/>
    </xf>
    <xf numFmtId="3" fontId="12" fillId="0" borderId="0" xfId="0" applyNumberFormat="1" applyFont="1" applyFill="1" applyBorder="1" applyAlignment="1">
      <alignment/>
    </xf>
    <xf numFmtId="174" fontId="7" fillId="0" borderId="0" xfId="0" applyFont="1" applyFill="1" applyBorder="1" applyAlignment="1">
      <alignment horizontal="center"/>
    </xf>
    <xf numFmtId="0" fontId="7" fillId="0" borderId="0" xfId="0" applyNumberFormat="1" applyFont="1" applyFill="1" applyBorder="1" applyAlignment="1" applyProtection="1">
      <alignment horizontal="center"/>
      <protection locked="0"/>
    </xf>
    <xf numFmtId="174" fontId="12" fillId="0" borderId="25" xfId="0" applyFont="1" applyFill="1" applyBorder="1" applyAlignment="1">
      <alignment horizontal="center"/>
    </xf>
    <xf numFmtId="174" fontId="7" fillId="0" borderId="27" xfId="0" applyFont="1" applyFill="1" applyBorder="1" applyAlignment="1">
      <alignment horizontal="center"/>
    </xf>
    <xf numFmtId="0" fontId="7" fillId="0" borderId="0" xfId="0" applyNumberFormat="1" applyFont="1" applyFill="1" applyBorder="1" applyAlignment="1">
      <alignment/>
    </xf>
    <xf numFmtId="0" fontId="86" fillId="0" borderId="0" xfId="0" applyNumberFormat="1" applyFont="1" applyFill="1" applyBorder="1" applyAlignment="1" applyProtection="1">
      <alignment horizontal="center"/>
      <protection locked="0"/>
    </xf>
    <xf numFmtId="3" fontId="12" fillId="0" borderId="0" xfId="0" applyNumberFormat="1" applyFont="1" applyFill="1" applyBorder="1" applyAlignment="1">
      <alignment horizontal="center"/>
    </xf>
    <xf numFmtId="175" fontId="12" fillId="0" borderId="0" xfId="16" applyNumberFormat="1" applyFont="1" applyFill="1" applyBorder="1" applyAlignment="1">
      <alignment/>
    </xf>
    <xf numFmtId="179" fontId="12" fillId="0" borderId="0" xfId="0" applyNumberFormat="1" applyFont="1" applyFill="1" applyBorder="1" applyAlignment="1">
      <alignment/>
    </xf>
    <xf numFmtId="179" fontId="12" fillId="0" borderId="0" xfId="15" applyNumberFormat="1" applyFont="1" applyFill="1" applyBorder="1" applyAlignment="1">
      <alignment/>
    </xf>
    <xf numFmtId="174" fontId="12" fillId="0" borderId="0" xfId="0" applyFont="1" applyFill="1" applyBorder="1" applyAlignment="1">
      <alignment horizontal="center"/>
    </xf>
    <xf numFmtId="49" fontId="7" fillId="0" borderId="0" xfId="0" applyNumberFormat="1" applyFont="1" applyFill="1" applyBorder="1" applyAlignment="1">
      <alignment horizontal="center"/>
    </xf>
    <xf numFmtId="3" fontId="7" fillId="0" borderId="0" xfId="0" applyNumberFormat="1" applyFont="1" applyFill="1" applyBorder="1" applyAlignment="1">
      <alignment/>
    </xf>
    <xf numFmtId="179" fontId="7" fillId="0" borderId="0" xfId="15" applyNumberFormat="1" applyFont="1" applyFill="1" applyBorder="1" applyAlignment="1">
      <alignment/>
    </xf>
    <xf numFmtId="179" fontId="12" fillId="0" borderId="27" xfId="0" applyNumberFormat="1" applyFont="1" applyFill="1" applyBorder="1" applyAlignment="1">
      <alignment/>
    </xf>
    <xf numFmtId="179" fontId="12" fillId="0" borderId="27" xfId="15" applyNumberFormat="1" applyFont="1" applyFill="1" applyBorder="1" applyAlignment="1">
      <alignment/>
    </xf>
    <xf numFmtId="164" fontId="12" fillId="0" borderId="0" xfId="0" applyNumberFormat="1" applyFont="1" applyFill="1" applyBorder="1" applyAlignment="1">
      <alignment horizontal="center"/>
    </xf>
    <xf numFmtId="49" fontId="7" fillId="0" borderId="25" xfId="0" applyNumberFormat="1" applyFont="1" applyFill="1" applyBorder="1" applyAlignment="1">
      <alignment horizontal="center"/>
    </xf>
    <xf numFmtId="179" fontId="7" fillId="0" borderId="27" xfId="15" applyNumberFormat="1" applyFont="1" applyFill="1" applyBorder="1" applyAlignment="1">
      <alignment/>
    </xf>
    <xf numFmtId="49" fontId="7" fillId="0" borderId="28" xfId="0" applyNumberFormat="1" applyFont="1" applyFill="1" applyBorder="1" applyAlignment="1">
      <alignment horizontal="center"/>
    </xf>
    <xf numFmtId="174" fontId="7" fillId="0" borderId="11" xfId="0" applyFont="1" applyFill="1" applyBorder="1" applyAlignment="1">
      <alignment/>
    </xf>
    <xf numFmtId="174" fontId="12" fillId="0" borderId="11" xfId="0" applyFont="1" applyFill="1" applyBorder="1" applyAlignment="1">
      <alignment/>
    </xf>
    <xf numFmtId="3" fontId="7" fillId="0" borderId="11" xfId="0" applyNumberFormat="1" applyFont="1" applyFill="1" applyBorder="1" applyAlignment="1">
      <alignment horizontal="center"/>
    </xf>
    <xf numFmtId="174" fontId="12" fillId="0" borderId="0" xfId="0" applyFont="1" applyFill="1" applyBorder="1" applyAlignment="1">
      <alignment horizontal="right"/>
    </xf>
    <xf numFmtId="176" fontId="7" fillId="0" borderId="0" xfId="0" applyNumberFormat="1" applyFont="1" applyFill="1" applyBorder="1" applyAlignment="1">
      <alignment horizontal="center"/>
    </xf>
    <xf numFmtId="174" fontId="7" fillId="0" borderId="23" xfId="0" applyFont="1" applyFill="1" applyBorder="1" applyAlignment="1">
      <alignment horizontal="center" wrapText="1"/>
    </xf>
    <xf numFmtId="174" fontId="7" fillId="0" borderId="24" xfId="0" applyFont="1" applyFill="1" applyBorder="1" applyAlignment="1">
      <alignment/>
    </xf>
    <xf numFmtId="174" fontId="7" fillId="0" borderId="24" xfId="0" applyFont="1" applyFill="1" applyBorder="1" applyAlignment="1">
      <alignment horizontal="center"/>
    </xf>
    <xf numFmtId="174" fontId="7" fillId="0" borderId="24" xfId="0" applyFont="1" applyFill="1" applyBorder="1" applyAlignment="1">
      <alignment horizontal="center" wrapText="1"/>
    </xf>
    <xf numFmtId="0" fontId="7" fillId="0" borderId="24" xfId="0" applyNumberFormat="1" applyFont="1" applyFill="1" applyBorder="1" applyAlignment="1">
      <alignment horizontal="center" wrapText="1"/>
    </xf>
    <xf numFmtId="174" fontId="7" fillId="0" borderId="12" xfId="0" applyFont="1" applyFill="1" applyBorder="1" applyAlignment="1">
      <alignment horizontal="center" wrapText="1"/>
    </xf>
    <xf numFmtId="3" fontId="7" fillId="0" borderId="12" xfId="0" applyNumberFormat="1" applyFont="1" applyFill="1" applyBorder="1" applyAlignment="1">
      <alignment horizontal="center" wrapText="1"/>
    </xf>
    <xf numFmtId="0" fontId="12" fillId="0" borderId="23" xfId="0" applyNumberFormat="1" applyFont="1" applyFill="1" applyBorder="1"/>
    <xf numFmtId="0" fontId="12" fillId="0" borderId="24" xfId="0" applyNumberFormat="1" applyFont="1" applyFill="1" applyBorder="1"/>
    <xf numFmtId="0" fontId="12" fillId="0" borderId="24" xfId="0" applyNumberFormat="1" applyFont="1" applyFill="1" applyBorder="1" applyAlignment="1">
      <alignment horizontal="center"/>
    </xf>
    <xf numFmtId="0" fontId="12" fillId="0" borderId="12" xfId="0" applyNumberFormat="1" applyFont="1" applyFill="1" applyBorder="1" applyAlignment="1">
      <alignment horizontal="center"/>
    </xf>
    <xf numFmtId="0" fontId="12" fillId="0" borderId="12" xfId="0" applyNumberFormat="1" applyFont="1" applyFill="1" applyBorder="1" applyAlignment="1">
      <alignment horizontal="center" wrapText="1"/>
    </xf>
    <xf numFmtId="0" fontId="12" fillId="0" borderId="25" xfId="0" applyNumberFormat="1" applyFont="1" applyFill="1" applyBorder="1" applyAlignment="1">
      <alignment horizontal="center" wrapText="1"/>
    </xf>
    <xf numFmtId="0" fontId="12" fillId="0" borderId="10" xfId="0" applyNumberFormat="1" applyFont="1" applyFill="1" applyBorder="1"/>
    <xf numFmtId="170" fontId="12" fillId="0" borderId="10" xfId="0" applyNumberFormat="1" applyFont="1" applyFill="1" applyBorder="1" applyAlignment="1">
      <alignment/>
    </xf>
    <xf numFmtId="170" fontId="12" fillId="0" borderId="10" xfId="18" applyNumberFormat="1" applyFont="1" applyFill="1" applyBorder="1" applyAlignment="1">
      <alignment/>
    </xf>
    <xf numFmtId="43" fontId="12" fillId="32" borderId="10" xfId="18" applyFont="1" applyFill="1" applyBorder="1" applyAlignment="1">
      <alignment/>
    </xf>
    <xf numFmtId="174" fontId="5" fillId="0" borderId="10" xfId="0" applyFont="1" applyFill="1" applyBorder="1" applyAlignment="1">
      <alignment/>
    </xf>
    <xf numFmtId="174" fontId="12" fillId="0" borderId="28" xfId="0" applyFont="1" applyFill="1" applyBorder="1" applyAlignment="1">
      <alignment/>
    </xf>
    <xf numFmtId="174" fontId="5" fillId="0" borderId="11" xfId="0" applyFont="1" applyFill="1" applyBorder="1" applyAlignment="1">
      <alignment/>
    </xf>
    <xf numFmtId="174" fontId="5" fillId="0" borderId="48" xfId="0" applyFont="1" applyFill="1" applyBorder="1" applyAlignment="1">
      <alignment/>
    </xf>
    <xf numFmtId="43" fontId="12" fillId="0" borderId="0" xfId="18" applyFont="1" applyFill="1" applyBorder="1" applyAlignment="1">
      <alignment/>
    </xf>
    <xf numFmtId="174" fontId="12" fillId="0" borderId="0" xfId="0" applyFont="1" applyFill="1" applyBorder="1" applyAlignment="1" quotePrefix="1">
      <alignment horizontal="center"/>
    </xf>
    <xf numFmtId="174" fontId="80" fillId="0" borderId="0" xfId="0" applyFont="1" applyFill="1" applyBorder="1" applyAlignment="1">
      <alignment/>
    </xf>
    <xf numFmtId="174" fontId="12" fillId="0" borderId="0" xfId="0" applyFont="1" applyFill="1" applyBorder="1" applyAlignment="1">
      <alignment horizontal="center" vertical="top"/>
    </xf>
    <xf numFmtId="174" fontId="5" fillId="0" borderId="0" xfId="0" applyFont="1" applyFill="1" applyBorder="1" applyAlignment="1">
      <alignment horizontal="center"/>
    </xf>
    <xf numFmtId="10" fontId="12" fillId="0" borderId="0" xfId="0" applyNumberFormat="1" applyFont="1" applyFill="1" applyBorder="1" applyAlignment="1">
      <alignment/>
    </xf>
    <xf numFmtId="174" fontId="7" fillId="0" borderId="24" xfId="0" applyFont="1" applyFill="1" applyBorder="1" applyAlignment="1">
      <alignment wrapText="1"/>
    </xf>
    <xf numFmtId="3" fontId="7" fillId="0" borderId="29" xfId="0" applyNumberFormat="1" applyFont="1" applyFill="1" applyBorder="1" applyAlignment="1">
      <alignment horizontal="center" wrapText="1"/>
    </xf>
    <xf numFmtId="174" fontId="12" fillId="0" borderId="0" xfId="0" applyFont="1" applyFill="1" applyBorder="1" applyAlignment="1">
      <alignment wrapText="1"/>
    </xf>
    <xf numFmtId="0" fontId="12" fillId="0" borderId="24" xfId="0" applyNumberFormat="1" applyFont="1" applyFill="1" applyBorder="1" applyAlignment="1">
      <alignment horizontal="center" wrapText="1"/>
    </xf>
    <xf numFmtId="0" fontId="12" fillId="0" borderId="29" xfId="0" applyNumberFormat="1" applyFont="1" applyFill="1" applyBorder="1" applyAlignment="1">
      <alignment horizontal="center"/>
    </xf>
    <xf numFmtId="0" fontId="12" fillId="0" borderId="25" xfId="0" applyNumberFormat="1" applyFont="1" applyFill="1" applyBorder="1" applyAlignment="1">
      <alignment horizontal="center"/>
    </xf>
    <xf numFmtId="0" fontId="12" fillId="0" borderId="2" xfId="0" applyNumberFormat="1" applyFont="1" applyFill="1" applyBorder="1"/>
    <xf numFmtId="0" fontId="12" fillId="0" borderId="2" xfId="0" applyNumberFormat="1" applyFont="1" applyFill="1" applyBorder="1"/>
    <xf numFmtId="0" fontId="12" fillId="0" borderId="35" xfId="0" applyNumberFormat="1" applyFont="1" applyFill="1" applyBorder="1"/>
    <xf numFmtId="0" fontId="12" fillId="0" borderId="25" xfId="0" applyNumberFormat="1" applyFont="1" applyFill="1" applyBorder="1"/>
    <xf numFmtId="0" fontId="12" fillId="0" borderId="27" xfId="0" applyNumberFormat="1" applyFont="1" applyFill="1" applyBorder="1"/>
    <xf numFmtId="43" fontId="12" fillId="0" borderId="27" xfId="18" applyFont="1" applyFill="1" applyBorder="1" applyAlignment="1">
      <alignment/>
    </xf>
    <xf numFmtId="43" fontId="5" fillId="0" borderId="27" xfId="18" applyFont="1" applyFill="1" applyBorder="1" applyAlignment="1">
      <alignment/>
    </xf>
    <xf numFmtId="43" fontId="5" fillId="0" borderId="11" xfId="18" applyFont="1" applyFill="1" applyBorder="1" applyAlignment="1">
      <alignment/>
    </xf>
    <xf numFmtId="43" fontId="5" fillId="0" borderId="34" xfId="18" applyFont="1" applyFill="1" applyBorder="1" applyAlignment="1">
      <alignment/>
    </xf>
    <xf numFmtId="174" fontId="96" fillId="0" borderId="0" xfId="0"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4" fontId="12" fillId="0" borderId="0" xfId="0" applyFont="1" applyFill="1" applyBorder="1" applyAlignment="1">
      <alignment horizontal="left" indent="1"/>
    </xf>
    <xf numFmtId="49" fontId="12" fillId="0" borderId="0" xfId="0" applyNumberFormat="1" applyFont="1" applyFill="1" applyBorder="1" applyAlignment="1">
      <alignment horizontal="left"/>
    </xf>
    <xf numFmtId="0" fontId="0" fillId="0" borderId="0" xfId="0" applyNumberFormat="1" applyFill="1" applyAlignment="1">
      <alignment horizontal="left"/>
    </xf>
    <xf numFmtId="0" fontId="5" fillId="0" borderId="0" xfId="0" applyNumberFormat="1" applyFont="1" applyFill="1" applyAlignment="1">
      <alignment horizontal="left"/>
    </xf>
    <xf numFmtId="174" fontId="52" fillId="0" borderId="0" xfId="0" applyFont="1" applyAlignment="1">
      <alignment vertical="top"/>
    </xf>
    <xf numFmtId="174" fontId="51" fillId="0" borderId="0" xfId="0" applyFont="1" applyAlignment="1">
      <alignment horizontal="center" vertical="center"/>
    </xf>
    <xf numFmtId="174" fontId="51" fillId="0" borderId="0" xfId="0" applyFont="1" applyAlignment="1">
      <alignment horizontal="center" vertical="center"/>
    </xf>
    <xf numFmtId="174" fontId="53" fillId="0" borderId="0" xfId="0" applyFont="1" applyAlignment="1">
      <alignment horizontal="center" vertical="center"/>
    </xf>
    <xf numFmtId="3" fontId="51" fillId="0" borderId="0" xfId="0" applyNumberFormat="1" applyFont="1" applyFill="1" applyAlignment="1">
      <alignment horizontal="center" vertical="center"/>
    </xf>
    <xf numFmtId="3" fontId="51" fillId="0" borderId="0" xfId="0" applyNumberFormat="1" applyFont="1" applyFill="1" applyAlignment="1">
      <alignment vertical="center"/>
    </xf>
    <xf numFmtId="0" fontId="95" fillId="0" borderId="0" xfId="164" applyFont="1">
      <alignment/>
      <protection/>
    </xf>
    <xf numFmtId="174" fontId="53" fillId="0" borderId="0" xfId="0" applyFont="1" applyAlignment="1">
      <alignment/>
    </xf>
    <xf numFmtId="174" fontId="51" fillId="0" borderId="0" xfId="0" applyFont="1" applyAlignment="1">
      <alignment horizontal="right" vertical="center"/>
    </xf>
    <xf numFmtId="0" fontId="51" fillId="0" borderId="0" xfId="0" applyNumberFormat="1" applyFont="1" applyFill="1" applyAlignment="1">
      <alignment horizontal="right"/>
    </xf>
    <xf numFmtId="178" fontId="2" fillId="0" borderId="0" xfId="18" applyNumberFormat="1" applyFont="1" applyBorder="1"/>
    <xf numFmtId="178" fontId="2" fillId="0" borderId="0" xfId="164" applyNumberFormat="1" applyBorder="1">
      <alignment/>
      <protection/>
    </xf>
    <xf numFmtId="43" fontId="2" fillId="0" borderId="0" xfId="164" applyNumberFormat="1" applyBorder="1">
      <alignment/>
      <protection/>
    </xf>
    <xf numFmtId="37" fontId="0" fillId="0" borderId="0" xfId="0" applyNumberFormat="1"/>
    <xf numFmtId="0" fontId="2" fillId="0" borderId="0" xfId="164" applyFont="1" applyBorder="1" applyAlignment="1">
      <alignment horizontal="center"/>
      <protection/>
    </xf>
    <xf numFmtId="174" fontId="51" fillId="0" borderId="0" xfId="0" applyFont="1" applyAlignment="1">
      <alignment horizontal="left" vertical="center"/>
    </xf>
    <xf numFmtId="0" fontId="51" fillId="0" borderId="0" xfId="0" applyNumberFormat="1" applyFont="1" applyFill="1" applyAlignment="1">
      <alignment horizontal="center"/>
    </xf>
    <xf numFmtId="174" fontId="51" fillId="0" borderId="0" xfId="0" applyFont="1" applyAlignment="1">
      <alignment horizontal="center" vertical="center"/>
    </xf>
    <xf numFmtId="174" fontId="53" fillId="0" borderId="0" xfId="0" applyFont="1" applyAlignment="1">
      <alignment horizontal="center" vertic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7" xfId="0" applyFont="1" applyBorder="1" applyAlignment="1">
      <alignment horizontal="center" vertical="center"/>
    </xf>
    <xf numFmtId="174" fontId="51" fillId="32" borderId="27" xfId="0" applyFont="1" applyFill="1" applyBorder="1" applyAlignment="1">
      <alignment vertical="center"/>
    </xf>
    <xf numFmtId="178" fontId="52" fillId="0" borderId="34"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0" xfId="0" applyFont="1" applyFill="1" applyBorder="1" applyAlignment="1">
      <alignment vertical="center"/>
    </xf>
    <xf numFmtId="174" fontId="51" fillId="32" borderId="0" xfId="0" applyFont="1" applyFill="1" applyBorder="1" applyAlignment="1">
      <alignment vertical="center"/>
    </xf>
    <xf numFmtId="174" fontId="51" fillId="51" borderId="27" xfId="0" applyFont="1" applyFill="1" applyBorder="1" applyAlignment="1">
      <alignment vertical="center"/>
    </xf>
    <xf numFmtId="0" fontId="31" fillId="0" borderId="27" xfId="153" applyFont="1" applyBorder="1" applyAlignment="1">
      <alignment horizontal="center" wrapText="1"/>
      <protection/>
    </xf>
    <xf numFmtId="0" fontId="31" fillId="0" borderId="0" xfId="153" applyFont="1" applyBorder="1" applyAlignment="1">
      <alignment horizontal="center" wrapText="1"/>
      <protection/>
    </xf>
    <xf numFmtId="37" fontId="95" fillId="0" borderId="2" xfId="164" applyNumberFormat="1" applyFont="1" applyFill="1" applyBorder="1">
      <alignment/>
      <protection/>
    </xf>
    <xf numFmtId="37" fontId="2" fillId="0" borderId="2" xfId="164" applyNumberFormat="1" applyFill="1" applyBorder="1">
      <alignment/>
      <protection/>
    </xf>
    <xf numFmtId="0" fontId="2" fillId="0" borderId="2" xfId="164" applyBorder="1">
      <alignment/>
      <protection/>
    </xf>
    <xf numFmtId="170" fontId="59" fillId="0" borderId="31" xfId="0" applyNumberFormat="1" applyFont="1" applyFill="1" applyBorder="1" applyAlignment="1" applyProtection="1">
      <alignment horizontal="center"/>
      <protection locked="0"/>
    </xf>
    <xf numFmtId="174" fontId="59" fillId="32" borderId="32" xfId="0" applyFont="1" applyFill="1" applyBorder="1" applyAlignment="1" applyProtection="1">
      <alignment horizontal="center" vertical="center" wrapText="1"/>
      <protection locked="0"/>
    </xf>
    <xf numFmtId="174" fontId="59" fillId="32" borderId="0" xfId="0" applyFont="1" applyFill="1" applyProtection="1">
      <protection locked="0"/>
    </xf>
    <xf numFmtId="174" fontId="5" fillId="32" borderId="0" xfId="0" applyFont="1" applyFill="1" applyBorder="1" applyAlignment="1">
      <alignment/>
    </xf>
    <xf numFmtId="174" fontId="12" fillId="32" borderId="0" xfId="0" applyFont="1" applyFill="1" applyBorder="1" applyAlignment="1">
      <alignment horizontal="left"/>
    </xf>
    <xf numFmtId="174" fontId="32" fillId="0" borderId="0" xfId="0" applyFont="1" applyFill="1" applyBorder="1" applyAlignment="1">
      <alignment horizontal="left"/>
    </xf>
    <xf numFmtId="174" fontId="12" fillId="32" borderId="0" xfId="0" applyFont="1" applyFill="1" applyBorder="1" applyAlignment="1">
      <alignment horizontal="left" wrapText="1"/>
    </xf>
    <xf numFmtId="174" fontId="5" fillId="32" borderId="0" xfId="0" applyFont="1" applyFill="1" applyBorder="1" applyAlignment="1">
      <alignment horizontal="left" wrapText="1"/>
    </xf>
    <xf numFmtId="174" fontId="32" fillId="0" borderId="0" xfId="0" applyFont="1" applyFill="1" applyBorder="1" applyAlignment="1">
      <alignment horizontal="left" wrapText="1"/>
    </xf>
    <xf numFmtId="0" fontId="2" fillId="0" borderId="0" xfId="164" applyFont="1" applyBorder="1" applyAlignment="1">
      <alignment horizontal="center"/>
      <protection/>
    </xf>
    <xf numFmtId="174" fontId="54" fillId="0" borderId="0" xfId="0" applyFont="1" applyFill="1" applyAlignment="1">
      <alignment horizontal="center" vertical="center"/>
    </xf>
    <xf numFmtId="174" fontId="52" fillId="0" borderId="0" xfId="0" applyFont="1" applyFill="1" applyAlignment="1">
      <alignment horizontal="right" vertical="center"/>
    </xf>
    <xf numFmtId="49" fontId="51" fillId="0" borderId="0" xfId="0" applyNumberFormat="1" applyFont="1" applyFill="1" applyAlignment="1">
      <alignment vertical="center"/>
    </xf>
    <xf numFmtId="178" fontId="52" fillId="0" borderId="0" xfId="18" applyNumberFormat="1" applyFont="1" applyFill="1" applyAlignment="1">
      <alignment vertical="center"/>
    </xf>
    <xf numFmtId="174" fontId="53" fillId="0" borderId="0" xfId="0" applyFont="1" applyFill="1" applyAlignment="1">
      <alignment vertical="center"/>
    </xf>
    <xf numFmtId="174" fontId="54" fillId="0" borderId="0" xfId="0" applyFont="1" applyFill="1" applyAlignment="1">
      <alignment horizontal="righ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31"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170" fontId="51" fillId="32" borderId="0" xfId="0" applyNumberFormat="1" applyFont="1" applyFill="1" applyAlignment="1">
      <alignment/>
    </xf>
    <xf numFmtId="43" fontId="98" fillId="53" borderId="0" xfId="18" applyFont="1" applyFill="1" applyBorder="1" applyAlignment="1">
      <alignment/>
    </xf>
    <xf numFmtId="174" fontId="0" fillId="53" borderId="49" xfId="0" applyFont="1" applyFill="1" applyBorder="1" applyAlignment="1">
      <alignment/>
    </xf>
    <xf numFmtId="10" fontId="1" fillId="0" borderId="0" xfId="15" applyNumberFormat="1" applyFont="1" applyAlignment="1">
      <alignment horizontal="center"/>
    </xf>
    <xf numFmtId="0" fontId="99" fillId="0" borderId="0" xfId="145" applyFont="1" applyAlignment="1">
      <alignment horizontal="center"/>
      <protection/>
    </xf>
    <xf numFmtId="0" fontId="62" fillId="0" borderId="0" xfId="145" applyFont="1" applyFill="1">
      <alignment/>
      <protection/>
    </xf>
    <xf numFmtId="0" fontId="63" fillId="0" borderId="0" xfId="145" applyFont="1" applyFill="1">
      <alignment/>
      <protection/>
    </xf>
    <xf numFmtId="174" fontId="32" fillId="0" borderId="0" xfId="0" applyFont="1" applyAlignment="1">
      <alignment horizontal="center"/>
    </xf>
    <xf numFmtId="0" fontId="95" fillId="0" borderId="47" xfId="164" applyFont="1" applyBorder="1" applyAlignment="1">
      <alignment horizontal="center"/>
      <protection/>
    </xf>
    <xf numFmtId="0" fontId="2" fillId="0" borderId="32" xfId="164" applyBorder="1">
      <alignment/>
      <protection/>
    </xf>
    <xf numFmtId="37" fontId="95" fillId="0" borderId="30" xfId="164" applyNumberFormat="1" applyFont="1" applyFill="1" applyBorder="1" applyAlignment="1">
      <alignment wrapText="1"/>
      <protection/>
    </xf>
    <xf numFmtId="37" fontId="2" fillId="32" borderId="50" xfId="164" applyNumberFormat="1" applyFill="1" applyBorder="1">
      <alignment/>
      <protection/>
    </xf>
    <xf numFmtId="37" fontId="2" fillId="0" borderId="30" xfId="164" applyNumberFormat="1" applyFill="1" applyBorder="1">
      <alignment/>
      <protection/>
    </xf>
    <xf numFmtId="37" fontId="95" fillId="0" borderId="30" xfId="164" applyNumberFormat="1" applyFont="1" applyFill="1" applyBorder="1">
      <alignment/>
      <protection/>
    </xf>
    <xf numFmtId="37" fontId="95" fillId="0" borderId="31" xfId="164" applyNumberFormat="1" applyFont="1" applyFill="1" applyBorder="1">
      <alignment/>
      <protection/>
    </xf>
    <xf numFmtId="37" fontId="95" fillId="0" borderId="51" xfId="164" applyNumberFormat="1" applyFont="1" applyFill="1" applyBorder="1">
      <alignment/>
      <protection/>
    </xf>
    <xf numFmtId="37" fontId="2" fillId="0" borderId="52" xfId="164" applyNumberFormat="1" applyFill="1" applyBorder="1">
      <alignment/>
      <protection/>
    </xf>
    <xf numFmtId="185" fontId="7" fillId="0" borderId="34" xfId="15" applyNumberFormat="1" applyFont="1" applyFill="1" applyBorder="1" applyAlignment="1">
      <alignment/>
    </xf>
    <xf numFmtId="17" fontId="33" fillId="32" borderId="24" xfId="0" applyNumberFormat="1" applyFont="1" applyFill="1" applyBorder="1" applyAlignment="1">
      <alignment horizontal="center" wrapText="1"/>
    </xf>
    <xf numFmtId="49" fontId="5" fillId="32" borderId="0" xfId="98" applyNumberFormat="1" applyFont="1" applyFill="1" applyBorder="1">
      <alignment/>
      <protection/>
    </xf>
    <xf numFmtId="0" fontId="2" fillId="0" borderId="53" xfId="164" applyFont="1" applyBorder="1" applyAlignment="1">
      <alignment horizontal="center" wrapText="1"/>
      <protection/>
    </xf>
    <xf numFmtId="0" fontId="2" fillId="0" borderId="11" xfId="164" applyFont="1" applyBorder="1" applyAlignment="1">
      <alignment horizontal="center" wrapText="1"/>
      <protection/>
    </xf>
    <xf numFmtId="37" fontId="2" fillId="0" borderId="0" xfId="164" applyNumberFormat="1" applyFont="1" applyFill="1">
      <alignment/>
      <protection/>
    </xf>
    <xf numFmtId="37" fontId="2" fillId="0" borderId="43" xfId="164" applyNumberFormat="1" applyFont="1" applyFill="1" applyBorder="1">
      <alignment/>
      <protection/>
    </xf>
    <xf numFmtId="37" fontId="2" fillId="0" borderId="0" xfId="164" applyNumberFormat="1" applyFont="1">
      <alignment/>
      <protection/>
    </xf>
    <xf numFmtId="37" fontId="2" fillId="0" borderId="0" xfId="164" applyNumberFormat="1" applyFont="1" applyBorder="1">
      <alignment/>
      <protection/>
    </xf>
    <xf numFmtId="37" fontId="2" fillId="0" borderId="0" xfId="164" applyNumberFormat="1" applyFont="1" applyFill="1" applyBorder="1">
      <alignment/>
      <protection/>
    </xf>
    <xf numFmtId="37" fontId="2" fillId="0" borderId="6" xfId="164" applyNumberFormat="1" applyFill="1" applyBorder="1">
      <alignment/>
      <protection/>
    </xf>
    <xf numFmtId="37" fontId="95" fillId="0" borderId="6" xfId="164" applyNumberFormat="1" applyFont="1" applyFill="1" applyBorder="1">
      <alignment/>
      <protection/>
    </xf>
    <xf numFmtId="178" fontId="2" fillId="0" borderId="0" xfId="18" applyNumberFormat="1" applyFont="1" applyFill="1" applyBorder="1"/>
    <xf numFmtId="178" fontId="2" fillId="0" borderId="0" xfId="18" applyNumberFormat="1" applyFont="1" applyBorder="1"/>
    <xf numFmtId="43" fontId="2" fillId="0" borderId="0" xfId="18" applyNumberFormat="1" applyFont="1" applyBorder="1"/>
    <xf numFmtId="174" fontId="51" fillId="0" borderId="0" xfId="0" applyFont="1" applyAlignment="1">
      <alignment horizontal="center" vertical="center"/>
    </xf>
    <xf numFmtId="174" fontId="54" fillId="0" borderId="0" xfId="0" applyFont="1" applyAlignment="1">
      <alignment horizontal="left" vertical="center"/>
    </xf>
    <xf numFmtId="174" fontId="53" fillId="0" borderId="0" xfId="0" applyFont="1" applyAlignment="1">
      <alignment horizontal="left" vertical="center"/>
    </xf>
    <xf numFmtId="3" fontId="12" fillId="0" borderId="0" xfId="148" applyNumberFormat="1" applyFont="1" applyBorder="1" applyAlignment="1">
      <alignment horizontal="left" wrapText="1"/>
      <protection/>
    </xf>
    <xf numFmtId="174" fontId="52" fillId="0" borderId="27" xfId="0" applyFont="1" applyBorder="1" applyAlignment="1">
      <alignment horizontal="center" vertical="center"/>
    </xf>
    <xf numFmtId="3" fontId="52" fillId="0" borderId="0" xfId="0" applyNumberFormat="1" applyFont="1" applyFill="1" applyAlignment="1">
      <alignment horizontal="left" vertical="center"/>
    </xf>
    <xf numFmtId="0" fontId="100" fillId="0" borderId="47" xfId="164" applyFont="1" applyBorder="1" applyAlignment="1">
      <alignment horizontal="center" wrapText="1"/>
      <protection/>
    </xf>
    <xf numFmtId="174" fontId="0" fillId="0" borderId="0" xfId="0" applyFont="1" applyAlignment="1">
      <alignment/>
    </xf>
    <xf numFmtId="182" fontId="59" fillId="32" borderId="0" xfId="15" applyNumberFormat="1" applyFont="1" applyFill="1" applyProtection="1">
      <protection locked="0"/>
    </xf>
    <xf numFmtId="174" fontId="32" fillId="0" borderId="0" xfId="0" applyFont="1" applyFill="1" applyAlignment="1">
      <alignment horizontal="center" vertical="top"/>
    </xf>
    <xf numFmtId="174" fontId="102" fillId="0" borderId="0" xfId="0" applyFont="1" applyAlignment="1">
      <alignment/>
    </xf>
    <xf numFmtId="174" fontId="36" fillId="0" borderId="0" xfId="0" applyFont="1" applyAlignment="1">
      <alignment/>
    </xf>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applyAlignment="1">
      <alignment/>
    </xf>
    <xf numFmtId="174" fontId="33" fillId="0" borderId="11" xfId="0" applyFont="1" applyBorder="1" applyAlignment="1">
      <alignment/>
    </xf>
    <xf numFmtId="174" fontId="32" fillId="54" borderId="0" xfId="0" applyFont="1" applyFill="1" applyBorder="1" applyAlignment="1">
      <alignment/>
    </xf>
    <xf numFmtId="174" fontId="103" fillId="0" borderId="0" xfId="0" applyFont="1" applyAlignment="1">
      <alignment/>
    </xf>
    <xf numFmtId="174" fontId="32" fillId="54" borderId="0" xfId="0" applyFont="1" applyFill="1" applyAlignment="1">
      <alignment/>
    </xf>
    <xf numFmtId="170" fontId="32" fillId="32" borderId="0" xfId="0" applyNumberFormat="1" applyFont="1" applyFill="1" applyAlignment="1">
      <alignment/>
    </xf>
    <xf numFmtId="170" fontId="32" fillId="54" borderId="0" xfId="0" applyNumberFormat="1" applyFont="1" applyFill="1" applyAlignment="1">
      <alignment/>
    </xf>
    <xf numFmtId="170" fontId="32" fillId="0" borderId="2" xfId="0" applyNumberFormat="1" applyFont="1" applyBorder="1" applyAlignment="1">
      <alignment/>
    </xf>
    <xf numFmtId="172" fontId="32" fillId="0" borderId="0" xfId="0" applyNumberFormat="1" applyFont="1" applyAlignment="1">
      <alignment horizontal="center"/>
    </xf>
    <xf numFmtId="170" fontId="32" fillId="32" borderId="11" xfId="0" applyNumberFormat="1" applyFont="1" applyFill="1" applyBorder="1" applyAlignment="1">
      <alignment/>
    </xf>
    <xf numFmtId="170" fontId="32" fillId="0" borderId="0" xfId="0" applyNumberFormat="1" applyFont="1" applyBorder="1" applyAlignment="1">
      <alignment/>
    </xf>
    <xf numFmtId="170" fontId="33" fillId="0" borderId="33" xfId="0" applyNumberFormat="1" applyFont="1" applyBorder="1" applyAlignment="1">
      <alignment/>
    </xf>
    <xf numFmtId="172" fontId="32" fillId="0" borderId="0" xfId="0" applyNumberFormat="1" applyFont="1" applyAlignment="1">
      <alignment/>
    </xf>
    <xf numFmtId="174" fontId="33" fillId="0" borderId="0" xfId="0" applyFont="1" applyBorder="1" applyAlignment="1">
      <alignment/>
    </xf>
    <xf numFmtId="174" fontId="32" fillId="51" borderId="0" xfId="0" applyFont="1" applyFill="1" applyAlignment="1">
      <alignment/>
    </xf>
    <xf numFmtId="3" fontId="32" fillId="0" borderId="0" xfId="0" applyNumberFormat="1" applyFont="1" applyAlignment="1" quotePrefix="1">
      <alignment horizontal="center"/>
    </xf>
    <xf numFmtId="170" fontId="32" fillId="51" borderId="0" xfId="0" applyNumberFormat="1" applyFont="1" applyFill="1" applyAlignment="1">
      <alignment/>
    </xf>
    <xf numFmtId="0" fontId="2" fillId="0" borderId="0" xfId="177" applyFill="1">
      <alignment/>
      <protection/>
    </xf>
    <xf numFmtId="0" fontId="2" fillId="0" borderId="0" xfId="177">
      <alignment/>
      <protection/>
    </xf>
    <xf numFmtId="0" fontId="5" fillId="0" borderId="0" xfId="177" applyNumberFormat="1" applyFont="1" applyAlignment="1">
      <alignment horizontal="right"/>
      <protection/>
    </xf>
    <xf numFmtId="0" fontId="2" fillId="0" borderId="0" xfId="177" applyAlignment="1">
      <alignment horizontal="center"/>
      <protection/>
    </xf>
    <xf numFmtId="0" fontId="5" fillId="0" borderId="0" xfId="177" applyNumberFormat="1" applyFont="1" applyFill="1" applyAlignment="1">
      <alignment horizontal="right"/>
      <protection/>
    </xf>
    <xf numFmtId="0" fontId="105" fillId="0" borderId="0" xfId="177" applyFont="1">
      <alignment/>
      <protection/>
    </xf>
    <xf numFmtId="3" fontId="5" fillId="0" borderId="0" xfId="170" applyNumberFormat="1" applyFont="1" applyFill="1" applyAlignment="1">
      <alignment/>
      <protection/>
    </xf>
    <xf numFmtId="0" fontId="85" fillId="0" borderId="0" xfId="170" applyFont="1" applyFill="1" applyAlignment="1">
      <alignment horizontal="center"/>
      <protection/>
    </xf>
    <xf numFmtId="0" fontId="5" fillId="0" borderId="0" xfId="170" applyFont="1" applyFill="1" applyAlignment="1">
      <alignment horizontal="center"/>
      <protection/>
    </xf>
    <xf numFmtId="0" fontId="85" fillId="32" borderId="0" xfId="170" applyFont="1" applyFill="1" applyAlignment="1">
      <alignment horizontal="center"/>
      <protection/>
    </xf>
    <xf numFmtId="0" fontId="2" fillId="0" borderId="11" xfId="177" applyBorder="1" applyAlignment="1">
      <alignment horizontal="center"/>
      <protection/>
    </xf>
    <xf numFmtId="3" fontId="5" fillId="0" borderId="0" xfId="170" applyNumberFormat="1" applyFont="1" applyFill="1" applyAlignment="1">
      <alignment horizontal="left"/>
      <protection/>
    </xf>
    <xf numFmtId="37" fontId="5" fillId="32" borderId="0" xfId="170" applyNumberFormat="1" applyFont="1" applyFill="1" applyAlignment="1">
      <alignment/>
      <protection/>
    </xf>
    <xf numFmtId="37" fontId="2" fillId="0" borderId="0" xfId="177" applyNumberFormat="1">
      <alignment/>
      <protection/>
    </xf>
    <xf numFmtId="37" fontId="5" fillId="0" borderId="33" xfId="170" applyNumberFormat="1" applyFont="1" applyFill="1" applyBorder="1" applyAlignment="1">
      <alignment/>
      <protection/>
    </xf>
    <xf numFmtId="37" fontId="5" fillId="0" borderId="0" xfId="170" applyNumberFormat="1" applyFont="1" applyFill="1" applyBorder="1" applyAlignment="1">
      <alignment/>
      <protection/>
    </xf>
    <xf numFmtId="0" fontId="5" fillId="0" borderId="0" xfId="170" applyFont="1" applyFill="1" applyAlignment="1">
      <alignment/>
      <protection/>
    </xf>
    <xf numFmtId="37" fontId="5" fillId="0" borderId="0" xfId="170" applyNumberFormat="1" applyFont="1" applyFill="1" applyAlignment="1">
      <alignment/>
      <protection/>
    </xf>
    <xf numFmtId="37" fontId="5" fillId="0" borderId="11" xfId="170" applyNumberFormat="1" applyFont="1" applyFill="1" applyBorder="1" applyAlignment="1">
      <alignment/>
      <protection/>
    </xf>
    <xf numFmtId="0" fontId="5" fillId="0" borderId="0" xfId="170" applyFill="1" applyAlignment="1">
      <alignment/>
      <protection/>
    </xf>
    <xf numFmtId="0" fontId="5" fillId="32" borderId="0" xfId="170" applyFill="1" applyAlignment="1">
      <alignment/>
      <protection/>
    </xf>
    <xf numFmtId="0" fontId="85" fillId="0" borderId="0" xfId="170" applyFont="1" applyAlignment="1">
      <alignment horizontal="center"/>
      <protection/>
    </xf>
    <xf numFmtId="3" fontId="5" fillId="0" borderId="0" xfId="170" applyNumberFormat="1" applyFont="1" applyAlignment="1">
      <alignment/>
      <protection/>
    </xf>
    <xf numFmtId="0" fontId="5" fillId="0" borderId="0" xfId="170">
      <alignment/>
      <protection/>
    </xf>
    <xf numFmtId="0" fontId="5" fillId="0" borderId="0" xfId="170" applyFont="1" applyAlignment="1">
      <alignment horizontal="center"/>
      <protection/>
    </xf>
    <xf numFmtId="37" fontId="5" fillId="0" borderId="0" xfId="170" applyNumberFormat="1" applyFill="1" applyAlignment="1">
      <alignment/>
      <protection/>
    </xf>
    <xf numFmtId="37" fontId="5" fillId="0" borderId="0" xfId="170" applyNumberFormat="1" applyFont="1" applyAlignment="1">
      <alignment/>
      <protection/>
    </xf>
    <xf numFmtId="37" fontId="5" fillId="32" borderId="0" xfId="170" applyNumberFormat="1" applyFill="1" applyAlignment="1">
      <alignment/>
      <protection/>
    </xf>
    <xf numFmtId="37" fontId="5" fillId="0" borderId="33" xfId="170" applyNumberFormat="1" applyFont="1" applyBorder="1" applyAlignment="1">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NumberFormat="1" applyFont="1" applyFill="1" applyAlignment="1">
      <alignment horizontal="right"/>
      <protection/>
    </xf>
    <xf numFmtId="0" fontId="55" fillId="0" borderId="0" xfId="177" applyFont="1" applyAlignment="1">
      <alignment horizontal="left" vertical="center"/>
      <protection/>
    </xf>
    <xf numFmtId="0" fontId="51" fillId="0" borderId="0" xfId="177" applyFont="1" applyFill="1" applyAlignment="1">
      <alignment vertical="center"/>
      <protection/>
    </xf>
    <xf numFmtId="0" fontId="2" fillId="0" borderId="0" xfId="177" applyFont="1" applyBorder="1" applyAlignment="1">
      <alignment horizontal="center"/>
      <protection/>
    </xf>
    <xf numFmtId="0" fontId="2" fillId="0" borderId="11" xfId="177" applyBorder="1">
      <alignment/>
      <protection/>
    </xf>
    <xf numFmtId="0" fontId="106" fillId="0" borderId="0" xfId="177" applyNumberFormat="1" applyFont="1" applyAlignment="1">
      <alignment horizontal="center" vertical="center"/>
      <protection/>
    </xf>
    <xf numFmtId="49" fontId="106" fillId="0" borderId="0" xfId="177" applyNumberFormat="1" applyFont="1" applyAlignment="1">
      <alignment vertical="center"/>
      <protection/>
    </xf>
    <xf numFmtId="0" fontId="106" fillId="32" borderId="0" xfId="177" applyNumberFormat="1" applyFont="1" applyFill="1" applyAlignment="1">
      <alignment vertical="center"/>
      <protection/>
    </xf>
    <xf numFmtId="0" fontId="106" fillId="32" borderId="0" xfId="177" applyFont="1" applyFill="1" applyAlignment="1">
      <alignment vertical="center"/>
      <protection/>
    </xf>
    <xf numFmtId="178" fontId="106"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06" fillId="0" borderId="0" xfId="177" applyFont="1" applyAlignment="1">
      <alignment vertical="center"/>
      <protection/>
    </xf>
    <xf numFmtId="0" fontId="51" fillId="0" borderId="0" xfId="177" applyFont="1" applyAlignment="1">
      <alignment horizontal="right" vertical="center"/>
      <protection/>
    </xf>
    <xf numFmtId="0" fontId="51" fillId="0" borderId="0" xfId="177" applyNumberFormat="1" applyFont="1" applyFill="1" applyAlignment="1">
      <alignment horizontal="right"/>
      <protection/>
    </xf>
    <xf numFmtId="0" fontId="2" fillId="0" borderId="0" xfId="177" applyBorder="1">
      <alignmen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applyAlignment="1">
      <alignment/>
    </xf>
    <xf numFmtId="1" fontId="77" fillId="0" borderId="0" xfId="97" applyNumberFormat="1" applyFont="1" applyFill="1" applyBorder="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43" fontId="51" fillId="0" borderId="0" xfId="18" applyNumberFormat="1" applyFont="1" applyFill="1" applyAlignment="1">
      <alignment horizontal="center" vertical="center"/>
    </xf>
    <xf numFmtId="0" fontId="32" fillId="0" borderId="0" xfId="0" applyNumberFormat="1" applyFont="1" applyFill="1" applyAlignment="1">
      <alignment vertical="top" wrapText="1"/>
    </xf>
    <xf numFmtId="174" fontId="51" fillId="0" borderId="0" xfId="0" applyFont="1" applyAlignment="1">
      <alignment horizontal="center" vertical="center"/>
    </xf>
    <xf numFmtId="0" fontId="5" fillId="0" borderId="0" xfId="0" applyNumberFormat="1" applyFont="1" applyFill="1" applyAlignment="1">
      <alignment horizontal="right"/>
    </xf>
    <xf numFmtId="174" fontId="32" fillId="0" borderId="0" xfId="0" applyFont="1" applyAlignment="1" quotePrefix="1">
      <alignment/>
    </xf>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0" fontId="5" fillId="0" borderId="0" xfId="145" applyFont="1" applyFill="1" applyAlignment="1">
      <alignment horizontal="left"/>
      <protection/>
    </xf>
    <xf numFmtId="0" fontId="5" fillId="0" borderId="0" xfId="145" applyFont="1" applyFill="1">
      <alignment/>
      <protection/>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pplyAlignment="1">
      <alignment/>
      <protection/>
    </xf>
    <xf numFmtId="174" fontId="65" fillId="32" borderId="0" xfId="0" applyFont="1" applyFill="1" applyAlignment="1">
      <alignment horizontal="center" vertical="center"/>
    </xf>
    <xf numFmtId="174" fontId="51" fillId="0" borderId="0" xfId="0" applyFont="1" applyAlignment="1">
      <alignment vertical="center"/>
    </xf>
    <xf numFmtId="174" fontId="51" fillId="0" borderId="0" xfId="0" applyFont="1" applyFill="1" applyAlignment="1">
      <alignment horizontal="center" vertical="center"/>
    </xf>
    <xf numFmtId="178" fontId="52" fillId="0" borderId="0" xfId="18" applyNumberFormat="1" applyFont="1" applyFill="1" applyAlignment="1">
      <alignment horizontal="center" vertical="center"/>
    </xf>
    <xf numFmtId="174" fontId="51" fillId="0" borderId="0" xfId="0" applyFont="1" applyFill="1" applyAlignment="1">
      <alignment vertical="center"/>
    </xf>
    <xf numFmtId="174" fontId="51" fillId="0" borderId="0" xfId="0" applyFont="1" applyAlignment="1">
      <alignment horizontal="left" vertical="center"/>
    </xf>
    <xf numFmtId="174" fontId="65" fillId="0" borderId="0" xfId="0" applyFont="1" applyAlignment="1">
      <alignment horizontal="center" vertical="center"/>
    </xf>
    <xf numFmtId="178" fontId="52" fillId="32" borderId="0" xfId="18" applyNumberFormat="1" applyFont="1" applyFill="1" applyAlignment="1">
      <alignment horizontal="left" vertical="center"/>
    </xf>
    <xf numFmtId="178" fontId="52" fillId="0" borderId="0" xfId="18" applyNumberFormat="1" applyFont="1" applyFill="1" applyAlignment="1">
      <alignment horizontal="left" vertical="center"/>
    </xf>
    <xf numFmtId="164" fontId="13" fillId="0" borderId="0" xfId="194" applyNumberFormat="1" applyFont="1" applyBorder="1" applyAlignment="1">
      <alignment horizontal="left"/>
      <protection/>
    </xf>
    <xf numFmtId="0" fontId="31" fillId="0" borderId="0" xfId="194" applyFont="1" applyBorder="1">
      <alignment/>
      <protection/>
    </xf>
    <xf numFmtId="14" fontId="31" fillId="0" borderId="0" xfId="194" applyNumberFormat="1" applyFont="1" applyBorder="1" applyAlignment="1">
      <alignment horizontal="center"/>
      <protection/>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4" fontId="12" fillId="32" borderId="0" xfId="0" applyFont="1" applyFill="1" applyBorder="1" applyAlignment="1">
      <alignment horizontal="left" vertical="top" wrapText="1"/>
    </xf>
    <xf numFmtId="1" fontId="12" fillId="32" borderId="0" xfId="0" applyNumberFormat="1" applyFont="1" applyFill="1" applyBorder="1" applyAlignment="1">
      <alignment horizontal="left"/>
    </xf>
    <xf numFmtId="175" fontId="12" fillId="32" borderId="0" xfId="16" applyNumberFormat="1" applyFont="1" applyFill="1" applyBorder="1" applyAlignment="1">
      <alignment/>
    </xf>
    <xf numFmtId="175" fontId="12" fillId="32" borderId="0" xfId="0" applyNumberFormat="1" applyFont="1" applyFill="1" applyBorder="1" applyAlignment="1">
      <alignment/>
    </xf>
    <xf numFmtId="175" fontId="32" fillId="32" borderId="0" xfId="16" applyNumberFormat="1" applyFont="1" applyFill="1" applyBorder="1" applyAlignment="1">
      <alignment/>
    </xf>
    <xf numFmtId="174" fontId="0" fillId="51" borderId="0" xfId="0" applyFont="1" applyFill="1" applyBorder="1" applyAlignment="1">
      <alignment/>
    </xf>
    <xf numFmtId="174" fontId="32" fillId="0" borderId="0" xfId="0" applyFont="1" applyAlignment="1">
      <alignment/>
    </xf>
    <xf numFmtId="0" fontId="32" fillId="0" borderId="0" xfId="0" applyNumberFormat="1" applyFont="1" applyAlignment="1">
      <alignment/>
    </xf>
    <xf numFmtId="0" fontId="32" fillId="0" borderId="0" xfId="0" applyNumberFormat="1" applyFont="1" applyAlignment="1">
      <alignment horizontal="left"/>
    </xf>
    <xf numFmtId="0" fontId="32" fillId="0" borderId="0" xfId="0" applyNumberFormat="1" applyFont="1"/>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applyAlignment="1">
      <alignment/>
    </xf>
    <xf numFmtId="3" fontId="32" fillId="0" borderId="0" xfId="0" applyNumberFormat="1" applyFont="1" applyFill="1" applyAlignment="1">
      <alignment/>
    </xf>
    <xf numFmtId="3" fontId="32" fillId="0" borderId="0" xfId="0" applyNumberFormat="1" applyFont="1" applyAlignment="1">
      <alignment/>
    </xf>
    <xf numFmtId="0" fontId="32" fillId="0" borderId="0" xfId="0" applyNumberFormat="1" applyFont="1" applyAlignment="1">
      <alignment horizontal="center"/>
    </xf>
    <xf numFmtId="49" fontId="32" fillId="0" borderId="0" xfId="0" applyNumberFormat="1" applyFont="1" applyFill="1"/>
    <xf numFmtId="49" fontId="32" fillId="0" borderId="0" xfId="0" applyNumberFormat="1" applyFont="1" applyAlignment="1">
      <alignment horizontal="left"/>
    </xf>
    <xf numFmtId="49" fontId="32" fillId="0" borderId="0" xfId="0" applyNumberFormat="1" applyFont="1" applyAlignment="1">
      <alignment horizontal="center"/>
    </xf>
    <xf numFmtId="49" fontId="32" fillId="0" borderId="0" xfId="0" applyNumberFormat="1" applyFont="1"/>
    <xf numFmtId="0" fontId="32" fillId="0" borderId="6" xfId="0" applyNumberFormat="1" applyFont="1" applyBorder="1" applyAlignment="1">
      <alignment horizontal="center"/>
    </xf>
    <xf numFmtId="0" fontId="32" fillId="0" borderId="0" xfId="0" applyNumberFormat="1" applyFont="1" applyFill="1" applyBorder="1" applyAlignment="1">
      <alignment horizontal="right"/>
    </xf>
    <xf numFmtId="3" fontId="32" fillId="0" borderId="0" xfId="0" applyNumberFormat="1" applyFont="1"/>
    <xf numFmtId="42" fontId="32" fillId="0" borderId="0" xfId="0" applyNumberFormat="1" applyFont="1" applyFill="1"/>
    <xf numFmtId="42" fontId="32" fillId="0" borderId="0" xfId="0" applyNumberFormat="1" applyFont="1" applyFill="1" applyBorder="1"/>
    <xf numFmtId="179" fontId="32" fillId="0" borderId="0" xfId="15" applyNumberFormat="1" applyFont="1" applyAlignment="1">
      <alignment/>
    </xf>
    <xf numFmtId="0" fontId="32" fillId="0" borderId="6" xfId="0" applyNumberFormat="1" applyFont="1" applyBorder="1" applyAlignment="1">
      <alignment horizontal="centerContinuous"/>
    </xf>
    <xf numFmtId="0" fontId="32" fillId="0" borderId="0" xfId="0" applyNumberFormat="1" applyFont="1" applyFill="1" applyAlignment="1">
      <alignment horizontal="center"/>
    </xf>
    <xf numFmtId="0" fontId="32" fillId="0" borderId="0" xfId="0" applyNumberFormat="1" applyFont="1" applyFill="1" applyAlignment="1">
      <alignment/>
    </xf>
    <xf numFmtId="178" fontId="32" fillId="0" borderId="0" xfId="0" applyNumberFormat="1" applyFont="1" applyBorder="1" applyAlignment="1">
      <alignment horizontal="center"/>
    </xf>
    <xf numFmtId="166" fontId="32" fillId="0" borderId="0" xfId="0" applyNumberFormat="1" applyFont="1" applyAlignment="1">
      <alignment/>
    </xf>
    <xf numFmtId="178" fontId="32" fillId="0" borderId="0" xfId="18" applyNumberFormat="1" applyFont="1" applyFill="1"/>
    <xf numFmtId="178" fontId="32" fillId="0" borderId="0" xfId="18" applyNumberFormat="1" applyFont="1" applyFill="1" applyAlignment="1">
      <alignment/>
    </xf>
    <xf numFmtId="37" fontId="32" fillId="0" borderId="0" xfId="16" applyNumberFormat="1" applyFont="1" applyFill="1"/>
    <xf numFmtId="37" fontId="32" fillId="0" borderId="0" xfId="0" applyNumberFormat="1" applyFont="1"/>
    <xf numFmtId="3" fontId="32" fillId="0" borderId="0" xfId="0" applyNumberFormat="1" applyFont="1" applyFill="1" applyBorder="1"/>
    <xf numFmtId="178" fontId="32" fillId="32" borderId="0" xfId="18" applyNumberFormat="1" applyFont="1" applyFill="1" applyAlignment="1">
      <alignment/>
    </xf>
    <xf numFmtId="178" fontId="107" fillId="0" borderId="0" xfId="18" applyNumberFormat="1" applyFont="1" applyFill="1" applyAlignment="1">
      <alignment/>
    </xf>
    <xf numFmtId="178" fontId="107"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Fill="1"/>
    <xf numFmtId="0" fontId="32" fillId="0" borderId="0" xfId="0" applyNumberFormat="1" applyFont="1" applyFill="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Border="1" applyAlignment="1">
      <alignment horizontal="right"/>
    </xf>
    <xf numFmtId="3" fontId="32" fillId="0" borderId="6" xfId="0" applyNumberFormat="1" applyFont="1" applyBorder="1" applyAlignment="1">
      <alignment horizontal="center"/>
    </xf>
    <xf numFmtId="184" fontId="32" fillId="32" borderId="0" xfId="18" applyNumberFormat="1" applyFont="1" applyFill="1"/>
    <xf numFmtId="171" fontId="32" fillId="0" borderId="0" xfId="15" applyNumberFormat="1" applyFont="1" applyFill="1"/>
    <xf numFmtId="174" fontId="32" fillId="0" borderId="0" xfId="0" applyFont="1" applyFill="1" applyAlignment="1">
      <alignment/>
    </xf>
    <xf numFmtId="171" fontId="32" fillId="0" borderId="0" xfId="0" applyNumberFormat="1" applyFont="1" applyFill="1"/>
    <xf numFmtId="0" fontId="32" fillId="0" borderId="0" xfId="0" applyNumberFormat="1" applyFont="1" applyFill="1" applyBorder="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0" fontId="32" fillId="0" borderId="0" xfId="0" applyNumberFormat="1" applyFont="1" applyBorder="1" applyAlignment="1">
      <alignment horizontal="center"/>
    </xf>
    <xf numFmtId="0" fontId="32" fillId="0" borderId="0" xfId="0" applyNumberFormat="1" applyFont="1" applyBorder="1" applyAlignment="1">
      <alignment/>
    </xf>
    <xf numFmtId="0" fontId="32" fillId="0" borderId="0" xfId="0" applyNumberFormat="1" applyFont="1" applyBorder="1"/>
    <xf numFmtId="168" fontId="32" fillId="0" borderId="6" xfId="0" applyNumberFormat="1" applyFont="1" applyBorder="1" applyAlignment="1">
      <alignment horizontal="center"/>
    </xf>
    <xf numFmtId="0" fontId="32" fillId="0" borderId="0" xfId="0" applyNumberFormat="1" applyFont="1" applyFill="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0" fontId="32" fillId="0" borderId="0" xfId="0" applyNumberFormat="1" applyFont="1" applyBorder="1" applyAlignment="1">
      <alignment horizontal="right"/>
    </xf>
    <xf numFmtId="0" fontId="32" fillId="0" borderId="0" xfId="0" applyNumberFormat="1" applyFont="1" applyBorder="1" applyAlignment="1">
      <alignment horizontal="left"/>
    </xf>
    <xf numFmtId="43" fontId="32" fillId="0" borderId="0" xfId="18" applyFont="1" applyFill="1"/>
    <xf numFmtId="43" fontId="32" fillId="0" borderId="0" xfId="18" applyFont="1" applyFill="1" applyAlignment="1">
      <alignment/>
    </xf>
    <xf numFmtId="44" fontId="32" fillId="0" borderId="0" xfId="16" applyNumberFormat="1" applyFont="1" applyFill="1" applyBorder="1"/>
    <xf numFmtId="173" fontId="32" fillId="0" borderId="0" xfId="0" applyNumberFormat="1" applyFont="1" applyAlignment="1">
      <alignment/>
    </xf>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0" fontId="32" fillId="0" borderId="0" xfId="0" applyNumberFormat="1" applyFont="1" applyFill="1" applyAlignment="1">
      <alignment horizontal="right"/>
    </xf>
    <xf numFmtId="49" fontId="32" fillId="0" borderId="0" xfId="0" applyNumberFormat="1" applyFont="1" applyFill="1" applyBorder="1" applyAlignment="1">
      <alignment horizontal="center"/>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Fill="1" applyBorder="1" applyAlignment="1">
      <alignment horizontal="right"/>
    </xf>
    <xf numFmtId="3" fontId="33" fillId="0" borderId="0" xfId="0" applyNumberFormat="1" applyFont="1" applyAlignment="1">
      <alignment/>
    </xf>
    <xf numFmtId="3" fontId="32" fillId="0" borderId="0" xfId="0" applyNumberFormat="1" applyFont="1" applyFill="1" applyBorder="1" applyAlignment="1">
      <alignment horizontal="right"/>
    </xf>
    <xf numFmtId="0" fontId="33" fillId="0" borderId="0" xfId="0" applyNumberFormat="1" applyFont="1" applyAlignment="1">
      <alignment/>
    </xf>
    <xf numFmtId="3" fontId="32" fillId="0" borderId="0" xfId="0" applyNumberFormat="1" applyFont="1" applyFill="1" applyBorder="1" applyAlignment="1">
      <alignment/>
    </xf>
    <xf numFmtId="174" fontId="32" fillId="0" borderId="0" xfId="0" applyFont="1" applyFill="1" applyBorder="1" applyAlignment="1">
      <alignment/>
    </xf>
    <xf numFmtId="165" fontId="32" fillId="0" borderId="0" xfId="0" applyNumberFormat="1" applyFont="1" applyAlignment="1">
      <alignment/>
    </xf>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08" fillId="0" borderId="0" xfId="0" applyNumberFormat="1" applyFont="1" applyFill="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applyAlignment="1">
      <alignment/>
    </xf>
    <xf numFmtId="178" fontId="32" fillId="32" borderId="0" xfId="18" applyNumberFormat="1" applyFont="1" applyFill="1" applyBorder="1" applyAlignment="1">
      <alignment/>
    </xf>
    <xf numFmtId="174" fontId="32" fillId="0" borderId="0" xfId="159" applyFont="1" applyFill="1" applyAlignment="1">
      <alignment/>
    </xf>
    <xf numFmtId="3" fontId="32" fillId="0" borderId="0" xfId="0" applyNumberFormat="1" applyFont="1" applyAlignment="1">
      <alignment horizontal="center"/>
    </xf>
    <xf numFmtId="178" fontId="32" fillId="0" borderId="49" xfId="18" applyNumberFormat="1" applyFont="1" applyBorder="1" applyAlignment="1">
      <alignment/>
    </xf>
    <xf numFmtId="3" fontId="32" fillId="0" borderId="0" xfId="0" applyNumberFormat="1" applyFont="1" applyBorder="1" applyAlignment="1">
      <alignment/>
    </xf>
    <xf numFmtId="0" fontId="32" fillId="0" borderId="0" xfId="0" applyNumberFormat="1" applyFont="1" applyAlignment="1" applyProtection="1">
      <alignment/>
      <protection locked="0"/>
    </xf>
    <xf numFmtId="3" fontId="32" fillId="0" borderId="0" xfId="0" applyNumberFormat="1" applyFont="1" applyFill="1" applyAlignment="1">
      <alignment horizontal="right"/>
    </xf>
    <xf numFmtId="165" fontId="32" fillId="0" borderId="0" xfId="0" applyNumberFormat="1" applyFont="1" applyFill="1" applyAlignment="1">
      <alignment/>
    </xf>
    <xf numFmtId="0" fontId="32" fillId="0" borderId="0" xfId="0" applyNumberFormat="1" applyFont="1" applyFill="1" applyAlignment="1">
      <alignment horizontal="left"/>
    </xf>
    <xf numFmtId="172" fontId="32" fillId="0" borderId="0" xfId="0" applyNumberFormat="1" applyFont="1" applyFill="1" applyAlignment="1">
      <alignment horizontal="left"/>
    </xf>
    <xf numFmtId="0" fontId="32" fillId="0" borderId="0" xfId="151" applyNumberFormat="1" applyFont="1" applyFill="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08" fillId="0" borderId="0" xfId="0" applyNumberFormat="1" applyFont="1" applyFill="1" applyAlignment="1">
      <alignment horizontal="right"/>
    </xf>
    <xf numFmtId="166" fontId="32" fillId="0" borderId="0" xfId="0" applyNumberFormat="1" applyFont="1" applyAlignment="1">
      <alignment horizontal="center"/>
    </xf>
    <xf numFmtId="10" fontId="32" fillId="0" borderId="0" xfId="0" applyNumberFormat="1" applyFont="1" applyFill="1" applyAlignment="1">
      <alignment horizontal="right"/>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applyAlignment="1">
      <alignment/>
    </xf>
    <xf numFmtId="164" fontId="32" fillId="0" borderId="0" xfId="0" applyNumberFormat="1" applyFont="1" applyFill="1" applyAlignment="1">
      <alignment horizontal="left"/>
    </xf>
    <xf numFmtId="10" fontId="32" fillId="0" borderId="0" xfId="0" applyNumberFormat="1" applyFont="1" applyFill="1" applyAlignment="1">
      <alignment horizontal="left"/>
    </xf>
    <xf numFmtId="10" fontId="32" fillId="0" borderId="0" xfId="15" applyNumberFormat="1" applyFont="1" applyAlignment="1">
      <alignment horizontal="left"/>
    </xf>
    <xf numFmtId="176" fontId="32" fillId="0" borderId="0" xfId="0" applyNumberFormat="1" applyFont="1" applyFill="1" applyAlignment="1">
      <alignment/>
    </xf>
    <xf numFmtId="181" fontId="32" fillId="0" borderId="0" xfId="0" applyNumberFormat="1" applyFont="1" applyAlignment="1">
      <alignment/>
    </xf>
    <xf numFmtId="176" fontId="32" fillId="0" borderId="0" xfId="0" applyNumberFormat="1" applyFont="1" applyAlignment="1">
      <alignment/>
    </xf>
    <xf numFmtId="178" fontId="32" fillId="0" borderId="0" xfId="18" applyNumberFormat="1" applyFont="1" applyFill="1" applyAlignment="1">
      <alignment horizontal="right"/>
    </xf>
    <xf numFmtId="167" fontId="32" fillId="0" borderId="0" xfId="0" applyNumberFormat="1" applyFont="1" applyAlignment="1">
      <alignment/>
    </xf>
    <xf numFmtId="164" fontId="32" fillId="0" borderId="0" xfId="0" applyNumberFormat="1" applyFont="1" applyAlignment="1">
      <alignment horizontal="left" wrapText="1"/>
    </xf>
    <xf numFmtId="43" fontId="32" fillId="0" borderId="0" xfId="18" applyNumberFormat="1" applyFont="1" applyAlignment="1">
      <alignment/>
    </xf>
    <xf numFmtId="164" fontId="109" fillId="0" borderId="0" xfId="0" applyNumberFormat="1" applyFont="1" applyAlignment="1">
      <alignment horizontal="left"/>
    </xf>
    <xf numFmtId="0" fontId="32" fillId="0" borderId="0" xfId="0" applyNumberFormat="1" applyFont="1" applyAlignment="1">
      <alignment wrapText="1"/>
    </xf>
    <xf numFmtId="178" fontId="32" fillId="0" borderId="11" xfId="18" applyNumberFormat="1" applyFont="1" applyFill="1" applyBorder="1" applyAlignment="1">
      <alignment/>
    </xf>
    <xf numFmtId="178" fontId="32" fillId="0" borderId="54" xfId="18" applyNumberFormat="1" applyFont="1" applyFill="1" applyBorder="1" applyAlignment="1">
      <alignment/>
    </xf>
    <xf numFmtId="0" fontId="32" fillId="0" borderId="6" xfId="0" applyNumberFormat="1" applyFont="1" applyFill="1" applyBorder="1"/>
    <xf numFmtId="3" fontId="32" fillId="0" borderId="0" xfId="0" applyNumberFormat="1" applyFont="1" applyFill="1" applyAlignment="1">
      <alignment horizontal="center"/>
    </xf>
    <xf numFmtId="178" fontId="32" fillId="32" borderId="6" xfId="18" applyNumberFormat="1" applyFont="1" applyFill="1" applyBorder="1" applyAlignment="1">
      <alignment/>
    </xf>
    <xf numFmtId="49" fontId="32" fillId="0" borderId="0" xfId="0" applyNumberFormat="1" applyFont="1" applyFill="1" applyBorder="1" applyAlignment="1">
      <alignment/>
    </xf>
    <xf numFmtId="49" fontId="32" fillId="0" borderId="0" xfId="0" applyNumberFormat="1" applyFont="1" applyFill="1" applyAlignment="1">
      <alignment/>
    </xf>
    <xf numFmtId="49" fontId="32" fillId="0" borderId="0" xfId="0" applyNumberFormat="1" applyFont="1" applyFill="1" applyAlignment="1">
      <alignment horizontal="center"/>
    </xf>
    <xf numFmtId="165" fontId="32" fillId="0" borderId="0" xfId="0" applyNumberFormat="1" applyFont="1" applyFill="1" applyAlignment="1">
      <alignment horizontal="right"/>
    </xf>
    <xf numFmtId="165" fontId="32" fillId="0" borderId="0" xfId="0" applyNumberFormat="1" applyFont="1" applyFill="1"/>
    <xf numFmtId="166" fontId="32" fillId="0" borderId="0" xfId="0" applyNumberFormat="1" applyFont="1" applyFill="1"/>
    <xf numFmtId="3" fontId="32" fillId="0" borderId="6" xfId="0" applyNumberFormat="1" applyFont="1" applyBorder="1" applyAlignment="1">
      <alignment/>
    </xf>
    <xf numFmtId="4" fontId="32" fillId="0" borderId="0" xfId="0" applyNumberFormat="1" applyFont="1" applyAlignment="1">
      <alignment/>
    </xf>
    <xf numFmtId="3" fontId="32" fillId="0" borderId="0" xfId="0" applyNumberFormat="1" applyFont="1" applyBorder="1" applyAlignment="1">
      <alignment horizontal="center"/>
    </xf>
    <xf numFmtId="3" fontId="32" fillId="0" borderId="0" xfId="0" applyNumberFormat="1" applyFont="1" applyAlignment="1" quotePrefix="1">
      <alignment/>
    </xf>
    <xf numFmtId="3" fontId="33" fillId="0" borderId="0" xfId="0" applyNumberFormat="1" applyFont="1" applyAlignment="1">
      <alignment horizontal="center"/>
    </xf>
    <xf numFmtId="166" fontId="32" fillId="0" borderId="0" xfId="0" applyNumberFormat="1" applyFont="1" applyFill="1" applyAlignment="1">
      <alignment horizontal="center"/>
    </xf>
    <xf numFmtId="164" fontId="32" fillId="0" borderId="0" xfId="0" applyNumberFormat="1" applyFont="1" applyFill="1" applyAlignment="1">
      <alignment horizontal="center"/>
    </xf>
    <xf numFmtId="43" fontId="32" fillId="32" borderId="0" xfId="18" applyFont="1" applyFill="1" applyAlignment="1">
      <alignment/>
    </xf>
    <xf numFmtId="166" fontId="32" fillId="0" borderId="0" xfId="0" applyNumberFormat="1" applyFont="1" applyFill="1" applyAlignment="1">
      <alignment/>
    </xf>
    <xf numFmtId="3" fontId="110" fillId="0" borderId="0" xfId="0" applyNumberFormat="1" applyFont="1" applyAlignment="1">
      <alignment/>
    </xf>
    <xf numFmtId="174" fontId="110" fillId="0" borderId="0" xfId="0" applyFont="1" applyAlignment="1">
      <alignment/>
    </xf>
    <xf numFmtId="174" fontId="34" fillId="0" borderId="0" xfId="0" applyFont="1" applyAlignment="1">
      <alignment/>
    </xf>
    <xf numFmtId="0" fontId="32" fillId="0" borderId="6" xfId="0" applyNumberFormat="1" applyFont="1" applyBorder="1" applyAlignment="1">
      <alignment/>
    </xf>
    <xf numFmtId="43" fontId="32" fillId="32" borderId="6" xfId="18" applyFont="1" applyFill="1" applyBorder="1" applyAlignment="1">
      <alignment/>
    </xf>
    <xf numFmtId="3" fontId="34" fillId="0" borderId="0" xfId="0" applyNumberFormat="1" applyFont="1" applyAlignment="1">
      <alignment/>
    </xf>
    <xf numFmtId="174" fontId="32" fillId="0" borderId="0" xfId="0" applyFont="1" applyBorder="1" applyAlignment="1">
      <alignment/>
    </xf>
    <xf numFmtId="174" fontId="35" fillId="0" borderId="0" xfId="0" applyFont="1" applyBorder="1" applyAlignment="1">
      <alignment/>
    </xf>
    <xf numFmtId="3" fontId="35" fillId="0" borderId="0" xfId="0" applyNumberFormat="1" applyFont="1" applyBorder="1" applyAlignment="1">
      <alignment/>
    </xf>
    <xf numFmtId="0" fontId="35" fillId="0" borderId="0" xfId="0" applyNumberFormat="1" applyFont="1" applyBorder="1" applyAlignment="1">
      <alignment/>
    </xf>
    <xf numFmtId="174" fontId="111" fillId="0" borderId="0" xfId="0" applyFont="1" applyBorder="1" applyAlignment="1">
      <alignment/>
    </xf>
    <xf numFmtId="9" fontId="32" fillId="0" borderId="0" xfId="0" applyNumberFormat="1" applyFont="1" applyAlignment="1">
      <alignment/>
    </xf>
    <xf numFmtId="169" fontId="32" fillId="0" borderId="0" xfId="0" applyNumberFormat="1" applyFont="1" applyAlignment="1">
      <alignment/>
    </xf>
    <xf numFmtId="183" fontId="32" fillId="32" borderId="0" xfId="18" applyNumberFormat="1" applyFont="1" applyFill="1" applyAlignment="1">
      <alignment/>
    </xf>
    <xf numFmtId="169" fontId="32" fillId="0" borderId="6" xfId="0" applyNumberFormat="1" applyFont="1" applyBorder="1" applyAlignment="1">
      <alignment/>
    </xf>
    <xf numFmtId="3" fontId="108" fillId="0" borderId="0" xfId="0" applyNumberFormat="1" applyFont="1" applyAlignment="1">
      <alignment/>
    </xf>
    <xf numFmtId="174" fontId="32" fillId="0" borderId="0" xfId="0" applyFont="1" applyFill="1" applyAlignment="1" applyProtection="1">
      <alignment/>
      <protection/>
    </xf>
    <xf numFmtId="178" fontId="32" fillId="32" borderId="0" xfId="18" applyNumberFormat="1" applyFont="1" applyFill="1" applyBorder="1" applyProtection="1">
      <protection locked="0"/>
    </xf>
    <xf numFmtId="38" fontId="32" fillId="0" borderId="0" xfId="0" applyNumberFormat="1" applyFont="1" applyAlignment="1" applyProtection="1">
      <alignment/>
      <protection/>
    </xf>
    <xf numFmtId="174" fontId="32" fillId="0" borderId="6" xfId="0" applyFont="1" applyBorder="1" applyAlignment="1">
      <alignment/>
    </xf>
    <xf numFmtId="0" fontId="32" fillId="0" borderId="6" xfId="0" applyNumberFormat="1" applyFont="1" applyBorder="1"/>
    <xf numFmtId="178" fontId="32" fillId="32" borderId="6" xfId="18" applyNumberFormat="1" applyFont="1" applyFill="1" applyBorder="1" applyProtection="1">
      <protection locked="0"/>
    </xf>
    <xf numFmtId="38" fontId="32" fillId="0" borderId="0" xfId="0" applyNumberFormat="1" applyFont="1" applyAlignment="1">
      <alignment/>
    </xf>
    <xf numFmtId="178" fontId="32" fillId="0" borderId="0" xfId="18" applyNumberFormat="1" applyFont="1" applyFill="1" applyBorder="1" applyProtection="1">
      <protection/>
    </xf>
    <xf numFmtId="1" fontId="32" fillId="0" borderId="0" xfId="0" applyNumberFormat="1" applyFont="1" applyFill="1" applyAlignment="1" applyProtection="1">
      <alignment horizontal="right"/>
      <protection/>
    </xf>
    <xf numFmtId="1" fontId="32" fillId="0" borderId="0" xfId="0" applyNumberFormat="1" applyFont="1" applyFill="1" applyProtection="1">
      <protection/>
    </xf>
    <xf numFmtId="178" fontId="32" fillId="0" borderId="0" xfId="18" applyNumberFormat="1" applyFont="1" applyFill="1" applyBorder="1" applyAlignment="1" applyProtection="1">
      <alignment/>
      <protection locked="0"/>
    </xf>
    <xf numFmtId="1" fontId="32" fillId="0" borderId="0" xfId="0" applyNumberFormat="1" applyFont="1" applyFill="1" applyAlignment="1" applyProtection="1">
      <alignment/>
      <protection/>
    </xf>
    <xf numFmtId="3" fontId="32" fillId="0" borderId="0" xfId="0" applyNumberFormat="1" applyFont="1" applyAlignment="1" applyProtection="1">
      <alignment/>
      <protection/>
    </xf>
    <xf numFmtId="170" fontId="32" fillId="0" borderId="0" xfId="0" applyNumberFormat="1" applyFont="1" applyFill="1" applyBorder="1" applyAlignment="1" applyProtection="1">
      <alignment/>
      <protection locked="0"/>
    </xf>
    <xf numFmtId="3" fontId="32" fillId="0" borderId="0" xfId="0" applyNumberFormat="1" applyFont="1" applyFill="1" applyAlignment="1" applyProtection="1">
      <alignment horizontal="right"/>
      <protection locked="0"/>
    </xf>
    <xf numFmtId="174" fontId="32" fillId="0" borderId="0" xfId="0" applyNumberFormat="1" applyFont="1" applyBorder="1" applyAlignment="1">
      <alignment/>
    </xf>
    <xf numFmtId="170" fontId="32" fillId="0" borderId="0" xfId="0" applyNumberFormat="1" applyFont="1" applyFill="1" applyBorder="1" applyAlignment="1" applyProtection="1">
      <alignment/>
      <protection/>
    </xf>
    <xf numFmtId="174" fontId="32" fillId="0" borderId="0" xfId="0" applyNumberFormat="1" applyFont="1" applyAlignment="1">
      <alignment/>
    </xf>
    <xf numFmtId="174" fontId="32" fillId="0" borderId="0" xfId="0" applyNumberFormat="1" applyFont="1" applyFill="1" applyAlignment="1">
      <alignment/>
    </xf>
    <xf numFmtId="3" fontId="32" fillId="0" borderId="0" xfId="0" applyNumberFormat="1" applyFont="1" applyFill="1" applyAlignment="1" applyProtection="1">
      <alignment/>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3" fontId="32" fillId="0" borderId="0" xfId="0" applyNumberFormat="1" applyFont="1" applyFill="1" applyAlignment="1">
      <alignment horizontal="left"/>
    </xf>
    <xf numFmtId="0" fontId="32" fillId="0" borderId="0" xfId="0" applyNumberFormat="1" applyFont="1" applyFill="1" applyAlignment="1">
      <alignment horizontal="center" vertical="top" wrapText="1"/>
    </xf>
    <xf numFmtId="0" fontId="32" fillId="0" borderId="0" xfId="0" applyNumberFormat="1" applyFont="1" applyFill="1" applyAlignment="1">
      <alignment horizontal="left" vertical="top" wrapText="1" indent="8"/>
    </xf>
    <xf numFmtId="0" fontId="32" fillId="0" borderId="0" xfId="0" applyNumberFormat="1" applyFont="1" applyFill="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Fill="1" applyAlignment="1">
      <alignment horizontal="center" vertical="top" wrapText="1"/>
    </xf>
    <xf numFmtId="174" fontId="112" fillId="0" borderId="0" xfId="0" applyFont="1" applyFill="1" applyAlignment="1">
      <alignment/>
    </xf>
    <xf numFmtId="174" fontId="32" fillId="0" borderId="0" xfId="0" applyFont="1" applyFill="1" applyAlignment="1">
      <alignment wrapText="1"/>
    </xf>
    <xf numFmtId="174" fontId="32" fillId="0" borderId="0" xfId="0" applyFont="1" applyFill="1" applyAlignment="1">
      <alignment horizontal="center"/>
    </xf>
    <xf numFmtId="174" fontId="32" fillId="0" borderId="0" xfId="0" applyFont="1" applyFill="1" applyBorder="1" applyAlignment="1">
      <alignment horizontal="center" vertical="top"/>
    </xf>
    <xf numFmtId="174" fontId="112" fillId="0" borderId="0" xfId="0" applyFont="1" applyAlignment="1">
      <alignment/>
    </xf>
    <xf numFmtId="0" fontId="32" fillId="0" borderId="0" xfId="0" applyNumberFormat="1" applyFont="1" applyFill="1" applyBorder="1" applyAlignment="1">
      <alignment/>
    </xf>
    <xf numFmtId="43" fontId="32" fillId="0" borderId="0" xfId="18" applyFont="1" applyFill="1" applyBorder="1" applyAlignment="1">
      <alignment horizontal="left"/>
    </xf>
    <xf numFmtId="0" fontId="32" fillId="0" borderId="0" xfId="0" applyNumberFormat="1" applyFont="1" applyFill="1" applyBorder="1" applyAlignment="1">
      <alignment wrapText="1"/>
    </xf>
    <xf numFmtId="174" fontId="33" fillId="0" borderId="0" xfId="0" applyFont="1" applyFill="1" applyAlignment="1">
      <alignment/>
    </xf>
    <xf numFmtId="49" fontId="32" fillId="0" borderId="0" xfId="0" applyNumberFormat="1" applyFont="1" applyFill="1" applyBorder="1"/>
    <xf numFmtId="49" fontId="32" fillId="0" borderId="0" xfId="0" applyNumberFormat="1" applyFont="1" applyFill="1" applyBorder="1" applyAlignment="1">
      <alignment horizontal="left"/>
    </xf>
    <xf numFmtId="3" fontId="33" fillId="0" borderId="0" xfId="0" applyNumberFormat="1" applyFont="1" applyFill="1" applyBorder="1" applyAlignment="1">
      <alignment horizontal="center"/>
    </xf>
    <xf numFmtId="0" fontId="33" fillId="0" borderId="0" xfId="0" applyNumberFormat="1" applyFont="1" applyFill="1" applyBorder="1" applyAlignment="1">
      <alignment horizontal="center"/>
    </xf>
    <xf numFmtId="174" fontId="33" fillId="0" borderId="0" xfId="0" applyFont="1" applyFill="1" applyBorder="1" applyAlignment="1">
      <alignment horizontal="center"/>
    </xf>
    <xf numFmtId="3" fontId="33" fillId="0" borderId="0" xfId="0" applyNumberFormat="1" applyFont="1" applyFill="1" applyBorder="1" applyAlignment="1">
      <alignment/>
    </xf>
    <xf numFmtId="0" fontId="33" fillId="0" borderId="0" xfId="0" applyNumberFormat="1" applyFont="1" applyFill="1" applyBorder="1" applyAlignment="1">
      <alignment/>
    </xf>
    <xf numFmtId="164" fontId="32" fillId="0" borderId="0" xfId="0" applyNumberFormat="1" applyFont="1" applyFill="1" applyBorder="1" applyAlignment="1">
      <alignment horizontal="left"/>
    </xf>
    <xf numFmtId="166" fontId="32" fillId="0" borderId="0" xfId="0" applyNumberFormat="1" applyFont="1" applyFill="1" applyBorder="1" applyAlignment="1">
      <alignment horizontal="center"/>
    </xf>
    <xf numFmtId="174" fontId="32" fillId="0" borderId="0" xfId="0" applyFont="1" applyAlignment="1">
      <alignment wrapText="1"/>
    </xf>
    <xf numFmtId="0" fontId="32" fillId="0" borderId="0" xfId="0" applyNumberFormat="1" applyFont="1" applyFill="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0" fontId="51" fillId="0" borderId="0" xfId="0" applyNumberFormat="1" applyFont="1" applyFill="1" applyAlignment="1">
      <alignment/>
    </xf>
    <xf numFmtId="178" fontId="0" fillId="32" borderId="0" xfId="18" applyNumberFormat="1" applyFont="1" applyFill="1" applyBorder="1" applyAlignment="1">
      <alignment/>
    </xf>
    <xf numFmtId="178" fontId="0" fillId="53" borderId="0" xfId="18" applyNumberFormat="1" applyFont="1" applyFill="1" applyBorder="1" applyAlignment="1">
      <alignment/>
    </xf>
    <xf numFmtId="178" fontId="98" fillId="53" borderId="0" xfId="18" applyNumberFormat="1" applyFont="1" applyFill="1" applyBorder="1" applyAlignment="1">
      <alignment/>
    </xf>
    <xf numFmtId="178" fontId="0" fillId="53" borderId="49" xfId="0" applyNumberFormat="1" applyFont="1" applyFill="1" applyBorder="1" applyAlignment="1">
      <alignment/>
    </xf>
    <xf numFmtId="0" fontId="2" fillId="32" borderId="0" xfId="177" applyFont="1" applyFill="1" applyAlignment="1">
      <alignment horizontal="left"/>
      <protection/>
    </xf>
    <xf numFmtId="175" fontId="32" fillId="32" borderId="0" xfId="16" applyNumberFormat="1" applyFont="1" applyFill="1" applyAlignment="1">
      <alignment/>
    </xf>
    <xf numFmtId="170" fontId="32" fillId="0" borderId="0" xfId="0" applyNumberFormat="1" applyFont="1" applyFill="1" applyAlignment="1">
      <alignment/>
    </xf>
    <xf numFmtId="175" fontId="107" fillId="32" borderId="0" xfId="16" applyNumberFormat="1" applyFont="1" applyFill="1" applyAlignment="1">
      <alignment/>
    </xf>
    <xf numFmtId="178" fontId="106" fillId="32" borderId="0" xfId="18" applyNumberFormat="1" applyFont="1" applyFill="1" applyAlignment="1">
      <alignment vertical="center"/>
    </xf>
    <xf numFmtId="170" fontId="51" fillId="0" borderId="0" xfId="0" applyNumberFormat="1" applyFont="1" applyFill="1" applyAlignment="1">
      <alignment horizontal="center" vertical="center"/>
    </xf>
    <xf numFmtId="186" fontId="32" fillId="0" borderId="0" xfId="0" applyNumberFormat="1" applyFont="1" applyAlignment="1">
      <alignment/>
    </xf>
    <xf numFmtId="178" fontId="2" fillId="0" borderId="0" xfId="18" applyNumberFormat="1" applyFont="1" applyBorder="1"/>
    <xf numFmtId="178" fontId="2" fillId="0" borderId="0" xfId="164" applyNumberFormat="1" applyFill="1" applyBorder="1">
      <alignment/>
      <protection/>
    </xf>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Fill="1" applyAlignment="1">
      <alignment vertical="top" wrapText="1"/>
    </xf>
    <xf numFmtId="0" fontId="106" fillId="0" borderId="0" xfId="0" applyNumberFormat="1" applyFont="1" applyAlignment="1">
      <alignment horizontal="right" vertical="top"/>
    </xf>
    <xf numFmtId="0" fontId="106" fillId="0" borderId="0" xfId="0" applyNumberFormat="1" applyFont="1" applyFill="1" applyAlignment="1">
      <alignment vertical="top" wrapText="1"/>
    </xf>
    <xf numFmtId="178" fontId="2" fillId="32" borderId="0" xfId="18" applyNumberFormat="1" applyFont="1" applyFill="1"/>
    <xf numFmtId="0" fontId="12" fillId="0" borderId="0" xfId="0" applyNumberFormat="1" applyFont="1" applyFill="1" applyAlignment="1">
      <alignment vertical="top" wrapText="1"/>
    </xf>
    <xf numFmtId="0" fontId="31" fillId="0" borderId="55" xfId="153" applyFont="1" applyFill="1" applyBorder="1">
      <alignment/>
      <protection/>
    </xf>
    <xf numFmtId="10" fontId="31" fillId="0" borderId="49" xfId="153" applyNumberFormat="1" applyFont="1" applyFill="1" applyBorder="1">
      <alignment/>
      <protection/>
    </xf>
    <xf numFmtId="170" fontId="12" fillId="0" borderId="0" xfId="18" applyNumberFormat="1" applyFont="1" applyFill="1" applyBorder="1" applyAlignment="1">
      <alignment/>
    </xf>
    <xf numFmtId="178" fontId="0" fillId="53" borderId="11" xfId="18" applyNumberFormat="1" applyFont="1" applyFill="1" applyBorder="1" applyAlignment="1">
      <alignment/>
    </xf>
    <xf numFmtId="170" fontId="0" fillId="53" borderId="49" xfId="0" applyNumberFormat="1" applyFont="1" applyFill="1" applyBorder="1" applyAlignment="1">
      <alignment/>
    </xf>
    <xf numFmtId="43" fontId="54" fillId="0" borderId="0" xfId="18" applyNumberFormat="1" applyFont="1" applyFill="1" applyAlignment="1">
      <alignment horizontal="center" vertical="center"/>
    </xf>
    <xf numFmtId="43" fontId="52" fillId="0" borderId="0" xfId="18" applyNumberFormat="1" applyFont="1" applyAlignment="1">
      <alignment horizontal="center" vertical="center"/>
    </xf>
    <xf numFmtId="43" fontId="52" fillId="0" borderId="11" xfId="18" applyNumberFormat="1" applyFont="1" applyBorder="1" applyAlignment="1">
      <alignment horizontal="center" vertical="center"/>
    </xf>
    <xf numFmtId="0" fontId="2" fillId="32" borderId="0" xfId="177" applyFont="1" applyFill="1" applyAlignment="1">
      <alignment horizontal="left"/>
      <protection/>
    </xf>
    <xf numFmtId="3" fontId="5" fillId="32" borderId="0" xfId="153" applyNumberFormat="1" applyFill="1" applyBorder="1">
      <alignment/>
      <protection/>
    </xf>
    <xf numFmtId="42" fontId="32" fillId="0" borderId="0" xfId="0" applyNumberFormat="1" applyFont="1" applyFill="1"/>
    <xf numFmtId="42" fontId="32" fillId="0" borderId="0" xfId="0" applyNumberFormat="1" applyFont="1"/>
    <xf numFmtId="178" fontId="51" fillId="0" borderId="0" xfId="18" applyNumberFormat="1" applyFont="1" applyFill="1" applyAlignment="1">
      <alignment horizontal="center" vertical="center"/>
    </xf>
    <xf numFmtId="178" fontId="12" fillId="32" borderId="2" xfId="18" applyNumberFormat="1" applyFont="1" applyFill="1" applyBorder="1"/>
    <xf numFmtId="174" fontId="12" fillId="0" borderId="0" xfId="0" applyFont="1" applyAlignment="1">
      <alignment horizontal="center"/>
    </xf>
    <xf numFmtId="174" fontId="12" fillId="32" borderId="0" xfId="0" applyFont="1" applyFill="1" applyAlignment="1">
      <alignment horizontal="left" vertical="top" wrapText="1"/>
    </xf>
    <xf numFmtId="1" fontId="12" fillId="32" borderId="0" xfId="0" applyNumberFormat="1" applyFont="1" applyFill="1" applyAlignment="1">
      <alignment horizontal="left"/>
    </xf>
    <xf numFmtId="174" fontId="12" fillId="0" borderId="0" xfId="0" applyFont="1"/>
    <xf numFmtId="174" fontId="12" fillId="32" borderId="0" xfId="0" applyFont="1" applyFill="1" applyAlignment="1">
      <alignment horizontal="left"/>
    </xf>
    <xf numFmtId="174" fontId="5" fillId="32" borderId="0" xfId="0" applyFont="1" applyFill="1" applyAlignment="1">
      <alignment horizontal="left" wrapText="1"/>
    </xf>
    <xf numFmtId="174" fontId="12" fillId="32" borderId="0" xfId="0" applyFont="1" applyFill="1" applyAlignment="1">
      <alignment horizontal="left" wrapText="1"/>
    </xf>
    <xf numFmtId="178" fontId="12" fillId="32" borderId="0" xfId="18" applyNumberFormat="1" applyFont="1" applyFill="1"/>
    <xf numFmtId="178" fontId="12" fillId="32" borderId="0" xfId="18" applyNumberFormat="1" applyFont="1" applyFill="1" applyBorder="1" applyAlignment="1">
      <alignment/>
    </xf>
    <xf numFmtId="178" fontId="12" fillId="0" borderId="0" xfId="15" applyNumberFormat="1" applyFont="1" applyFill="1" applyBorder="1" applyAlignment="1">
      <alignment/>
    </xf>
    <xf numFmtId="178" fontId="5" fillId="0" borderId="11" xfId="18" applyNumberFormat="1" applyFont="1" applyFill="1" applyBorder="1" applyAlignment="1">
      <alignment/>
    </xf>
    <xf numFmtId="178" fontId="12" fillId="0" borderId="0" xfId="18" applyNumberFormat="1" applyFont="1" applyFill="1" applyBorder="1" applyAlignment="1">
      <alignment horizontal="center"/>
    </xf>
    <xf numFmtId="170" fontId="128" fillId="55" borderId="0" xfId="0" applyNumberFormat="1" applyFont="1" applyFill="1" applyAlignment="1">
      <alignment horizontal="center" vertical="center"/>
    </xf>
    <xf numFmtId="3" fontId="31" fillId="32" borderId="0" xfId="194" applyNumberFormat="1" applyFont="1" applyFill="1">
      <alignment/>
      <protection/>
    </xf>
    <xf numFmtId="37" fontId="5" fillId="32" borderId="0" xfId="170" applyNumberFormat="1" applyFill="1">
      <alignment/>
      <protection/>
    </xf>
    <xf numFmtId="0" fontId="5" fillId="32" borderId="0" xfId="170" applyFill="1">
      <alignment/>
      <protection/>
    </xf>
    <xf numFmtId="174" fontId="52" fillId="0" borderId="0" xfId="0" applyFont="1" applyAlignment="1">
      <alignment vertical="center" wrapText="1"/>
    </xf>
    <xf numFmtId="14" fontId="129" fillId="0" borderId="0" xfId="153" applyNumberFormat="1" applyFont="1" applyBorder="1" applyAlignment="1" quotePrefix="1">
      <alignment horizontal="center"/>
      <protection/>
    </xf>
    <xf numFmtId="14" fontId="5" fillId="0" borderId="0" xfId="153" applyNumberFormat="1" applyBorder="1" applyAlignment="1">
      <alignment horizontal="center"/>
      <protection/>
    </xf>
    <xf numFmtId="175" fontId="129" fillId="32" borderId="0" xfId="194" applyNumberFormat="1" applyFont="1" applyFill="1">
      <alignment/>
      <protection/>
    </xf>
    <xf numFmtId="164" fontId="129" fillId="32" borderId="0" xfId="15" applyNumberFormat="1" applyFont="1" applyFill="1" applyBorder="1"/>
    <xf numFmtId="175" fontId="129" fillId="32" borderId="0" xfId="154" applyNumberFormat="1" applyFont="1" applyFill="1" applyBorder="1" applyAlignment="1">
      <alignment horizontal="center"/>
    </xf>
    <xf numFmtId="175" fontId="129" fillId="32" borderId="0" xfId="154" applyNumberFormat="1" applyFont="1" applyFill="1" applyBorder="1"/>
    <xf numFmtId="0" fontId="129" fillId="32" borderId="0" xfId="153" applyFont="1" applyFill="1" applyBorder="1" applyAlignment="1">
      <alignment horizontal="center"/>
      <protection/>
    </xf>
    <xf numFmtId="3" fontId="129" fillId="32" borderId="0" xfId="18" applyNumberFormat="1" applyFont="1" applyFill="1" applyBorder="1" applyAlignment="1">
      <alignment horizontal="center" vertical="center"/>
    </xf>
    <xf numFmtId="0" fontId="5" fillId="32" borderId="0" xfId="247" applyFill="1">
      <alignment/>
      <protection/>
    </xf>
    <xf numFmtId="174" fontId="32" fillId="0" borderId="0" xfId="0" applyNumberFormat="1" applyFont="1" applyFill="1" applyBorder="1" applyAlignment="1" applyProtection="1">
      <alignment/>
      <protection locked="0"/>
    </xf>
    <xf numFmtId="174" fontId="5" fillId="32" borderId="10" xfId="0" applyFont="1" applyFill="1" applyBorder="1" applyAlignment="1">
      <alignment/>
    </xf>
    <xf numFmtId="174" fontId="65" fillId="32" borderId="0" xfId="0" applyFont="1" applyFill="1" applyAlignment="1">
      <alignment horizontal="center" vertical="center" wrapText="1"/>
    </xf>
    <xf numFmtId="0" fontId="2" fillId="32" borderId="11" xfId="177" applyFont="1" applyFill="1" applyBorder="1" applyAlignment="1">
      <alignment horizontal="center"/>
      <protection/>
    </xf>
    <xf numFmtId="175" fontId="32" fillId="32" borderId="0" xfId="0" applyNumberFormat="1" applyFont="1" applyFill="1" applyBorder="1" applyAlignment="1">
      <alignment/>
    </xf>
    <xf numFmtId="170" fontId="0" fillId="0" borderId="27" xfId="0" applyNumberFormat="1" applyBorder="1" applyAlignment="1">
      <alignment/>
    </xf>
    <xf numFmtId="0" fontId="5" fillId="0" borderId="25" xfId="153" applyFont="1" applyBorder="1" quotePrefix="1">
      <alignment/>
      <protection/>
    </xf>
    <xf numFmtId="0" fontId="5" fillId="0" borderId="25" xfId="153" applyFont="1" applyBorder="1" applyAlignment="1" quotePrefix="1">
      <alignment horizontal="center"/>
      <protection/>
    </xf>
    <xf numFmtId="1" fontId="129" fillId="32" borderId="0" xfId="153" applyNumberFormat="1" applyFont="1" applyFill="1" applyBorder="1" applyAlignment="1">
      <alignment horizontal="center"/>
      <protection/>
    </xf>
    <xf numFmtId="0" fontId="2" fillId="32" borderId="0" xfId="177" applyFont="1" applyFill="1" applyAlignment="1">
      <alignment horizontal="left"/>
      <protection/>
    </xf>
    <xf numFmtId="174" fontId="64" fillId="0" borderId="0" xfId="0" applyFont="1" applyFill="1" applyAlignment="1">
      <alignment vertical="center"/>
    </xf>
    <xf numFmtId="174" fontId="130" fillId="0" borderId="0" xfId="0" applyFont="1" applyFill="1" applyAlignment="1">
      <alignment horizontal="center" vertical="center"/>
    </xf>
    <xf numFmtId="174" fontId="51" fillId="0" borderId="0" xfId="0" applyFont="1" applyFill="1" applyAlignment="1">
      <alignment vertical="center" wrapText="1"/>
    </xf>
    <xf numFmtId="174" fontId="132" fillId="0" borderId="0" xfId="0" applyFont="1" applyFill="1" applyAlignment="1">
      <alignment vertical="center"/>
    </xf>
    <xf numFmtId="174" fontId="51" fillId="0" borderId="0" xfId="0" applyFont="1" applyFill="1" applyAlignment="1">
      <alignment/>
    </xf>
    <xf numFmtId="174" fontId="131" fillId="0" borderId="0" xfId="0" applyFont="1" applyFill="1" applyAlignment="1">
      <alignment/>
    </xf>
    <xf numFmtId="174" fontId="55" fillId="0" borderId="0" xfId="0" applyFont="1" applyFill="1" applyAlignment="1">
      <alignment/>
    </xf>
    <xf numFmtId="170" fontId="0" fillId="0" borderId="0" xfId="0" applyNumberFormat="1" applyFont="1" applyBorder="1" applyAlignment="1">
      <alignment/>
    </xf>
    <xf numFmtId="170" fontId="0" fillId="0" borderId="0" xfId="0" applyNumberFormat="1" applyBorder="1" applyAlignment="1">
      <alignment/>
    </xf>
    <xf numFmtId="178" fontId="32" fillId="0" borderId="0" xfId="0" applyNumberFormat="1" applyFont="1" applyFill="1"/>
    <xf numFmtId="0" fontId="35" fillId="0" borderId="0" xfId="0" applyNumberFormat="1" applyFont="1" applyBorder="1" applyAlignment="1">
      <alignment horizontal="center"/>
    </xf>
    <xf numFmtId="0" fontId="32" fillId="0" borderId="0" xfId="0" applyNumberFormat="1" applyFont="1" applyFill="1" applyAlignment="1">
      <alignment vertical="top" wrapText="1"/>
    </xf>
    <xf numFmtId="0" fontId="32" fillId="0" borderId="0" xfId="0" applyNumberFormat="1" applyFont="1" applyFill="1" applyBorder="1" applyAlignment="1">
      <alignment horizontal="left"/>
    </xf>
    <xf numFmtId="0" fontId="32" fillId="0" borderId="0" xfId="0" applyNumberFormat="1" applyFont="1" applyFill="1" applyAlignment="1">
      <alignment vertical="top" wrapText="1"/>
    </xf>
    <xf numFmtId="0" fontId="32" fillId="0" borderId="0" xfId="0" applyNumberFormat="1" applyFont="1" applyFill="1" applyBorder="1" applyAlignment="1">
      <alignment horizontal="left" wrapText="1"/>
    </xf>
    <xf numFmtId="174" fontId="32" fillId="0" borderId="0" xfId="0" applyFont="1" applyFill="1" applyAlignment="1">
      <alignment vertical="top" wrapText="1"/>
    </xf>
    <xf numFmtId="174" fontId="32" fillId="0" borderId="0" xfId="0" applyFont="1" applyFill="1" applyAlignment="1">
      <alignment/>
    </xf>
    <xf numFmtId="0" fontId="32" fillId="0" borderId="0" xfId="0" applyNumberFormat="1" applyFont="1" applyFill="1" applyAlignment="1">
      <alignment horizontal="left" vertical="top" wrapText="1"/>
    </xf>
    <xf numFmtId="0" fontId="32" fillId="0" borderId="0" xfId="0" applyNumberFormat="1" applyFont="1" applyFill="1" applyAlignment="1">
      <alignment horizontal="left" vertical="top" wrapText="1"/>
    </xf>
    <xf numFmtId="174" fontId="32" fillId="0" borderId="0" xfId="0" applyFont="1" applyFill="1" applyAlignment="1">
      <alignment horizontal="left" vertical="top" wrapText="1"/>
    </xf>
    <xf numFmtId="0" fontId="32" fillId="0" borderId="0" xfId="0" applyNumberFormat="1" applyFont="1" applyFill="1" applyBorder="1" applyAlignment="1">
      <alignment horizontal="left" vertical="top" wrapText="1"/>
    </xf>
    <xf numFmtId="0" fontId="32" fillId="0" borderId="0" xfId="99" applyFont="1" applyFill="1" applyAlignment="1">
      <alignment horizontal="left" wrapText="1"/>
      <protection/>
    </xf>
    <xf numFmtId="0" fontId="32" fillId="0" borderId="0" xfId="99" applyFont="1" applyFill="1" applyAlignment="1">
      <alignment horizontal="left"/>
      <protection/>
    </xf>
    <xf numFmtId="0" fontId="32" fillId="0" borderId="0" xfId="99" applyFont="1" applyAlignment="1">
      <alignment horizontal="left" wrapText="1"/>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Fill="1" applyAlignment="1">
      <alignment horizontal="left" vertical="top" wrapText="1"/>
    </xf>
    <xf numFmtId="0" fontId="51" fillId="0" borderId="0" xfId="0" applyNumberFormat="1" applyFont="1" applyFill="1" applyAlignment="1">
      <alignment horizontal="left" vertical="top" wrapText="1"/>
    </xf>
    <xf numFmtId="174" fontId="51" fillId="0" borderId="0" xfId="0" applyFont="1" applyAlignment="1">
      <alignment horizontal="left" vertical="top" wrapText="1"/>
    </xf>
    <xf numFmtId="174" fontId="51" fillId="0" borderId="0" xfId="0" applyFont="1" applyFill="1" applyAlignment="1">
      <alignment horizontal="left" vertical="top" wrapText="1"/>
    </xf>
    <xf numFmtId="174" fontId="51" fillId="0" borderId="0" xfId="0" applyFont="1" applyAlignment="1">
      <alignment horizontal="left" vertical="center"/>
    </xf>
    <xf numFmtId="0" fontId="95" fillId="40" borderId="36" xfId="164" applyFont="1" applyFill="1" applyBorder="1" applyAlignment="1">
      <alignment horizontal="center"/>
      <protection/>
    </xf>
    <xf numFmtId="0" fontId="95" fillId="40" borderId="56" xfId="164" applyFont="1" applyFill="1" applyBorder="1" applyAlignment="1">
      <alignment horizontal="center"/>
      <protection/>
    </xf>
    <xf numFmtId="0" fontId="95" fillId="40" borderId="37" xfId="164" applyFont="1" applyFill="1" applyBorder="1" applyAlignment="1">
      <alignment horizontal="center"/>
      <protection/>
    </xf>
    <xf numFmtId="0" fontId="95" fillId="32" borderId="36" xfId="164" applyFont="1" applyFill="1" applyBorder="1" applyAlignment="1">
      <alignment horizontal="center"/>
      <protection/>
    </xf>
    <xf numFmtId="0" fontId="95" fillId="32" borderId="37" xfId="164" applyFont="1" applyFill="1" applyBorder="1" applyAlignment="1">
      <alignment horizontal="center"/>
      <protection/>
    </xf>
    <xf numFmtId="0" fontId="104" fillId="0" borderId="0" xfId="170" applyFont="1" applyFill="1" applyAlignment="1">
      <alignment horizontal="center"/>
      <protection/>
    </xf>
    <xf numFmtId="174" fontId="51" fillId="0" borderId="0" xfId="0" applyFont="1" applyAlignment="1">
      <alignment horizontal="left" vertical="center" wrapText="1"/>
    </xf>
    <xf numFmtId="0" fontId="5" fillId="0" borderId="0" xfId="145" applyFont="1" applyFill="1" applyAlignment="1">
      <alignment horizontal="left" vertical="top" wrapText="1"/>
      <protection/>
    </xf>
    <xf numFmtId="0" fontId="67" fillId="0" borderId="0" xfId="145" applyFont="1" applyFill="1" applyAlignment="1">
      <alignment horizontal="left" vertical="top" wrapText="1"/>
      <protection/>
    </xf>
    <xf numFmtId="0" fontId="5" fillId="0" borderId="0" xfId="153" applyBorder="1" applyAlignment="1">
      <alignment horizontal="center"/>
      <protection/>
    </xf>
    <xf numFmtId="49" fontId="7"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174" fontId="12" fillId="0" borderId="0" xfId="0" applyFont="1" applyFill="1" applyBorder="1" applyAlignment="1">
      <alignment horizontal="left" wrapText="1"/>
    </xf>
    <xf numFmtId="174" fontId="12" fillId="0" borderId="26" xfId="0" applyFont="1" applyFill="1" applyBorder="1" applyAlignment="1">
      <alignment horizontal="center"/>
    </xf>
    <xf numFmtId="174" fontId="12" fillId="0" borderId="2" xfId="0" applyFont="1" applyFill="1" applyBorder="1" applyAlignment="1">
      <alignment horizontal="center"/>
    </xf>
    <xf numFmtId="174" fontId="12" fillId="0" borderId="35" xfId="0" applyFont="1" applyFill="1" applyBorder="1" applyAlignment="1">
      <alignment horizontal="center"/>
    </xf>
    <xf numFmtId="174" fontId="12" fillId="0" borderId="0" xfId="0" applyFont="1" applyFill="1" applyBorder="1" applyAlignment="1">
      <alignment horizontal="left"/>
    </xf>
    <xf numFmtId="174" fontId="7" fillId="0" borderId="0" xfId="0" applyFont="1" applyFill="1" applyBorder="1" applyAlignment="1">
      <alignment horizontal="center"/>
    </xf>
    <xf numFmtId="3" fontId="12" fillId="0" borderId="0" xfId="0" applyNumberFormat="1" applyFont="1" applyFill="1" applyBorder="1" applyAlignment="1" applyProtection="1">
      <alignment horizontal="center"/>
      <protection locked="0"/>
    </xf>
    <xf numFmtId="174" fontId="33" fillId="0" borderId="0" xfId="0" applyFont="1" applyFill="1" applyBorder="1" applyAlignment="1">
      <alignment horizontal="center"/>
    </xf>
    <xf numFmtId="3" fontId="32" fillId="0" borderId="0" xfId="0"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Fill="1" applyAlignment="1" applyProtection="1">
      <alignment horizontal="center"/>
      <protection locked="0"/>
    </xf>
    <xf numFmtId="174" fontId="32" fillId="0" borderId="0" xfId="0" applyFont="1" applyFill="1" applyAlignment="1">
      <alignment horizontal="left" vertical="top" wrapText="1"/>
    </xf>
    <xf numFmtId="0" fontId="106" fillId="0" borderId="0" xfId="0" applyNumberFormat="1" applyFont="1" applyFill="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174" fontId="52" fillId="0" borderId="0" xfId="0" applyFont="1" applyAlignment="1">
      <alignment horizontal="left" vertical="top" wrapText="1"/>
    </xf>
    <xf numFmtId="0" fontId="106" fillId="0" borderId="0" xfId="0" applyNumberFormat="1" applyFont="1" applyFill="1" applyAlignment="1">
      <alignment vertical="top" wrapText="1"/>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34">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2 3 2" xfId="24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36" Type="http://schemas.openxmlformats.org/officeDocument/2006/relationships/externalLink" Target="externalLinks/externalLink5.xml" /><Relationship Id="rId38" Type="http://schemas.openxmlformats.org/officeDocument/2006/relationships/externalLink" Target="externalLinks/externalLink7.xml" /><Relationship Id="rId39" Type="http://schemas.openxmlformats.org/officeDocument/2006/relationships/calcChain" Target="calcChain.xml" /><Relationship Id="rId34" Type="http://schemas.openxmlformats.org/officeDocument/2006/relationships/externalLink" Target="externalLinks/externalLink3.xml" /><Relationship Id="rId35" Type="http://schemas.openxmlformats.org/officeDocument/2006/relationships/externalLink" Target="externalLinks/externalLink4.xml" /><Relationship Id="rId6" Type="http://schemas.openxmlformats.org/officeDocument/2006/relationships/worksheet" Target="worksheets/sheet5.xml" /><Relationship Id="rId37" Type="http://schemas.openxmlformats.org/officeDocument/2006/relationships/externalLink" Target="externalLinks/externalLink6.xml" /><Relationship Id="rId5" Type="http://schemas.openxmlformats.org/officeDocument/2006/relationships/worksheet" Target="worksheets/sheet4.xml" /><Relationship Id="rId31" Type="http://schemas.openxmlformats.org/officeDocument/2006/relationships/sharedStrings" Target="sharedStrings.xml" /><Relationship Id="rId4" Type="http://schemas.openxmlformats.org/officeDocument/2006/relationships/worksheet" Target="worksheets/sheet3.xml" /><Relationship Id="rId33" Type="http://schemas.openxmlformats.org/officeDocument/2006/relationships/externalLink" Target="externalLinks/externalLink2.xml" /><Relationship Id="rId27" Type="http://schemas.openxmlformats.org/officeDocument/2006/relationships/worksheet" Target="worksheets/sheet26.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30" Type="http://schemas.openxmlformats.org/officeDocument/2006/relationships/styles" Target="styles.xml" /><Relationship Id="rId21" Type="http://schemas.openxmlformats.org/officeDocument/2006/relationships/worksheet" Target="worksheets/sheet20.xml" /><Relationship Id="rId32" Type="http://schemas.openxmlformats.org/officeDocument/2006/relationships/externalLink" Target="externalLinks/externalLink1.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worksheet" Target="worksheets/sheet23.xml" /><Relationship Id="rId14" Type="http://schemas.openxmlformats.org/officeDocument/2006/relationships/worksheet" Target="worksheets/sheet13.xml" /><Relationship Id="rId28" Type="http://schemas.openxmlformats.org/officeDocument/2006/relationships/worksheet" Target="worksheets/sheet27.xml" /><Relationship Id="rId29" Type="http://schemas.openxmlformats.org/officeDocument/2006/relationships/worksheet" Target="worksheets/sheet28.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worksheet" Target="worksheets/sheet24.xml" /><Relationship Id="rId26" Type="http://schemas.openxmlformats.org/officeDocument/2006/relationships/worksheet" Target="worksheets/sheet25.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U:\2002\TRANS\2001\SUPPORT-PACKAGES\DPLG-APRIL2001-TRANSCHECKOUT.xls"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Last%20File%20Schedules%20(version%201).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U:\tariffs\2000\formula%20rates\NSP%20xcelcoss%20miso.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printerSettings" Target="../printerSettings/printerSettings8.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16.bin" /><Relationship Id="rId1" Type="http://schemas.openxmlformats.org/officeDocument/2006/relationships/printerSettings" Target="../printerSettings/printerSettings15.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18.bin" /><Relationship Id="rId1" Type="http://schemas.openxmlformats.org/officeDocument/2006/relationships/printerSettings" Target="../printerSettings/printerSettings17.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printerSettings" Target="../printerSettings/printerSettings21.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25.bin" /><Relationship Id="rId1" Type="http://schemas.openxmlformats.org/officeDocument/2006/relationships/printerSettings" Target="../printerSettings/printerSettings24.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80" zoomScaleNormal="80" zoomScaleSheetLayoutView="80" workbookViewId="0" topLeftCell="A1"/>
  </sheetViews>
  <sheetFormatPr defaultColWidth="8.88555555555556" defaultRowHeight="15.75"/>
  <cols>
    <col min="1" max="1" width="5.77777777777778" style="863" bestFit="1" customWidth="1"/>
    <col min="2" max="2" width="36.6666666666667" style="863" customWidth="1"/>
    <col min="3" max="3" width="47" style="863" customWidth="1"/>
    <col min="4" max="4" width="24.8888888888889" style="863" customWidth="1"/>
    <col min="5" max="5" width="10.3333333333333" style="863" customWidth="1"/>
    <col min="6" max="6" width="11.5555555555556" style="863" customWidth="1"/>
    <col min="7" max="7" width="9.88888888888889" style="863" customWidth="1"/>
    <col min="8" max="8" width="4.11111111111111" style="863" customWidth="1"/>
    <col min="9" max="9" width="16" style="863" customWidth="1"/>
    <col min="10" max="10" width="15.3333333333333" style="863" bestFit="1" customWidth="1"/>
    <col min="11" max="11" width="33.2222222222222" style="863" bestFit="1" customWidth="1"/>
    <col min="12" max="12" width="15.5555555555556" style="1076" customWidth="1"/>
    <col min="13" max="13" width="10.7777777777778" style="863" customWidth="1"/>
    <col min="14" max="14" width="13.6666666666667" style="863" bestFit="1" customWidth="1"/>
    <col min="15" max="15" width="10.5555555555556" style="863" customWidth="1"/>
    <col min="16" max="16384" width="8.88888888888889" style="863"/>
  </cols>
  <sheetData>
    <row r="1" spans="2:14" ht="16.5" customHeight="1">
      <c r="B1" s="864"/>
      <c r="C1" s="864"/>
      <c r="D1" s="865"/>
      <c r="E1" s="864"/>
      <c r="F1" s="864"/>
      <c r="G1" s="864"/>
      <c r="H1" s="866"/>
      <c r="I1" s="866"/>
      <c r="K1" s="867" t="s">
        <v>621</v>
      </c>
      <c r="L1" s="866"/>
      <c r="M1" s="866"/>
      <c r="N1" s="866"/>
    </row>
    <row r="2" spans="2:14" ht="16.5" customHeight="1">
      <c r="B2" s="864"/>
      <c r="C2" s="864"/>
      <c r="D2" s="865"/>
      <c r="E2" s="864"/>
      <c r="F2" s="864"/>
      <c r="G2" s="864"/>
      <c r="H2" s="866"/>
      <c r="I2" s="866"/>
      <c r="J2" s="866"/>
      <c r="K2" s="867" t="s">
        <v>0</v>
      </c>
      <c r="L2" s="866"/>
      <c r="M2" s="866"/>
      <c r="N2" s="866"/>
    </row>
    <row r="3" spans="2:14" ht="16.5" customHeight="1">
      <c r="B3" s="864"/>
      <c r="C3" s="864"/>
      <c r="D3" s="865"/>
      <c r="E3" s="864"/>
      <c r="F3" s="864"/>
      <c r="G3" s="864"/>
      <c r="H3" s="866"/>
      <c r="I3" s="866"/>
      <c r="J3" s="866"/>
      <c r="K3" s="866"/>
      <c r="L3" s="866"/>
      <c r="M3" s="866"/>
      <c r="N3" s="866"/>
    </row>
    <row r="4" spans="2:14" ht="15.75">
      <c r="B4" s="864" t="s">
        <v>1</v>
      </c>
      <c r="C4" s="864"/>
      <c r="D4" s="865" t="s">
        <v>2</v>
      </c>
      <c r="E4" s="864"/>
      <c r="F4" s="864"/>
      <c r="G4" s="864"/>
      <c r="H4" s="868"/>
      <c r="I4" s="869"/>
      <c r="J4" s="868"/>
      <c r="K4" s="1078" t="s">
        <v>1269</v>
      </c>
      <c r="L4" s="866"/>
      <c r="M4" s="866"/>
      <c r="N4" s="866"/>
    </row>
    <row r="5" spans="2:14" ht="15.75">
      <c r="B5" s="864"/>
      <c r="C5" s="870"/>
      <c r="D5" s="871" t="s">
        <v>4</v>
      </c>
      <c r="E5" s="871"/>
      <c r="F5" s="871"/>
      <c r="G5" s="871"/>
      <c r="H5" s="866"/>
      <c r="I5" s="866"/>
      <c r="J5" s="866"/>
      <c r="K5" s="866"/>
      <c r="L5" s="866"/>
      <c r="M5" s="866"/>
      <c r="N5" s="866"/>
    </row>
    <row r="6" spans="2:14" ht="15.75">
      <c r="B6" s="866"/>
      <c r="C6" s="866"/>
      <c r="D6" s="866"/>
      <c r="E6" s="866"/>
      <c r="F6" s="866"/>
      <c r="G6" s="866"/>
      <c r="H6" s="866"/>
      <c r="I6" s="866"/>
      <c r="J6" s="866"/>
      <c r="K6" s="866"/>
      <c r="L6" s="866"/>
      <c r="M6" s="866"/>
      <c r="N6" s="866"/>
    </row>
    <row r="7" spans="1:14" ht="15.75">
      <c r="A7" s="872"/>
      <c r="B7" s="866"/>
      <c r="C7" s="866"/>
      <c r="D7" s="873" t="s">
        <v>885</v>
      </c>
      <c r="E7" s="866"/>
      <c r="F7" s="866"/>
      <c r="G7" s="866"/>
      <c r="H7" s="866"/>
      <c r="I7" s="866"/>
      <c r="J7" s="866"/>
      <c r="K7" s="866"/>
      <c r="L7" s="866"/>
      <c r="M7" s="866"/>
      <c r="N7" s="866"/>
    </row>
    <row r="8" spans="1:14" ht="15.75">
      <c r="A8" s="872"/>
      <c r="B8" s="872" t="s">
        <v>22</v>
      </c>
      <c r="C8" s="872" t="s">
        <v>23</v>
      </c>
      <c r="D8" s="872" t="s">
        <v>24</v>
      </c>
      <c r="E8" s="871" t="s">
        <v>3</v>
      </c>
      <c r="F8" s="871"/>
      <c r="G8" s="874" t="s">
        <v>25</v>
      </c>
      <c r="H8" s="871"/>
      <c r="I8" s="875" t="s">
        <v>26</v>
      </c>
      <c r="J8" s="866"/>
      <c r="K8" s="866"/>
      <c r="L8" s="866"/>
      <c r="M8" s="866"/>
      <c r="N8" s="866"/>
    </row>
    <row r="9" spans="1:14" ht="15.75">
      <c r="A9" s="872" t="s">
        <v>5</v>
      </c>
      <c r="B9" s="866"/>
      <c r="C9" s="866"/>
      <c r="D9" s="876"/>
      <c r="E9" s="866"/>
      <c r="F9" s="866"/>
      <c r="G9" s="866"/>
      <c r="H9" s="866"/>
      <c r="I9" s="872" t="s">
        <v>6</v>
      </c>
      <c r="J9" s="866"/>
      <c r="K9" s="866"/>
      <c r="L9" s="866"/>
      <c r="M9" s="866"/>
      <c r="N9" s="866"/>
    </row>
    <row r="10" spans="1:14" ht="16.5" thickBot="1">
      <c r="A10" s="877" t="s">
        <v>7</v>
      </c>
      <c r="B10" s="866"/>
      <c r="C10" s="866"/>
      <c r="D10" s="866"/>
      <c r="E10" s="866"/>
      <c r="F10" s="866"/>
      <c r="G10" s="872"/>
      <c r="H10" s="866"/>
      <c r="I10" s="877" t="s">
        <v>8</v>
      </c>
      <c r="J10" s="866"/>
      <c r="K10" s="878"/>
      <c r="L10" s="866"/>
      <c r="M10" s="866"/>
      <c r="N10" s="866"/>
    </row>
    <row r="11" spans="1:14" ht="15.75">
      <c r="A11" s="872">
        <v>1</v>
      </c>
      <c r="B11" s="866" t="s">
        <v>838</v>
      </c>
      <c r="C11" s="866"/>
      <c r="D11" s="879"/>
      <c r="E11" s="866"/>
      <c r="F11" s="866"/>
      <c r="G11" s="866"/>
      <c r="H11" s="866"/>
      <c r="I11" s="880">
        <f>I187</f>
        <v>283835037.76254606</v>
      </c>
      <c r="J11" s="866"/>
      <c r="K11" s="881"/>
      <c r="L11" s="866"/>
      <c r="M11" s="866"/>
      <c r="N11" s="866"/>
    </row>
    <row r="12" spans="1:14" ht="15.75">
      <c r="A12" s="872"/>
      <c r="B12" s="866"/>
      <c r="C12" s="866"/>
      <c r="D12" s="866"/>
      <c r="E12" s="866"/>
      <c r="F12" s="866"/>
      <c r="G12" s="882"/>
      <c r="H12" s="866"/>
      <c r="I12" s="879"/>
      <c r="J12" s="866"/>
      <c r="K12" s="881"/>
      <c r="L12" s="866"/>
      <c r="M12" s="866"/>
      <c r="N12" s="866"/>
    </row>
    <row r="13" spans="1:14" ht="16.5" thickBot="1">
      <c r="A13" s="872" t="s">
        <v>3</v>
      </c>
      <c r="B13" s="864" t="s">
        <v>114</v>
      </c>
      <c r="C13" s="870" t="s">
        <v>9</v>
      </c>
      <c r="D13" s="877" t="s">
        <v>10</v>
      </c>
      <c r="E13" s="871"/>
      <c r="F13" s="883" t="s">
        <v>11</v>
      </c>
      <c r="G13" s="883"/>
      <c r="H13" s="866"/>
      <c r="I13" s="879"/>
      <c r="J13" s="866"/>
      <c r="K13" s="881"/>
      <c r="L13" s="866"/>
      <c r="M13" s="866"/>
      <c r="N13" s="866"/>
    </row>
    <row r="14" spans="1:14" ht="15.75">
      <c r="A14" s="884">
        <v>2</v>
      </c>
      <c r="B14" s="885" t="s">
        <v>539</v>
      </c>
      <c r="C14" s="871" t="s">
        <v>585</v>
      </c>
      <c r="D14" s="886">
        <f>I260</f>
        <v>130758</v>
      </c>
      <c r="E14" s="871"/>
      <c r="F14" s="871" t="s">
        <v>13</v>
      </c>
      <c r="G14" s="887">
        <f>I216</f>
        <v>1</v>
      </c>
      <c r="H14" s="866"/>
      <c r="I14" s="888">
        <f t="shared" si="0" ref="I14:I18">+G14*D14</f>
        <v>130758</v>
      </c>
      <c r="J14" s="866"/>
      <c r="K14" s="881"/>
      <c r="L14" s="866"/>
      <c r="M14" s="866"/>
      <c r="N14" s="866"/>
    </row>
    <row r="15" spans="1:14" ht="15.75">
      <c r="A15" s="884">
        <v>3</v>
      </c>
      <c r="B15" s="885" t="s">
        <v>12</v>
      </c>
      <c r="C15" s="871" t="s">
        <v>586</v>
      </c>
      <c r="D15" s="889">
        <f>I262</f>
        <v>3761086</v>
      </c>
      <c r="E15" s="871"/>
      <c r="F15" s="871" t="s">
        <v>13</v>
      </c>
      <c r="G15" s="887">
        <f>I216</f>
        <v>1</v>
      </c>
      <c r="H15" s="871"/>
      <c r="I15" s="888">
        <f t="shared" si="0"/>
        <v>3761086</v>
      </c>
      <c r="J15" s="890"/>
      <c r="K15" s="881"/>
      <c r="L15" s="866"/>
      <c r="M15" s="866"/>
      <c r="N15" s="866"/>
    </row>
    <row r="16" spans="1:14" ht="15.75">
      <c r="A16" s="884">
        <v>4</v>
      </c>
      <c r="B16" s="885" t="s">
        <v>600</v>
      </c>
      <c r="C16" s="871" t="s">
        <v>587</v>
      </c>
      <c r="D16" s="889">
        <f>I264</f>
        <v>3437538</v>
      </c>
      <c r="E16" s="871"/>
      <c r="F16" s="871" t="str">
        <f t="shared" si="1" ref="F16:G18">+F15</f>
        <v>TP</v>
      </c>
      <c r="G16" s="887">
        <f t="shared" si="1"/>
        <v>1</v>
      </c>
      <c r="H16" s="871"/>
      <c r="I16" s="888">
        <f t="shared" si="0"/>
        <v>3437538</v>
      </c>
      <c r="J16" s="891"/>
      <c r="K16" s="881"/>
      <c r="L16" s="866"/>
      <c r="M16" s="866"/>
      <c r="N16" s="866"/>
    </row>
    <row r="17" spans="1:14" ht="15.75">
      <c r="A17" s="872">
        <v>5</v>
      </c>
      <c r="B17" s="892" t="s">
        <v>14</v>
      </c>
      <c r="C17" s="871"/>
      <c r="D17" s="893">
        <v>0</v>
      </c>
      <c r="E17" s="871"/>
      <c r="F17" s="871" t="str">
        <f t="shared" si="1"/>
        <v>TP</v>
      </c>
      <c r="G17" s="887">
        <f t="shared" si="1"/>
        <v>1</v>
      </c>
      <c r="H17" s="871"/>
      <c r="I17" s="888">
        <f t="shared" si="0"/>
        <v>0</v>
      </c>
      <c r="J17" s="891"/>
      <c r="K17" s="881"/>
      <c r="L17" s="871"/>
      <c r="N17" s="866"/>
    </row>
    <row r="18" spans="1:14" ht="15.75">
      <c r="A18" s="872">
        <v>6</v>
      </c>
      <c r="B18" s="892" t="s">
        <v>15</v>
      </c>
      <c r="C18" s="871"/>
      <c r="D18" s="893">
        <v>0</v>
      </c>
      <c r="E18" s="871"/>
      <c r="F18" s="871" t="str">
        <f t="shared" si="1"/>
        <v>TP</v>
      </c>
      <c r="G18" s="887">
        <f t="shared" si="1"/>
        <v>1</v>
      </c>
      <c r="H18" s="871"/>
      <c r="I18" s="888">
        <f t="shared" si="0"/>
        <v>0</v>
      </c>
      <c r="J18" s="891"/>
      <c r="K18" s="881"/>
      <c r="L18" s="871"/>
      <c r="N18" s="866"/>
    </row>
    <row r="19" spans="1:14" ht="18">
      <c r="A19" s="872">
        <v>7</v>
      </c>
      <c r="B19" s="892" t="s">
        <v>580</v>
      </c>
      <c r="C19" s="871" t="s">
        <v>604</v>
      </c>
      <c r="D19" s="894">
        <f>'Attachment 11 - TEC'!N86</f>
        <v>29838585.081394825</v>
      </c>
      <c r="E19" s="871"/>
      <c r="F19" s="871" t="s">
        <v>13</v>
      </c>
      <c r="G19" s="887">
        <f>G18</f>
        <v>1</v>
      </c>
      <c r="H19" s="871"/>
      <c r="I19" s="895">
        <f>D19*G19</f>
        <v>29838585.081394825</v>
      </c>
      <c r="J19" s="891"/>
      <c r="K19" s="881"/>
      <c r="L19" s="871"/>
      <c r="N19" s="866"/>
    </row>
    <row r="20" spans="1:14" ht="15.75">
      <c r="A20" s="872">
        <v>8</v>
      </c>
      <c r="B20" s="864" t="s">
        <v>564</v>
      </c>
      <c r="C20" s="866"/>
      <c r="D20" s="896">
        <f>SUM(D14:D19)</f>
        <v>37167967.081394821</v>
      </c>
      <c r="E20" s="871"/>
      <c r="F20" s="871"/>
      <c r="G20" s="887"/>
      <c r="H20" s="871"/>
      <c r="I20" s="897">
        <f>SUM(I14:I19)</f>
        <v>37167967.081394821</v>
      </c>
      <c r="J20" s="898"/>
      <c r="K20" s="901"/>
      <c r="L20" s="866"/>
      <c r="N20" s="866"/>
    </row>
    <row r="21" spans="1:14" ht="15.75">
      <c r="A21" s="872"/>
      <c r="B21" s="864"/>
      <c r="C21" s="866"/>
      <c r="D21" s="896"/>
      <c r="E21" s="871"/>
      <c r="F21" s="871"/>
      <c r="G21" s="887"/>
      <c r="H21" s="871"/>
      <c r="I21" s="897"/>
      <c r="J21" s="1167"/>
      <c r="K21" s="901"/>
      <c r="L21" s="866"/>
      <c r="N21" s="866"/>
    </row>
    <row r="22" spans="1:14" ht="15.75">
      <c r="A22" s="872">
        <v>9</v>
      </c>
      <c r="B22" s="899" t="s">
        <v>566</v>
      </c>
      <c r="C22" s="866" t="s">
        <v>605</v>
      </c>
      <c r="D22" s="900"/>
      <c r="E22" s="871"/>
      <c r="F22" s="871"/>
      <c r="G22" s="887"/>
      <c r="H22" s="871"/>
      <c r="I22" s="901">
        <v>0</v>
      </c>
      <c r="J22" s="898"/>
      <c r="K22" s="881"/>
      <c r="L22" s="866"/>
      <c r="N22" s="866"/>
    </row>
    <row r="23" spans="1:14" ht="15.75">
      <c r="A23" s="872"/>
      <c r="B23" s="864"/>
      <c r="C23" s="866"/>
      <c r="D23" s="900"/>
      <c r="E23" s="871"/>
      <c r="F23" s="871"/>
      <c r="G23" s="887"/>
      <c r="H23" s="871"/>
      <c r="I23" s="888"/>
      <c r="J23" s="1118"/>
      <c r="K23" s="881"/>
      <c r="L23" s="866"/>
      <c r="N23" s="866"/>
    </row>
    <row r="24" spans="1:14" ht="15.75">
      <c r="A24" s="872">
        <v>10</v>
      </c>
      <c r="B24" s="885" t="s">
        <v>565</v>
      </c>
      <c r="C24" s="866" t="s">
        <v>581</v>
      </c>
      <c r="D24" s="902"/>
      <c r="E24" s="871"/>
      <c r="F24" s="871"/>
      <c r="G24" s="871"/>
      <c r="H24" s="871"/>
      <c r="I24" s="903">
        <f>(I11-I20+I22)</f>
        <v>246667070.68115124</v>
      </c>
      <c r="J24" s="1118"/>
      <c r="K24" s="901"/>
      <c r="L24" s="866"/>
      <c r="N24" s="866"/>
    </row>
    <row r="25" spans="1:14" ht="15.75">
      <c r="A25" s="872"/>
      <c r="B25" s="885"/>
      <c r="C25" s="866"/>
      <c r="D25" s="902"/>
      <c r="E25" s="871"/>
      <c r="F25" s="871"/>
      <c r="G25" s="871"/>
      <c r="H25" s="871"/>
      <c r="I25" s="903"/>
      <c r="J25" s="1118"/>
      <c r="K25" s="881"/>
      <c r="L25" s="866"/>
      <c r="N25" s="866"/>
    </row>
    <row r="26" spans="1:14" ht="15.75">
      <c r="A26" s="872"/>
      <c r="B26" s="885"/>
      <c r="C26" s="866"/>
      <c r="D26" s="902"/>
      <c r="E26" s="871"/>
      <c r="F26" s="871"/>
      <c r="G26" s="871"/>
      <c r="H26" s="871"/>
      <c r="I26" s="903"/>
      <c r="J26" s="1119"/>
      <c r="L26" s="866"/>
      <c r="N26" s="866"/>
    </row>
    <row r="27" spans="1:14" ht="15.75">
      <c r="A27" s="872"/>
      <c r="C27" s="871"/>
      <c r="I27" s="871"/>
      <c r="J27" s="866"/>
      <c r="K27" s="881"/>
      <c r="L27" s="866"/>
      <c r="N27" s="866"/>
    </row>
    <row r="28" spans="1:14" ht="16.5" thickBot="1">
      <c r="A28" s="872"/>
      <c r="B28" s="864" t="s">
        <v>16</v>
      </c>
      <c r="C28" s="866"/>
      <c r="D28" s="879"/>
      <c r="E28" s="866"/>
      <c r="F28" s="866"/>
      <c r="G28" s="866"/>
      <c r="H28" s="866"/>
      <c r="I28" s="904" t="s">
        <v>10</v>
      </c>
      <c r="J28" s="872"/>
      <c r="K28" s="881"/>
      <c r="L28" s="866"/>
      <c r="N28" s="866"/>
    </row>
    <row r="29" spans="1:20" s="907" customFormat="1" ht="15.75">
      <c r="A29" s="872">
        <v>11</v>
      </c>
      <c r="B29" s="885" t="s">
        <v>228</v>
      </c>
      <c r="C29" s="863"/>
      <c r="D29" s="879"/>
      <c r="E29" s="866"/>
      <c r="F29" s="866"/>
      <c r="G29" s="898" t="s">
        <v>17</v>
      </c>
      <c r="H29" s="866"/>
      <c r="I29" s="905">
        <v>5887.6000000000004</v>
      </c>
      <c r="J29" s="906"/>
      <c r="K29" s="881"/>
      <c r="L29" s="863"/>
      <c r="M29" s="863"/>
      <c r="N29" s="866"/>
      <c r="O29" s="863"/>
      <c r="P29" s="863"/>
      <c r="Q29" s="863"/>
      <c r="R29" s="863"/>
      <c r="S29" s="863"/>
      <c r="T29" s="863"/>
    </row>
    <row r="30" spans="1:14" ht="15.75">
      <c r="A30" s="872">
        <v>12</v>
      </c>
      <c r="B30" s="885" t="s">
        <v>822</v>
      </c>
      <c r="C30" s="871"/>
      <c r="D30" s="871"/>
      <c r="E30" s="871"/>
      <c r="F30" s="871"/>
      <c r="G30" s="898" t="s">
        <v>835</v>
      </c>
      <c r="H30" s="871"/>
      <c r="I30" s="905">
        <v>4902.1000000000004</v>
      </c>
      <c r="J30" s="908"/>
      <c r="K30" s="881"/>
      <c r="L30" s="863"/>
      <c r="M30" s="866"/>
      <c r="N30" s="866"/>
    </row>
    <row r="31" spans="1:14" ht="16.5" customHeight="1">
      <c r="A31" s="872"/>
      <c r="B31" s="864"/>
      <c r="C31" s="866"/>
      <c r="D31" s="866"/>
      <c r="E31" s="866"/>
      <c r="F31" s="866"/>
      <c r="G31" s="866"/>
      <c r="H31" s="866"/>
      <c r="I31" s="879"/>
      <c r="J31" s="866"/>
      <c r="K31" s="879"/>
      <c r="L31" s="866"/>
      <c r="M31" s="866"/>
      <c r="N31" s="866"/>
    </row>
    <row r="32" spans="1:14" ht="16.5" thickBot="1">
      <c r="A32" s="872"/>
      <c r="B32" s="864"/>
      <c r="C32" s="866"/>
      <c r="D32" s="877" t="s">
        <v>10</v>
      </c>
      <c r="F32" s="909"/>
      <c r="G32" s="909"/>
      <c r="H32" s="866"/>
      <c r="I32" s="879"/>
      <c r="J32" s="866"/>
      <c r="K32" s="866"/>
      <c r="L32" s="866"/>
      <c r="M32" s="866"/>
      <c r="N32" s="866"/>
    </row>
    <row r="33" spans="1:14" ht="15.75">
      <c r="A33" s="872">
        <v>13</v>
      </c>
      <c r="B33" s="864" t="s">
        <v>782</v>
      </c>
      <c r="C33" s="866" t="s">
        <v>579</v>
      </c>
      <c r="D33" s="910">
        <f>IF(I29&gt;0,(I24/I29),0)</f>
        <v>41896.030756361033</v>
      </c>
      <c r="F33" s="911"/>
      <c r="G33" s="909"/>
      <c r="H33" s="866"/>
      <c r="J33" s="866"/>
      <c r="K33" s="866"/>
      <c r="L33" s="863"/>
      <c r="M33" s="866"/>
      <c r="N33" s="866"/>
    </row>
    <row r="34" spans="1:19" ht="15.75">
      <c r="A34" s="872"/>
      <c r="B34" s="864"/>
      <c r="C34" s="866"/>
      <c r="D34" s="912"/>
      <c r="F34" s="913"/>
      <c r="G34" s="866"/>
      <c r="H34" s="866"/>
      <c r="J34" s="866"/>
      <c r="K34" s="866"/>
      <c r="L34" s="866"/>
      <c r="M34" s="866"/>
      <c r="N34" s="907"/>
      <c r="O34" s="907"/>
      <c r="P34" s="907"/>
      <c r="Q34" s="907"/>
      <c r="R34" s="907"/>
      <c r="S34" s="907"/>
    </row>
    <row r="35" spans="1:19" ht="15.75">
      <c r="A35" s="872"/>
      <c r="B35" s="864"/>
      <c r="C35" s="866"/>
      <c r="D35" s="914" t="s">
        <v>823</v>
      </c>
      <c r="E35" s="913"/>
      <c r="F35" s="915"/>
      <c r="G35" s="916"/>
      <c r="H35" s="866"/>
      <c r="I35" s="917" t="s">
        <v>824</v>
      </c>
      <c r="J35" s="866"/>
      <c r="K35" s="866"/>
      <c r="L35" s="866"/>
      <c r="M35" s="866"/>
      <c r="N35" s="907"/>
      <c r="O35" s="907"/>
      <c r="P35" s="907"/>
      <c r="Q35" s="907"/>
      <c r="R35" s="907"/>
      <c r="S35" s="907"/>
    </row>
    <row r="36" spans="1:13" ht="16.5" thickBot="1">
      <c r="A36" s="918"/>
      <c r="B36" s="919"/>
      <c r="C36" s="920"/>
      <c r="D36" s="921" t="s">
        <v>10</v>
      </c>
      <c r="E36" s="922"/>
      <c r="F36" s="918"/>
      <c r="G36" s="872"/>
      <c r="H36" s="872"/>
      <c r="I36" s="923" t="str">
        <f>D36</f>
        <v>Total</v>
      </c>
      <c r="K36" s="866"/>
      <c r="L36" s="866"/>
      <c r="M36" s="866"/>
    </row>
    <row r="37" spans="1:13" ht="15.75">
      <c r="A37" s="918">
        <v>14</v>
      </c>
      <c r="B37" s="919" t="s">
        <v>825</v>
      </c>
      <c r="C37" s="920" t="s">
        <v>826</v>
      </c>
      <c r="D37" s="924">
        <f>I24/I30</f>
        <v>50318.653369199164</v>
      </c>
      <c r="E37" s="925"/>
      <c r="F37" s="926"/>
      <c r="G37" s="927"/>
      <c r="H37" s="927"/>
      <c r="I37" s="924">
        <f>I24/I30</f>
        <v>50318.653369199164</v>
      </c>
      <c r="J37" s="909"/>
      <c r="K37" s="928"/>
      <c r="L37" s="866"/>
      <c r="M37" s="866"/>
    </row>
    <row r="38" spans="1:13" ht="15.75">
      <c r="A38" s="918">
        <v>15</v>
      </c>
      <c r="B38" s="919" t="s">
        <v>827</v>
      </c>
      <c r="C38" s="920" t="s">
        <v>828</v>
      </c>
      <c r="D38" s="927">
        <f>D37/12</f>
        <v>4193.2211140999307</v>
      </c>
      <c r="E38" s="925"/>
      <c r="F38" s="927"/>
      <c r="G38" s="927"/>
      <c r="H38" s="927"/>
      <c r="I38" s="927">
        <f>I37/12</f>
        <v>4193.2211140999307</v>
      </c>
      <c r="J38" s="911"/>
      <c r="K38" s="928"/>
      <c r="L38" s="866"/>
      <c r="M38" s="866"/>
    </row>
    <row r="39" spans="1:13" ht="15.75">
      <c r="A39" s="918">
        <v>16</v>
      </c>
      <c r="B39" s="919" t="s">
        <v>829</v>
      </c>
      <c r="C39" s="929" t="s">
        <v>830</v>
      </c>
      <c r="D39" s="927">
        <f>D37/52</f>
        <v>967.66641094613783</v>
      </c>
      <c r="E39" s="925"/>
      <c r="F39" s="930"/>
      <c r="G39" s="931"/>
      <c r="H39" s="927"/>
      <c r="I39" s="927">
        <f>I37/52</f>
        <v>967.66641094613783</v>
      </c>
      <c r="J39" s="932"/>
      <c r="K39" s="933"/>
      <c r="L39" s="866"/>
      <c r="M39" s="866"/>
    </row>
    <row r="40" spans="1:13" ht="15.75">
      <c r="A40" s="918">
        <v>17</v>
      </c>
      <c r="B40" s="919" t="s">
        <v>831</v>
      </c>
      <c r="C40" s="929" t="s">
        <v>832</v>
      </c>
      <c r="D40" s="927">
        <f>D39/5</f>
        <v>193.53328218922758</v>
      </c>
      <c r="E40" s="925"/>
      <c r="F40" s="930"/>
      <c r="G40" s="931"/>
      <c r="H40" s="927"/>
      <c r="I40" s="927">
        <f>I39/7</f>
        <v>138.23805870659112</v>
      </c>
      <c r="J40" s="932"/>
      <c r="K40" s="933"/>
      <c r="L40" s="866"/>
      <c r="M40" s="866"/>
    </row>
    <row r="41" spans="1:13" ht="15.75">
      <c r="A41" s="918">
        <v>18</v>
      </c>
      <c r="B41" s="919" t="s">
        <v>833</v>
      </c>
      <c r="C41" s="920" t="s">
        <v>834</v>
      </c>
      <c r="D41" s="927">
        <f>D37/4160</f>
        <v>12.095830136826722</v>
      </c>
      <c r="E41" s="925"/>
      <c r="F41" s="930"/>
      <c r="G41" s="931"/>
      <c r="H41" s="927"/>
      <c r="I41" s="910">
        <f>I37/8760</f>
        <v>5.7441385124656579</v>
      </c>
      <c r="J41" s="911"/>
      <c r="K41" s="933"/>
      <c r="L41" s="866"/>
      <c r="M41" s="866"/>
    </row>
    <row r="42" spans="1:13" ht="15.75">
      <c r="A42" s="918"/>
      <c r="B42" s="919"/>
      <c r="C42" s="920"/>
      <c r="D42" s="926"/>
      <c r="E42" s="925"/>
      <c r="F42" s="925"/>
      <c r="G42" s="934"/>
      <c r="H42" s="926"/>
      <c r="I42" s="935"/>
      <c r="J42" s="936"/>
      <c r="K42" s="866" t="s">
        <v>3</v>
      </c>
      <c r="L42" s="866"/>
      <c r="M42" s="866"/>
    </row>
    <row r="43" spans="1:13" ht="15.75">
      <c r="A43" s="918"/>
      <c r="B43" s="919"/>
      <c r="C43" s="920"/>
      <c r="D43" s="926"/>
      <c r="E43" s="926"/>
      <c r="F43" s="934"/>
      <c r="G43" s="925"/>
      <c r="H43" s="926"/>
      <c r="I43" s="935"/>
      <c r="J43" s="866"/>
      <c r="K43" s="866" t="s">
        <v>3</v>
      </c>
      <c r="L43" s="866"/>
      <c r="M43" s="866"/>
    </row>
    <row r="44" spans="2:13" ht="16.5" customHeight="1">
      <c r="B44" s="864"/>
      <c r="C44" s="864"/>
      <c r="D44" s="865"/>
      <c r="E44" s="864"/>
      <c r="F44" s="864"/>
      <c r="G44" s="864"/>
      <c r="H44" s="866"/>
      <c r="I44" s="866"/>
      <c r="K44" s="867" t="str">
        <f>K1</f>
        <v>Attachment  H-28A</v>
      </c>
      <c r="L44" s="866"/>
      <c r="M44" s="866"/>
    </row>
    <row r="45" spans="2:13" ht="16.5" customHeight="1">
      <c r="B45" s="864"/>
      <c r="C45" s="864"/>
      <c r="D45" s="865"/>
      <c r="E45" s="864"/>
      <c r="F45" s="864"/>
      <c r="G45" s="864"/>
      <c r="H45" s="866"/>
      <c r="I45" s="866"/>
      <c r="J45" s="866"/>
      <c r="K45" s="867" t="s">
        <v>21</v>
      </c>
      <c r="L45" s="866"/>
      <c r="M45" s="866"/>
    </row>
    <row r="46" spans="2:13" ht="16.5" customHeight="1">
      <c r="B46" s="864"/>
      <c r="C46" s="864"/>
      <c r="D46" s="865"/>
      <c r="E46" s="864"/>
      <c r="F46" s="864"/>
      <c r="G46" s="864"/>
      <c r="H46" s="866"/>
      <c r="I46" s="866"/>
      <c r="J46" s="866"/>
      <c r="K46" s="867"/>
      <c r="L46" s="866"/>
      <c r="M46" s="866"/>
    </row>
    <row r="47" spans="2:13" ht="15.75">
      <c r="B47" s="864" t="s">
        <v>1</v>
      </c>
      <c r="C47" s="864"/>
      <c r="D47" s="865" t="s">
        <v>2</v>
      </c>
      <c r="E47" s="864"/>
      <c r="F47" s="864"/>
      <c r="G47" s="864"/>
      <c r="H47" s="898"/>
      <c r="I47" s="907"/>
      <c r="J47" s="898"/>
      <c r="K47" s="937" t="str">
        <f>K4</f>
        <v>For the 12 months ended 12/31/2021</v>
      </c>
      <c r="L47" s="866"/>
      <c r="M47" s="866"/>
    </row>
    <row r="48" spans="2:13" ht="15.75">
      <c r="B48" s="864"/>
      <c r="C48" s="871" t="s">
        <v>3</v>
      </c>
      <c r="D48" s="871" t="s">
        <v>4</v>
      </c>
      <c r="E48" s="871"/>
      <c r="F48" s="871"/>
      <c r="G48" s="871"/>
      <c r="H48" s="866"/>
      <c r="I48" s="866"/>
      <c r="J48" s="866"/>
      <c r="K48" s="866"/>
      <c r="L48" s="866"/>
      <c r="M48" s="866"/>
    </row>
    <row r="49" spans="2:13" ht="15.75">
      <c r="B49" s="864"/>
      <c r="C49" s="871"/>
      <c r="D49" s="871"/>
      <c r="E49" s="871"/>
      <c r="F49" s="871"/>
      <c r="G49" s="871"/>
      <c r="H49" s="866"/>
      <c r="I49" s="866"/>
      <c r="J49" s="866"/>
      <c r="K49" s="866"/>
      <c r="L49" s="866"/>
      <c r="M49" s="866"/>
    </row>
    <row r="50" spans="2:13" ht="15.75">
      <c r="B50" s="864"/>
      <c r="C50" s="866"/>
      <c r="D50" s="871" t="str">
        <f>D7</f>
        <v>Mid-Atlantic Interstate Transmission, LLC</v>
      </c>
      <c r="E50" s="871"/>
      <c r="F50" s="871"/>
      <c r="G50" s="871"/>
      <c r="H50" s="871"/>
      <c r="I50" s="871"/>
      <c r="J50" s="871"/>
      <c r="K50" s="871"/>
      <c r="L50" s="871"/>
      <c r="M50" s="871"/>
    </row>
    <row r="51" spans="2:13" ht="15.75">
      <c r="B51" s="872" t="s">
        <v>22</v>
      </c>
      <c r="C51" s="872" t="s">
        <v>23</v>
      </c>
      <c r="D51" s="872" t="s">
        <v>24</v>
      </c>
      <c r="E51" s="871" t="s">
        <v>3</v>
      </c>
      <c r="F51" s="871"/>
      <c r="G51" s="874" t="s">
        <v>25</v>
      </c>
      <c r="H51" s="871"/>
      <c r="I51" s="875" t="s">
        <v>26</v>
      </c>
      <c r="J51" s="871"/>
      <c r="K51" s="938"/>
      <c r="L51" s="872"/>
      <c r="M51" s="871"/>
    </row>
    <row r="52" spans="2:13" ht="15.75">
      <c r="B52" s="864"/>
      <c r="C52" s="939"/>
      <c r="D52" s="871"/>
      <c r="E52" s="871"/>
      <c r="F52" s="871"/>
      <c r="G52" s="872"/>
      <c r="H52" s="871"/>
      <c r="I52" s="940" t="s">
        <v>28</v>
      </c>
      <c r="J52" s="871"/>
      <c r="K52" s="941"/>
      <c r="L52" s="872"/>
      <c r="M52" s="872"/>
    </row>
    <row r="53" spans="1:13" ht="15.75">
      <c r="A53" s="872" t="s">
        <v>5</v>
      </c>
      <c r="B53" s="864"/>
      <c r="C53" s="939" t="s">
        <v>374</v>
      </c>
      <c r="D53" s="940" t="s">
        <v>29</v>
      </c>
      <c r="E53" s="942"/>
      <c r="F53" s="940" t="s">
        <v>30</v>
      </c>
      <c r="H53" s="942"/>
      <c r="I53" s="872" t="s">
        <v>31</v>
      </c>
      <c r="J53" s="871"/>
      <c r="K53" s="943"/>
      <c r="L53" s="872"/>
      <c r="M53" s="872"/>
    </row>
    <row r="54" spans="1:13" ht="16.5" thickBot="1">
      <c r="A54" s="877" t="s">
        <v>7</v>
      </c>
      <c r="B54" s="944" t="s">
        <v>32</v>
      </c>
      <c r="C54" s="871"/>
      <c r="D54" s="871"/>
      <c r="E54" s="871"/>
      <c r="F54" s="871"/>
      <c r="G54" s="871"/>
      <c r="H54" s="871"/>
      <c r="I54" s="871"/>
      <c r="J54" s="871"/>
      <c r="K54" s="945"/>
      <c r="L54" s="871"/>
      <c r="M54" s="871"/>
    </row>
    <row r="55" spans="1:13" ht="15.75">
      <c r="A55" s="872"/>
      <c r="B55" s="864" t="s">
        <v>33</v>
      </c>
      <c r="C55" s="871"/>
      <c r="D55" s="871"/>
      <c r="E55" s="871"/>
      <c r="F55" s="871"/>
      <c r="G55" s="871"/>
      <c r="H55" s="871"/>
      <c r="I55" s="871"/>
      <c r="J55" s="871"/>
      <c r="K55" s="946"/>
      <c r="L55" s="871"/>
      <c r="M55" s="871"/>
    </row>
    <row r="56" spans="1:13" ht="15.75">
      <c r="A56" s="872">
        <v>1</v>
      </c>
      <c r="B56" s="864" t="s">
        <v>34</v>
      </c>
      <c r="C56" s="871" t="s">
        <v>613</v>
      </c>
      <c r="D56" s="889">
        <f>'Attachment 3 - Gross Plant'!E22</f>
        <v>0</v>
      </c>
      <c r="E56" s="871"/>
      <c r="F56" s="871" t="s">
        <v>35</v>
      </c>
      <c r="G56" s="947" t="s">
        <v>3</v>
      </c>
      <c r="H56" s="871"/>
      <c r="I56" s="871" t="s">
        <v>3</v>
      </c>
      <c r="J56" s="871"/>
      <c r="K56" s="934"/>
      <c r="L56" s="863"/>
      <c r="M56" s="871"/>
    </row>
    <row r="57" spans="1:13" ht="15.75">
      <c r="A57" s="872">
        <v>2</v>
      </c>
      <c r="B57" s="864" t="s">
        <v>36</v>
      </c>
      <c r="C57" s="871" t="s">
        <v>614</v>
      </c>
      <c r="D57" s="889">
        <f>'Attachment 3 - Gross Plant'!F22</f>
        <v>2172855687.4461536</v>
      </c>
      <c r="E57" s="871"/>
      <c r="F57" s="871" t="s">
        <v>13</v>
      </c>
      <c r="G57" s="947">
        <f>I216</f>
        <v>1</v>
      </c>
      <c r="H57" s="871"/>
      <c r="I57" s="948">
        <f>+G57*D57</f>
        <v>2172855687.4461536</v>
      </c>
      <c r="J57" s="871"/>
      <c r="K57" s="934"/>
      <c r="L57" s="863"/>
      <c r="M57" s="871"/>
    </row>
    <row r="58" spans="1:13" ht="15.75">
      <c r="A58" s="872">
        <v>3</v>
      </c>
      <c r="B58" s="864" t="s">
        <v>37</v>
      </c>
      <c r="C58" s="871" t="s">
        <v>615</v>
      </c>
      <c r="D58" s="889">
        <f>'Attachment 3 - Gross Plant'!G22</f>
        <v>0</v>
      </c>
      <c r="E58" s="871"/>
      <c r="F58" s="871" t="s">
        <v>35</v>
      </c>
      <c r="G58" s="947" t="s">
        <v>3</v>
      </c>
      <c r="H58" s="871"/>
      <c r="I58" s="948" t="s">
        <v>3</v>
      </c>
      <c r="J58" s="871"/>
      <c r="K58" s="934"/>
      <c r="L58" s="863"/>
      <c r="M58" s="871"/>
    </row>
    <row r="59" spans="1:13" ht="15.75">
      <c r="A59" s="872">
        <v>4</v>
      </c>
      <c r="B59" s="864" t="s">
        <v>38</v>
      </c>
      <c r="C59" s="871" t="s">
        <v>616</v>
      </c>
      <c r="D59" s="889">
        <f>'Attachment 3 - Gross Plant'!H22+'Attachment 3 - Gross Plant'!I22</f>
        <v>121322344.87461539</v>
      </c>
      <c r="E59" s="871"/>
      <c r="F59" s="870" t="s">
        <v>39</v>
      </c>
      <c r="G59" s="947">
        <f>I233</f>
        <v>1</v>
      </c>
      <c r="H59" s="871"/>
      <c r="I59" s="948">
        <f>+G59*D59</f>
        <v>121322344.87461539</v>
      </c>
      <c r="J59" s="871"/>
      <c r="K59" s="934"/>
      <c r="L59" s="863"/>
      <c r="M59" s="872"/>
    </row>
    <row r="60" spans="1:13" ht="16.5" thickBot="1">
      <c r="A60" s="872">
        <v>5</v>
      </c>
      <c r="B60" s="864" t="s">
        <v>40</v>
      </c>
      <c r="C60" s="871" t="s">
        <v>759</v>
      </c>
      <c r="D60" s="949">
        <f>'Attachment 3 - Gross Plant'!J22</f>
        <v>0</v>
      </c>
      <c r="E60" s="871"/>
      <c r="F60" s="871" t="s">
        <v>41</v>
      </c>
      <c r="G60" s="947">
        <f>K238</f>
        <v>1</v>
      </c>
      <c r="H60" s="871"/>
      <c r="I60" s="950">
        <f>+G60*D60</f>
        <v>0</v>
      </c>
      <c r="J60" s="871"/>
      <c r="K60" s="934"/>
      <c r="L60" s="863"/>
      <c r="M60" s="872"/>
    </row>
    <row r="61" spans="1:13" ht="15.75">
      <c r="A61" s="872">
        <v>6</v>
      </c>
      <c r="B61" s="864" t="s">
        <v>42</v>
      </c>
      <c r="C61" s="871"/>
      <c r="D61" s="948">
        <f>SUM(D56:D60)</f>
        <v>2294178032.3207688</v>
      </c>
      <c r="E61" s="871"/>
      <c r="F61" s="871" t="s">
        <v>43</v>
      </c>
      <c r="G61" s="951">
        <f>IF(I61&gt;0,I61/D61,0)</f>
        <v>1</v>
      </c>
      <c r="H61" s="871"/>
      <c r="I61" s="948">
        <f>SUM(I56:I60)</f>
        <v>2294178032.3207688</v>
      </c>
      <c r="J61" s="871"/>
      <c r="K61" s="952"/>
      <c r="L61" s="871"/>
      <c r="M61" s="871"/>
    </row>
    <row r="62" spans="2:13" ht="15.75">
      <c r="B62" s="864"/>
      <c r="C62" s="871"/>
      <c r="D62" s="948"/>
      <c r="E62" s="871"/>
      <c r="F62" s="871"/>
      <c r="G62" s="951"/>
      <c r="H62" s="871"/>
      <c r="I62" s="948"/>
      <c r="J62" s="871"/>
      <c r="K62" s="952"/>
      <c r="L62" s="871"/>
      <c r="M62" s="871"/>
    </row>
    <row r="63" spans="2:13" ht="15.75">
      <c r="B63" s="864" t="s">
        <v>44</v>
      </c>
      <c r="C63" s="871"/>
      <c r="D63" s="948"/>
      <c r="E63" s="871"/>
      <c r="F63" s="871"/>
      <c r="G63" s="871"/>
      <c r="H63" s="871"/>
      <c r="I63" s="948"/>
      <c r="J63" s="871"/>
      <c r="K63" s="934"/>
      <c r="L63" s="863"/>
      <c r="M63" s="871"/>
    </row>
    <row r="64" spans="1:13" ht="15.75">
      <c r="A64" s="872">
        <v>7</v>
      </c>
      <c r="B64" s="864" t="str">
        <f>+B56</f>
        <v xml:space="preserve">  Production</v>
      </c>
      <c r="C64" s="871" t="s">
        <v>617</v>
      </c>
      <c r="D64" s="889">
        <f>'Attachment 4 - Accum Depr'!E22</f>
        <v>0</v>
      </c>
      <c r="E64" s="871"/>
      <c r="F64" s="871" t="str">
        <f t="shared" si="2" ref="F64:G68">+F56</f>
        <v>NA</v>
      </c>
      <c r="G64" s="947" t="str">
        <f t="shared" si="2"/>
        <v xml:space="preserve"> </v>
      </c>
      <c r="H64" s="871"/>
      <c r="I64" s="948" t="s">
        <v>3</v>
      </c>
      <c r="J64" s="871"/>
      <c r="K64" s="934"/>
      <c r="L64" s="863"/>
      <c r="M64" s="871"/>
    </row>
    <row r="65" spans="1:13" ht="15.75">
      <c r="A65" s="872">
        <v>8</v>
      </c>
      <c r="B65" s="864" t="str">
        <f>+B57</f>
        <v xml:space="preserve">  Transmission</v>
      </c>
      <c r="C65" s="871" t="s">
        <v>618</v>
      </c>
      <c r="D65" s="889">
        <f>'Attachment 4 - Accum Depr'!F22</f>
        <v>331923869.17769229</v>
      </c>
      <c r="E65" s="871"/>
      <c r="F65" s="871" t="str">
        <f t="shared" si="2"/>
        <v>TP</v>
      </c>
      <c r="G65" s="947">
        <f>+G57</f>
        <v>1</v>
      </c>
      <c r="H65" s="871"/>
      <c r="I65" s="948">
        <f>+G65*D65</f>
        <v>331923869.17769229</v>
      </c>
      <c r="J65" s="871"/>
      <c r="K65" s="934"/>
      <c r="L65" s="871"/>
      <c r="M65" s="871"/>
    </row>
    <row r="66" spans="1:13" ht="15.75">
      <c r="A66" s="872">
        <v>9</v>
      </c>
      <c r="B66" s="864" t="str">
        <f>+B58</f>
        <v xml:space="preserve">  Distribution</v>
      </c>
      <c r="C66" s="871" t="s">
        <v>619</v>
      </c>
      <c r="D66" s="889">
        <f>'Attachment 4 - Accum Depr'!G22</f>
        <v>0</v>
      </c>
      <c r="E66" s="871"/>
      <c r="F66" s="871" t="str">
        <f t="shared" si="2"/>
        <v>NA</v>
      </c>
      <c r="G66" s="947" t="str">
        <f t="shared" si="2"/>
        <v xml:space="preserve"> </v>
      </c>
      <c r="H66" s="871"/>
      <c r="I66" s="948" t="s">
        <v>3</v>
      </c>
      <c r="J66" s="871"/>
      <c r="K66" s="934"/>
      <c r="L66" s="871"/>
      <c r="M66" s="871"/>
    </row>
    <row r="67" spans="1:13" ht="15.75">
      <c r="A67" s="872">
        <v>10</v>
      </c>
      <c r="B67" s="864" t="str">
        <f>+B59</f>
        <v xml:space="preserve">  General &amp; Intangible</v>
      </c>
      <c r="C67" s="871" t="s">
        <v>620</v>
      </c>
      <c r="D67" s="889">
        <f>'Attachment 4 - Accum Depr'!H22+'Attachment 4 - Accum Depr'!I22</f>
        <v>21069270.789230771</v>
      </c>
      <c r="E67" s="871"/>
      <c r="F67" s="871" t="str">
        <f>F59</f>
        <v>W/S</v>
      </c>
      <c r="G67" s="947">
        <f>G59</f>
        <v>1</v>
      </c>
      <c r="H67" s="871"/>
      <c r="I67" s="948">
        <f>+G67*D67</f>
        <v>21069270.789230771</v>
      </c>
      <c r="J67" s="871"/>
      <c r="K67" s="934"/>
      <c r="L67" s="863"/>
      <c r="M67" s="872"/>
    </row>
    <row r="68" spans="1:13" ht="16.5" thickBot="1">
      <c r="A68" s="872">
        <v>11</v>
      </c>
      <c r="B68" s="864" t="str">
        <f>+B60</f>
        <v xml:space="preserve">  Common</v>
      </c>
      <c r="C68" s="871" t="s">
        <v>760</v>
      </c>
      <c r="D68" s="949">
        <f>'Attachment 4 - Accum Depr'!J22</f>
        <v>0</v>
      </c>
      <c r="E68" s="871"/>
      <c r="F68" s="871" t="str">
        <f t="shared" si="2"/>
        <v>CE</v>
      </c>
      <c r="G68" s="947">
        <f t="shared" si="2"/>
        <v>1</v>
      </c>
      <c r="H68" s="871"/>
      <c r="I68" s="950">
        <f>+G68*D68</f>
        <v>0</v>
      </c>
      <c r="J68" s="871"/>
      <c r="K68" s="934"/>
      <c r="L68" s="871"/>
      <c r="M68" s="872"/>
    </row>
    <row r="69" spans="1:13" ht="15.75">
      <c r="A69" s="872">
        <v>12</v>
      </c>
      <c r="B69" s="864" t="s">
        <v>182</v>
      </c>
      <c r="C69" s="871"/>
      <c r="D69" s="948">
        <f>SUM(D64:D68)</f>
        <v>352993139.96692306</v>
      </c>
      <c r="E69" s="871"/>
      <c r="F69" s="871"/>
      <c r="G69" s="871"/>
      <c r="H69" s="871"/>
      <c r="I69" s="948">
        <f>SUM(I64:I68)</f>
        <v>352993139.96692306</v>
      </c>
      <c r="J69" s="871"/>
      <c r="K69" s="934"/>
      <c r="L69" s="953"/>
      <c r="M69" s="871"/>
    </row>
    <row r="70" spans="1:13" ht="15.75">
      <c r="A70" s="872"/>
      <c r="C70" s="871" t="s">
        <v>3</v>
      </c>
      <c r="E70" s="871"/>
      <c r="F70" s="871"/>
      <c r="G70" s="951"/>
      <c r="H70" s="871"/>
      <c r="I70" s="910"/>
      <c r="J70" s="871"/>
      <c r="K70" s="952"/>
      <c r="L70" s="871"/>
      <c r="M70" s="871"/>
    </row>
    <row r="71" spans="1:13" ht="15.75">
      <c r="A71" s="872"/>
      <c r="B71" s="864" t="s">
        <v>47</v>
      </c>
      <c r="C71" s="871"/>
      <c r="D71" s="871"/>
      <c r="E71" s="871"/>
      <c r="F71" s="871"/>
      <c r="G71" s="871"/>
      <c r="H71" s="871"/>
      <c r="I71" s="910"/>
      <c r="J71" s="871"/>
      <c r="K71" s="934"/>
      <c r="L71" s="871"/>
      <c r="M71" s="871"/>
    </row>
    <row r="72" spans="1:13" ht="15.75">
      <c r="A72" s="872">
        <v>13</v>
      </c>
      <c r="B72" s="864" t="str">
        <f>+B64</f>
        <v xml:space="preserve">  Production</v>
      </c>
      <c r="C72" s="871" t="s">
        <v>167</v>
      </c>
      <c r="D72" s="948">
        <f>D56-D64</f>
        <v>0</v>
      </c>
      <c r="E72" s="871"/>
      <c r="F72" s="871"/>
      <c r="G72" s="951"/>
      <c r="H72" s="871"/>
      <c r="I72" s="948" t="s">
        <v>3</v>
      </c>
      <c r="J72" s="871"/>
      <c r="K72" s="952"/>
      <c r="L72" s="871"/>
      <c r="M72" s="871"/>
    </row>
    <row r="73" spans="1:13" ht="15.75">
      <c r="A73" s="872">
        <v>14</v>
      </c>
      <c r="B73" s="864" t="str">
        <f>+B65</f>
        <v xml:space="preserve">  Transmission</v>
      </c>
      <c r="C73" s="871" t="s">
        <v>168</v>
      </c>
      <c r="D73" s="948">
        <f>D57-D65</f>
        <v>1840931818.2684612</v>
      </c>
      <c r="E73" s="871"/>
      <c r="F73" s="871"/>
      <c r="G73" s="947"/>
      <c r="H73" s="871"/>
      <c r="I73" s="948">
        <f>I57-I65</f>
        <v>1840931818.2684612</v>
      </c>
      <c r="J73" s="871"/>
      <c r="K73" s="934"/>
      <c r="L73" s="871"/>
      <c r="M73" s="871"/>
    </row>
    <row r="74" spans="1:13" ht="15.75">
      <c r="A74" s="872">
        <v>15</v>
      </c>
      <c r="B74" s="864" t="str">
        <f>+B66</f>
        <v xml:space="preserve">  Distribution</v>
      </c>
      <c r="C74" s="871" t="s">
        <v>169</v>
      </c>
      <c r="D74" s="948">
        <f>D58-D66</f>
        <v>0</v>
      </c>
      <c r="E74" s="871"/>
      <c r="F74" s="871"/>
      <c r="G74" s="951"/>
      <c r="H74" s="871"/>
      <c r="I74" s="948" t="s">
        <v>3</v>
      </c>
      <c r="J74" s="871"/>
      <c r="K74" s="954"/>
      <c r="L74" s="871"/>
      <c r="M74" s="871"/>
    </row>
    <row r="75" spans="1:13" ht="15.75">
      <c r="A75" s="872">
        <v>16</v>
      </c>
      <c r="B75" s="864" t="str">
        <f>+B67</f>
        <v xml:space="preserve">  General &amp; Intangible</v>
      </c>
      <c r="C75" s="871" t="s">
        <v>170</v>
      </c>
      <c r="D75" s="889">
        <f>D59-D67</f>
        <v>100253074.08538461</v>
      </c>
      <c r="E75" s="871"/>
      <c r="F75" s="871"/>
      <c r="G75" s="951"/>
      <c r="H75" s="871"/>
      <c r="I75" s="948">
        <f>I59-I67</f>
        <v>100253074.08538461</v>
      </c>
      <c r="J75" s="871"/>
      <c r="K75" s="951"/>
      <c r="L75" s="871"/>
      <c r="M75" s="872"/>
    </row>
    <row r="76" spans="1:13" ht="16.5" thickBot="1">
      <c r="A76" s="872">
        <v>17</v>
      </c>
      <c r="B76" s="864" t="str">
        <f>+B68</f>
        <v xml:space="preserve">  Common</v>
      </c>
      <c r="C76" s="871" t="s">
        <v>171</v>
      </c>
      <c r="D76" s="950">
        <f>D60-D68</f>
        <v>0</v>
      </c>
      <c r="E76" s="871"/>
      <c r="F76" s="871"/>
      <c r="G76" s="951"/>
      <c r="H76" s="871"/>
      <c r="I76" s="950">
        <f>I60-I68</f>
        <v>0</v>
      </c>
      <c r="J76" s="871"/>
      <c r="K76" s="951"/>
      <c r="L76" s="871"/>
      <c r="M76" s="872"/>
    </row>
    <row r="77" spans="1:13" ht="15.75">
      <c r="A77" s="872">
        <v>18</v>
      </c>
      <c r="B77" s="864" t="s">
        <v>48</v>
      </c>
      <c r="C77" s="871"/>
      <c r="D77" s="948">
        <f>SUM(D72:D76)</f>
        <v>1941184892.3538458</v>
      </c>
      <c r="E77" s="871"/>
      <c r="F77" s="871" t="s">
        <v>49</v>
      </c>
      <c r="G77" s="951">
        <f>IF(I77&gt;0,I77/D77,0)</f>
        <v>1</v>
      </c>
      <c r="H77" s="871"/>
      <c r="I77" s="948">
        <f>SUM(I72:I76)</f>
        <v>1941184892.3538458</v>
      </c>
      <c r="J77" s="871"/>
      <c r="K77" s="871"/>
      <c r="L77" s="902"/>
      <c r="M77" s="871"/>
    </row>
    <row r="78" spans="1:13" ht="15.75">
      <c r="A78" s="872"/>
      <c r="C78" s="871"/>
      <c r="D78" s="948"/>
      <c r="E78" s="871"/>
      <c r="H78" s="871"/>
      <c r="I78" s="948"/>
      <c r="J78" s="871"/>
      <c r="K78" s="951"/>
      <c r="L78" s="871"/>
      <c r="M78" s="871"/>
    </row>
    <row r="79" spans="1:13" ht="15.75">
      <c r="A79" s="872"/>
      <c r="B79" s="864" t="s">
        <v>780</v>
      </c>
      <c r="C79" s="871"/>
      <c r="D79" s="948"/>
      <c r="E79" s="871"/>
      <c r="F79" s="871"/>
      <c r="G79" s="871"/>
      <c r="H79" s="871"/>
      <c r="I79" s="948"/>
      <c r="J79" s="871"/>
      <c r="K79" s="871"/>
      <c r="L79" s="863"/>
      <c r="M79" s="871"/>
    </row>
    <row r="80" spans="1:13" ht="15.75">
      <c r="A80" s="872">
        <v>19</v>
      </c>
      <c r="B80" s="864" t="s">
        <v>50</v>
      </c>
      <c r="C80" s="871" t="s">
        <v>888</v>
      </c>
      <c r="D80" s="889">
        <f>'Attachment 5 - ADIT'!E13</f>
        <v>0</v>
      </c>
      <c r="E80" s="870"/>
      <c r="F80" s="870" t="str">
        <f>+F64</f>
        <v>NA</v>
      </c>
      <c r="G80" s="955"/>
      <c r="H80" s="871"/>
      <c r="I80" s="948"/>
      <c r="J80" s="871"/>
      <c r="K80" s="951"/>
      <c r="L80" s="956"/>
      <c r="M80" s="872"/>
    </row>
    <row r="81" spans="1:13" ht="15.75">
      <c r="A81" s="872">
        <v>20</v>
      </c>
      <c r="B81" s="864" t="s">
        <v>52</v>
      </c>
      <c r="C81" s="871" t="s">
        <v>889</v>
      </c>
      <c r="D81" s="889">
        <f>'Attachment 5 - ADIT'!F13</f>
        <v>-358025295.69</v>
      </c>
      <c r="E81" s="871"/>
      <c r="F81" s="871" t="s">
        <v>53</v>
      </c>
      <c r="G81" s="947">
        <f>+G77</f>
        <v>1</v>
      </c>
      <c r="H81" s="871"/>
      <c r="I81" s="948">
        <f>D81*G81</f>
        <v>-358025295.69</v>
      </c>
      <c r="J81" s="871"/>
      <c r="K81" s="951"/>
      <c r="L81" s="956"/>
      <c r="M81" s="872"/>
    </row>
    <row r="82" spans="1:13" ht="15.75">
      <c r="A82" s="872">
        <v>21</v>
      </c>
      <c r="B82" s="864" t="s">
        <v>54</v>
      </c>
      <c r="C82" s="871" t="s">
        <v>890</v>
      </c>
      <c r="D82" s="957">
        <f>'Attachment 5 - ADIT'!G13</f>
        <v>-24418055.969999999</v>
      </c>
      <c r="E82" s="871"/>
      <c r="F82" s="871" t="s">
        <v>53</v>
      </c>
      <c r="G82" s="947">
        <f>+G81</f>
        <v>1</v>
      </c>
      <c r="H82" s="871"/>
      <c r="I82" s="948">
        <f>D82*G82</f>
        <v>-24418055.969999999</v>
      </c>
      <c r="J82" s="871"/>
      <c r="K82" s="951"/>
      <c r="L82" s="956"/>
      <c r="M82" s="872"/>
    </row>
    <row r="83" spans="1:13" ht="15.75">
      <c r="A83" s="872">
        <v>22</v>
      </c>
      <c r="B83" s="864" t="s">
        <v>55</v>
      </c>
      <c r="C83" s="871" t="s">
        <v>891</v>
      </c>
      <c r="D83" s="957">
        <f>'Attachment 5 - ADIT'!H13</f>
        <v>34907519.488904573</v>
      </c>
      <c r="E83" s="871"/>
      <c r="F83" s="871" t="str">
        <f>+F82</f>
        <v>NP</v>
      </c>
      <c r="G83" s="947">
        <f>+G82</f>
        <v>1</v>
      </c>
      <c r="H83" s="871"/>
      <c r="I83" s="948">
        <f>D83*G83</f>
        <v>34907519.488904573</v>
      </c>
      <c r="J83" s="871"/>
      <c r="K83" s="951"/>
      <c r="L83" s="956"/>
      <c r="M83" s="872"/>
    </row>
    <row r="84" spans="1:13" ht="15.75">
      <c r="A84" s="872">
        <v>23</v>
      </c>
      <c r="B84" s="863" t="s">
        <v>56</v>
      </c>
      <c r="C84" s="871" t="s">
        <v>892</v>
      </c>
      <c r="D84" s="957">
        <f>'Attachment 5 - ADIT'!I13</f>
        <v>0</v>
      </c>
      <c r="E84" s="871"/>
      <c r="F84" s="871" t="s">
        <v>53</v>
      </c>
      <c r="G84" s="947">
        <f>+G82</f>
        <v>1</v>
      </c>
      <c r="H84" s="871"/>
      <c r="I84" s="958">
        <f>D84*G84</f>
        <v>0</v>
      </c>
      <c r="J84" s="871"/>
      <c r="K84" s="951"/>
      <c r="L84" s="956"/>
      <c r="M84" s="872"/>
    </row>
    <row r="85" spans="1:13" ht="15.75">
      <c r="A85" s="872">
        <v>24</v>
      </c>
      <c r="B85" s="885" t="s">
        <v>647</v>
      </c>
      <c r="C85" s="907" t="s">
        <v>1078</v>
      </c>
      <c r="D85" s="957">
        <f>-'Attachment 14 - Other Rate Base'!H65</f>
        <v>-12500</v>
      </c>
      <c r="E85" s="870"/>
      <c r="F85" s="870" t="s">
        <v>416</v>
      </c>
      <c r="G85" s="947">
        <v>1</v>
      </c>
      <c r="H85" s="871"/>
      <c r="I85" s="958">
        <f t="shared" si="3" ref="I85:I86">D85*G85</f>
        <v>-12500</v>
      </c>
      <c r="J85" s="871"/>
      <c r="K85" s="951"/>
      <c r="L85" s="956"/>
      <c r="M85" s="872"/>
    </row>
    <row r="86" spans="1:13" ht="15.75">
      <c r="A86" s="872">
        <v>25</v>
      </c>
      <c r="B86" s="885" t="s">
        <v>648</v>
      </c>
      <c r="C86" s="907" t="s">
        <v>1079</v>
      </c>
      <c r="D86" s="957">
        <f>-'Attachment 14 - Other Rate Base'!H66</f>
        <v>0</v>
      </c>
      <c r="E86" s="870"/>
      <c r="F86" s="870" t="s">
        <v>416</v>
      </c>
      <c r="G86" s="947">
        <v>1</v>
      </c>
      <c r="H86" s="871"/>
      <c r="I86" s="958">
        <f t="shared" si="3"/>
        <v>0</v>
      </c>
      <c r="J86" s="871"/>
      <c r="K86" s="951"/>
      <c r="L86" s="956"/>
      <c r="M86" s="872"/>
    </row>
    <row r="87" spans="1:13" ht="15.75">
      <c r="A87" s="872">
        <v>26</v>
      </c>
      <c r="B87" s="907" t="s">
        <v>375</v>
      </c>
      <c r="C87" s="907" t="s">
        <v>1127</v>
      </c>
      <c r="D87" s="957">
        <f>'Attachment 18 - CWIP'!E22</f>
        <v>0</v>
      </c>
      <c r="E87" s="870"/>
      <c r="F87" s="870" t="s">
        <v>416</v>
      </c>
      <c r="G87" s="947">
        <v>1</v>
      </c>
      <c r="H87" s="871"/>
      <c r="I87" s="958">
        <f>D87</f>
        <v>0</v>
      </c>
      <c r="J87" s="871"/>
      <c r="K87" s="951"/>
      <c r="L87" s="871"/>
      <c r="M87" s="872"/>
    </row>
    <row r="88" spans="1:21" ht="15.75">
      <c r="A88" s="872">
        <v>27</v>
      </c>
      <c r="B88" s="907" t="s">
        <v>376</v>
      </c>
      <c r="C88" s="907" t="s">
        <v>781</v>
      </c>
      <c r="D88" s="957">
        <f>'Attach 16a Reg Asset-Storms'!H20+'Attach 16b Reg Asset-Veg Mgmt'!H20+'Attach 16c Reg Asset-start Cost'!H20</f>
        <v>2090364.4999999967</v>
      </c>
      <c r="E88" s="870"/>
      <c r="F88" s="870" t="s">
        <v>416</v>
      </c>
      <c r="G88" s="947">
        <f>G87</f>
        <v>1</v>
      </c>
      <c r="H88" s="871"/>
      <c r="I88" s="958">
        <f>D88</f>
        <v>2090364.4999999967</v>
      </c>
      <c r="J88" s="871"/>
      <c r="K88" s="951"/>
      <c r="L88" s="956"/>
      <c r="M88" s="872"/>
      <c r="U88" s="956"/>
    </row>
    <row r="89" spans="1:21" ht="16.5" thickBot="1">
      <c r="A89" s="872">
        <v>28</v>
      </c>
      <c r="B89" s="907" t="s">
        <v>377</v>
      </c>
      <c r="C89" s="907" t="s">
        <v>761</v>
      </c>
      <c r="D89" s="949">
        <f>'Attachment 17 - Abandoned Plant'!H20</f>
        <v>0</v>
      </c>
      <c r="E89" s="870"/>
      <c r="F89" s="870" t="s">
        <v>416</v>
      </c>
      <c r="G89" s="947">
        <f>G88</f>
        <v>1</v>
      </c>
      <c r="H89" s="871"/>
      <c r="I89" s="949">
        <f>D89</f>
        <v>0</v>
      </c>
      <c r="J89" s="871"/>
      <c r="K89" s="951"/>
      <c r="L89" s="956"/>
      <c r="M89" s="872"/>
      <c r="U89" s="956"/>
    </row>
    <row r="90" spans="1:21" ht="15.75">
      <c r="A90" s="872">
        <v>29</v>
      </c>
      <c r="B90" s="864" t="s">
        <v>378</v>
      </c>
      <c r="C90" s="871"/>
      <c r="D90" s="889">
        <f>SUM(D80:D89)</f>
        <v>-345457967.67109537</v>
      </c>
      <c r="E90" s="959"/>
      <c r="F90" s="959"/>
      <c r="G90" s="959"/>
      <c r="H90" s="959"/>
      <c r="I90" s="948">
        <f>SUM(I80:I89)</f>
        <v>-345457967.67109537</v>
      </c>
      <c r="J90" s="871"/>
      <c r="K90" s="871"/>
      <c r="L90" s="956"/>
      <c r="M90" s="872"/>
      <c r="U90" s="956"/>
    </row>
    <row r="91" spans="1:21" ht="15.75">
      <c r="A91" s="872"/>
      <c r="C91" s="871"/>
      <c r="D91" s="948"/>
      <c r="E91" s="871"/>
      <c r="F91" s="871"/>
      <c r="G91" s="951"/>
      <c r="H91" s="871"/>
      <c r="I91" s="948"/>
      <c r="J91" s="871"/>
      <c r="K91" s="951"/>
      <c r="L91" s="956"/>
      <c r="M91" s="872"/>
      <c r="U91" s="956"/>
    </row>
    <row r="92" spans="1:21" ht="15.75">
      <c r="A92" s="872">
        <v>30</v>
      </c>
      <c r="B92" s="864" t="s">
        <v>57</v>
      </c>
      <c r="C92" s="871" t="s">
        <v>1080</v>
      </c>
      <c r="D92" s="889">
        <f>'Attachment 14 - Other Rate Base'!E10</f>
        <v>0</v>
      </c>
      <c r="E92" s="871"/>
      <c r="F92" s="871" t="str">
        <f>+F65</f>
        <v>TP</v>
      </c>
      <c r="G92" s="947">
        <f>+G65</f>
        <v>1</v>
      </c>
      <c r="H92" s="871"/>
      <c r="I92" s="948">
        <f>+G92*D92</f>
        <v>0</v>
      </c>
      <c r="J92" s="871"/>
      <c r="K92" s="871"/>
      <c r="L92" s="956"/>
      <c r="M92" s="872"/>
      <c r="U92" s="956"/>
    </row>
    <row r="93" spans="1:21" ht="15.75">
      <c r="A93" s="872"/>
      <c r="B93" s="864"/>
      <c r="C93" s="871"/>
      <c r="D93" s="910"/>
      <c r="E93" s="871"/>
      <c r="F93" s="871"/>
      <c r="G93" s="871"/>
      <c r="H93" s="871"/>
      <c r="I93" s="948"/>
      <c r="J93" s="871"/>
      <c r="K93" s="871"/>
      <c r="L93" s="956"/>
      <c r="M93" s="872"/>
      <c r="U93" s="956"/>
    </row>
    <row r="94" spans="1:21" ht="15.75">
      <c r="A94" s="872">
        <v>31</v>
      </c>
      <c r="B94" s="864" t="s">
        <v>172</v>
      </c>
      <c r="C94" s="871" t="s">
        <v>3</v>
      </c>
      <c r="D94" s="910"/>
      <c r="E94" s="871"/>
      <c r="F94" s="871"/>
      <c r="G94" s="871"/>
      <c r="H94" s="871"/>
      <c r="I94" s="910"/>
      <c r="J94" s="871"/>
      <c r="K94" s="871"/>
      <c r="L94" s="956"/>
      <c r="M94" s="872"/>
      <c r="U94" s="956"/>
    </row>
    <row r="95" spans="1:13" ht="15.75">
      <c r="A95" s="872">
        <v>32</v>
      </c>
      <c r="B95" s="4" t="s">
        <v>1135</v>
      </c>
      <c r="C95" s="961" t="s">
        <v>810</v>
      </c>
      <c r="D95" s="948">
        <f>(D144-D140-D141-2650968.6)/8</f>
        <v>8413447.9860779606</v>
      </c>
      <c r="E95" s="871"/>
      <c r="F95" s="871"/>
      <c r="G95" s="951"/>
      <c r="H95" s="871"/>
      <c r="I95" s="948">
        <f>(I144-I140-I141-2650968.6)/8</f>
        <v>8211322.7360779596</v>
      </c>
      <c r="J95" s="866"/>
      <c r="K95" s="951"/>
      <c r="L95" s="962"/>
      <c r="M95" s="872"/>
    </row>
    <row r="96" spans="1:13" ht="15.75">
      <c r="A96" s="872">
        <v>33</v>
      </c>
      <c r="B96" s="864" t="s">
        <v>173</v>
      </c>
      <c r="C96" s="871" t="s">
        <v>1081</v>
      </c>
      <c r="D96" s="889">
        <f>'Attachment 14 - Other Rate Base'!E11</f>
        <v>0</v>
      </c>
      <c r="E96" s="871"/>
      <c r="F96" s="871" t="s">
        <v>58</v>
      </c>
      <c r="G96" s="947">
        <f>I225</f>
        <v>0.97740769635324221</v>
      </c>
      <c r="H96" s="871"/>
      <c r="I96" s="948">
        <f>+G96*D96</f>
        <v>0</v>
      </c>
      <c r="J96" s="871" t="s">
        <v>3</v>
      </c>
      <c r="K96" s="951"/>
      <c r="L96" s="962"/>
      <c r="M96" s="872"/>
    </row>
    <row r="97" spans="1:13" ht="16.5" thickBot="1">
      <c r="A97" s="872">
        <v>34</v>
      </c>
      <c r="B97" s="864" t="s">
        <v>59</v>
      </c>
      <c r="C97" s="871" t="s">
        <v>1082</v>
      </c>
      <c r="D97" s="949">
        <f>'Attachment 14 - Other Rate Base'!E12</f>
        <v>471371</v>
      </c>
      <c r="E97" s="871"/>
      <c r="F97" s="871" t="s">
        <v>60</v>
      </c>
      <c r="G97" s="947">
        <f>+G61</f>
        <v>1</v>
      </c>
      <c r="H97" s="871"/>
      <c r="I97" s="949">
        <f>+G97*D97</f>
        <v>471371</v>
      </c>
      <c r="J97" s="871"/>
      <c r="K97" s="951"/>
      <c r="L97" s="962"/>
      <c r="M97" s="872"/>
    </row>
    <row r="98" spans="1:13" ht="15.75">
      <c r="A98" s="872">
        <v>35</v>
      </c>
      <c r="B98" s="864" t="s">
        <v>379</v>
      </c>
      <c r="C98" s="866"/>
      <c r="D98" s="889">
        <f>SUM(D95:D97)</f>
        <v>8884818.9860779606</v>
      </c>
      <c r="E98" s="866"/>
      <c r="F98" s="866"/>
      <c r="G98" s="866"/>
      <c r="H98" s="866"/>
      <c r="I98" s="948">
        <f>SUM(I95:I97)</f>
        <v>8682693.7360779606</v>
      </c>
      <c r="J98" s="866"/>
      <c r="K98" s="866"/>
      <c r="L98" s="865"/>
      <c r="M98" s="871"/>
    </row>
    <row r="99" spans="3:13" ht="16.5" thickBot="1">
      <c r="C99" s="871"/>
      <c r="D99" s="950"/>
      <c r="E99" s="871"/>
      <c r="F99" s="871"/>
      <c r="G99" s="871"/>
      <c r="H99" s="871"/>
      <c r="I99" s="950"/>
      <c r="J99" s="871"/>
      <c r="K99" s="871"/>
      <c r="L99" s="871"/>
      <c r="M99" s="871"/>
    </row>
    <row r="100" spans="1:13" ht="16.5" thickBot="1">
      <c r="A100" s="872">
        <v>36</v>
      </c>
      <c r="B100" s="864" t="s">
        <v>380</v>
      </c>
      <c r="C100" s="871"/>
      <c r="D100" s="963">
        <f>+D98+D92+D90+D77</f>
        <v>1604611743.6688285</v>
      </c>
      <c r="E100" s="871"/>
      <c r="F100" s="871"/>
      <c r="G100" s="951"/>
      <c r="H100" s="871"/>
      <c r="I100" s="963">
        <f>+I98+I92+I90+I77</f>
        <v>1604409618.4188285</v>
      </c>
      <c r="J100" s="871"/>
      <c r="K100" s="951"/>
      <c r="L100" s="871"/>
      <c r="M100" s="871"/>
    </row>
    <row r="101" spans="1:13" ht="16.5" thickTop="1">
      <c r="A101" s="872"/>
      <c r="B101" s="864"/>
      <c r="C101" s="871"/>
      <c r="D101" s="935"/>
      <c r="E101" s="871"/>
      <c r="F101" s="871"/>
      <c r="G101" s="951"/>
      <c r="H101" s="871"/>
      <c r="I101" s="964"/>
      <c r="J101" s="871"/>
      <c r="K101" s="951"/>
      <c r="L101" s="871"/>
      <c r="M101" s="871"/>
    </row>
    <row r="102" spans="1:13" ht="34.5" customHeight="1">
      <c r="A102" s="1099"/>
      <c r="B102" s="1175"/>
      <c r="C102" s="1176"/>
      <c r="D102" s="1176"/>
      <c r="E102" s="1176"/>
      <c r="F102" s="1176"/>
      <c r="G102" s="1176"/>
      <c r="H102" s="1176"/>
      <c r="I102" s="1176"/>
      <c r="J102" s="1176"/>
      <c r="K102" s="1176"/>
      <c r="L102" s="871"/>
      <c r="M102" s="871"/>
    </row>
    <row r="103" spans="1:13" ht="15.75">
      <c r="A103" s="872"/>
      <c r="B103" s="864"/>
      <c r="C103" s="871"/>
      <c r="D103" s="935"/>
      <c r="E103" s="871"/>
      <c r="F103" s="871"/>
      <c r="G103" s="951"/>
      <c r="H103" s="871"/>
      <c r="I103" s="964"/>
      <c r="J103" s="871"/>
      <c r="K103" s="951"/>
      <c r="L103" s="871"/>
      <c r="M103" s="871"/>
    </row>
    <row r="104" spans="1:13" ht="15.75">
      <c r="A104" s="872"/>
      <c r="B104" s="864"/>
      <c r="C104" s="871"/>
      <c r="D104" s="964"/>
      <c r="E104" s="871"/>
      <c r="F104" s="871"/>
      <c r="G104" s="951"/>
      <c r="H104" s="871"/>
      <c r="I104" s="964"/>
      <c r="J104" s="871"/>
      <c r="K104" s="951"/>
      <c r="L104" s="871"/>
      <c r="M104" s="871"/>
    </row>
    <row r="105" spans="1:13" ht="15.75">
      <c r="A105" s="872"/>
      <c r="B105" s="864"/>
      <c r="C105" s="871"/>
      <c r="D105" s="964"/>
      <c r="E105" s="871"/>
      <c r="F105" s="871"/>
      <c r="G105" s="951"/>
      <c r="H105" s="871"/>
      <c r="I105" s="964"/>
      <c r="J105" s="871"/>
      <c r="K105" s="951"/>
      <c r="L105" s="871"/>
      <c r="M105" s="871"/>
    </row>
    <row r="106" spans="1:13" ht="15.75">
      <c r="A106" s="872"/>
      <c r="B106" s="864"/>
      <c r="C106" s="871"/>
      <c r="D106" s="964"/>
      <c r="E106" s="871"/>
      <c r="F106" s="871"/>
      <c r="G106" s="951"/>
      <c r="H106" s="871"/>
      <c r="I106" s="964"/>
      <c r="J106" s="871"/>
      <c r="K106" s="951"/>
      <c r="L106" s="871"/>
      <c r="M106" s="871"/>
    </row>
    <row r="107" spans="1:13" ht="15.75">
      <c r="A107" s="872"/>
      <c r="B107" s="864"/>
      <c r="C107" s="871"/>
      <c r="D107" s="964"/>
      <c r="E107" s="871"/>
      <c r="F107" s="871"/>
      <c r="G107" s="951"/>
      <c r="H107" s="871"/>
      <c r="I107" s="964"/>
      <c r="J107" s="871"/>
      <c r="K107" s="951"/>
      <c r="L107" s="871"/>
      <c r="M107" s="871"/>
    </row>
    <row r="108" spans="1:13" ht="15.75">
      <c r="A108" s="872"/>
      <c r="B108" s="864"/>
      <c r="C108" s="871"/>
      <c r="D108" s="964"/>
      <c r="E108" s="871"/>
      <c r="F108" s="871"/>
      <c r="G108" s="951"/>
      <c r="H108" s="871"/>
      <c r="I108" s="964"/>
      <c r="J108" s="871"/>
      <c r="K108" s="951"/>
      <c r="L108" s="871"/>
      <c r="M108" s="871"/>
    </row>
    <row r="109" spans="1:13" ht="15.75">
      <c r="A109" s="872"/>
      <c r="B109" s="864"/>
      <c r="C109" s="871"/>
      <c r="D109" s="964"/>
      <c r="E109" s="871"/>
      <c r="F109" s="871"/>
      <c r="G109" s="951"/>
      <c r="H109" s="871"/>
      <c r="I109" s="964"/>
      <c r="J109" s="871"/>
      <c r="K109" s="951"/>
      <c r="L109" s="871"/>
      <c r="M109" s="871"/>
    </row>
    <row r="110" spans="1:13" ht="15.75">
      <c r="A110" s="872"/>
      <c r="B110" s="864"/>
      <c r="C110" s="871"/>
      <c r="D110" s="964"/>
      <c r="E110" s="871"/>
      <c r="F110" s="871"/>
      <c r="G110" s="951"/>
      <c r="H110" s="871"/>
      <c r="I110" s="964"/>
      <c r="J110" s="871"/>
      <c r="K110" s="951"/>
      <c r="L110" s="871"/>
      <c r="M110" s="871"/>
    </row>
    <row r="111" spans="1:13" ht="15.75">
      <c r="A111" s="872"/>
      <c r="B111" s="864"/>
      <c r="C111" s="871"/>
      <c r="D111" s="964"/>
      <c r="E111" s="871"/>
      <c r="F111" s="871"/>
      <c r="G111" s="951"/>
      <c r="H111" s="871"/>
      <c r="I111" s="964"/>
      <c r="J111" s="871"/>
      <c r="K111" s="951"/>
      <c r="L111" s="871"/>
      <c r="M111" s="871"/>
    </row>
    <row r="112" spans="1:13" ht="15.75">
      <c r="A112" s="872"/>
      <c r="B112" s="864"/>
      <c r="C112" s="871"/>
      <c r="D112" s="964"/>
      <c r="E112" s="871"/>
      <c r="F112" s="871"/>
      <c r="G112" s="951"/>
      <c r="H112" s="871"/>
      <c r="I112" s="964"/>
      <c r="J112" s="871"/>
      <c r="K112" s="951"/>
      <c r="L112" s="871"/>
      <c r="M112" s="871"/>
    </row>
    <row r="113" spans="1:13" ht="15.75">
      <c r="A113" s="872"/>
      <c r="B113" s="864"/>
      <c r="C113" s="871"/>
      <c r="D113" s="964"/>
      <c r="E113" s="871"/>
      <c r="F113" s="871"/>
      <c r="G113" s="951"/>
      <c r="H113" s="871"/>
      <c r="I113" s="964"/>
      <c r="J113" s="871"/>
      <c r="K113" s="951"/>
      <c r="L113" s="871"/>
      <c r="M113" s="871"/>
    </row>
    <row r="114" spans="1:13" ht="15.75">
      <c r="A114" s="872"/>
      <c r="B114" s="864"/>
      <c r="C114" s="871"/>
      <c r="D114" s="964"/>
      <c r="E114" s="871"/>
      <c r="F114" s="871"/>
      <c r="G114" s="951"/>
      <c r="H114" s="871"/>
      <c r="I114" s="964"/>
      <c r="J114" s="871"/>
      <c r="K114" s="951"/>
      <c r="L114" s="871"/>
      <c r="M114" s="871"/>
    </row>
    <row r="115" spans="1:12" ht="15.75">
      <c r="A115" s="965"/>
      <c r="B115" s="864"/>
      <c r="C115" s="871"/>
      <c r="D115" s="964"/>
      <c r="E115" s="871"/>
      <c r="F115" s="871"/>
      <c r="G115" s="951"/>
      <c r="H115" s="871"/>
      <c r="I115" s="964"/>
      <c r="J115" s="870"/>
      <c r="K115" s="966"/>
      <c r="L115" s="863"/>
    </row>
    <row r="116" spans="1:12" ht="15.75">
      <c r="A116" s="965"/>
      <c r="B116" s="885"/>
      <c r="C116" s="871"/>
      <c r="D116" s="964"/>
      <c r="E116" s="871"/>
      <c r="F116" s="871"/>
      <c r="G116" s="951"/>
      <c r="H116" s="871"/>
      <c r="I116" s="964"/>
      <c r="J116" s="871"/>
      <c r="K116" s="966"/>
      <c r="L116" s="863"/>
    </row>
    <row r="117" spans="2:13" ht="15.75">
      <c r="B117" s="864"/>
      <c r="C117" s="864"/>
      <c r="D117" s="865"/>
      <c r="E117" s="864"/>
      <c r="F117" s="864"/>
      <c r="G117" s="864"/>
      <c r="H117" s="866"/>
      <c r="I117" s="872"/>
      <c r="J117" s="872"/>
      <c r="K117" s="867"/>
      <c r="L117" s="866"/>
      <c r="M117" s="866"/>
    </row>
    <row r="118" spans="2:13" ht="15.75">
      <c r="B118" s="864"/>
      <c r="C118" s="864"/>
      <c r="D118" s="865"/>
      <c r="E118" s="864"/>
      <c r="F118" s="864"/>
      <c r="G118" s="864"/>
      <c r="H118" s="866"/>
      <c r="I118" s="867"/>
      <c r="J118" s="867"/>
      <c r="K118" s="867"/>
      <c r="L118" s="866"/>
      <c r="M118" s="866"/>
    </row>
    <row r="119" spans="2:13" ht="16.5" customHeight="1">
      <c r="B119" s="864"/>
      <c r="C119" s="864"/>
      <c r="D119" s="865"/>
      <c r="E119" s="864"/>
      <c r="F119" s="864"/>
      <c r="G119" s="864"/>
      <c r="H119" s="866"/>
      <c r="I119" s="866"/>
      <c r="K119" s="867" t="str">
        <f>K44</f>
        <v>Attachment  H-28A</v>
      </c>
      <c r="L119" s="866"/>
      <c r="M119" s="866"/>
    </row>
    <row r="120" spans="2:13" ht="16.5" customHeight="1">
      <c r="B120" s="864"/>
      <c r="C120" s="864"/>
      <c r="D120" s="865"/>
      <c r="E120" s="864"/>
      <c r="F120" s="864"/>
      <c r="G120" s="864"/>
      <c r="H120" s="866"/>
      <c r="I120" s="866"/>
      <c r="J120" s="866"/>
      <c r="K120" s="867" t="s">
        <v>161</v>
      </c>
      <c r="L120" s="866"/>
      <c r="M120" s="866"/>
    </row>
    <row r="121" spans="2:13" ht="16.5" customHeight="1">
      <c r="B121" s="864"/>
      <c r="C121" s="864"/>
      <c r="D121" s="865"/>
      <c r="E121" s="864"/>
      <c r="F121" s="864"/>
      <c r="G121" s="864"/>
      <c r="H121" s="866"/>
      <c r="I121" s="866"/>
      <c r="J121" s="866"/>
      <c r="K121" s="867"/>
      <c r="L121" s="866"/>
      <c r="M121" s="866"/>
    </row>
    <row r="122" spans="2:13" ht="15.75">
      <c r="B122" s="864" t="s">
        <v>1</v>
      </c>
      <c r="C122" s="864"/>
      <c r="D122" s="865" t="s">
        <v>2</v>
      </c>
      <c r="E122" s="864"/>
      <c r="F122" s="864"/>
      <c r="G122" s="864"/>
      <c r="H122" s="898"/>
      <c r="I122" s="907"/>
      <c r="J122" s="898"/>
      <c r="K122" s="937" t="str">
        <f>K4</f>
        <v>For the 12 months ended 12/31/2021</v>
      </c>
      <c r="L122" s="866"/>
      <c r="M122" s="866"/>
    </row>
    <row r="123" spans="2:13" ht="15.75">
      <c r="B123" s="864"/>
      <c r="C123" s="871" t="s">
        <v>3</v>
      </c>
      <c r="D123" s="871" t="s">
        <v>4</v>
      </c>
      <c r="E123" s="871"/>
      <c r="F123" s="871"/>
      <c r="G123" s="871"/>
      <c r="H123" s="866"/>
      <c r="I123" s="866"/>
      <c r="J123" s="866"/>
      <c r="K123" s="866"/>
      <c r="L123" s="866"/>
      <c r="M123" s="866"/>
    </row>
    <row r="124" spans="2:13" ht="15.75">
      <c r="B124" s="864"/>
      <c r="C124" s="871"/>
      <c r="D124" s="871"/>
      <c r="E124" s="871"/>
      <c r="F124" s="871"/>
      <c r="G124" s="871"/>
      <c r="H124" s="866"/>
      <c r="I124" s="866"/>
      <c r="J124" s="866"/>
      <c r="K124" s="866"/>
      <c r="L124" s="866"/>
      <c r="M124" s="866"/>
    </row>
    <row r="125" spans="1:13" ht="15.75">
      <c r="A125" s="872"/>
      <c r="D125" s="863" t="str">
        <f>D7</f>
        <v>Mid-Atlantic Interstate Transmission, LLC</v>
      </c>
      <c r="J125" s="871"/>
      <c r="K125" s="871"/>
      <c r="L125" s="871"/>
      <c r="M125" s="871"/>
    </row>
    <row r="126" spans="1:13" ht="15.75">
      <c r="A126" s="872"/>
      <c r="B126" s="872" t="s">
        <v>22</v>
      </c>
      <c r="C126" s="872" t="s">
        <v>23</v>
      </c>
      <c r="D126" s="872" t="s">
        <v>24</v>
      </c>
      <c r="E126" s="871" t="s">
        <v>3</v>
      </c>
      <c r="F126" s="871"/>
      <c r="G126" s="874" t="s">
        <v>25</v>
      </c>
      <c r="H126" s="871"/>
      <c r="I126" s="875" t="s">
        <v>26</v>
      </c>
      <c r="J126" s="871"/>
      <c r="K126" s="871"/>
      <c r="L126" s="866"/>
      <c r="M126" s="871"/>
    </row>
    <row r="127" spans="1:13" ht="15.75">
      <c r="A127" s="872" t="s">
        <v>5</v>
      </c>
      <c r="B127" s="864"/>
      <c r="C127" s="939"/>
      <c r="D127" s="871"/>
      <c r="E127" s="871"/>
      <c r="F127" s="871"/>
      <c r="G127" s="872"/>
      <c r="H127" s="871"/>
      <c r="I127" s="940" t="s">
        <v>28</v>
      </c>
      <c r="J127" s="871"/>
      <c r="K127" s="940"/>
      <c r="L127" s="872"/>
      <c r="M127" s="871"/>
    </row>
    <row r="128" spans="1:13" ht="16.5" thickBot="1">
      <c r="A128" s="877" t="s">
        <v>7</v>
      </c>
      <c r="B128" s="864"/>
      <c r="C128" s="939" t="s">
        <v>374</v>
      </c>
      <c r="D128" s="940" t="s">
        <v>29</v>
      </c>
      <c r="E128" s="942"/>
      <c r="F128" s="940" t="s">
        <v>30</v>
      </c>
      <c r="H128" s="942"/>
      <c r="I128" s="872" t="s">
        <v>31</v>
      </c>
      <c r="J128" s="871"/>
      <c r="K128" s="940"/>
      <c r="L128" s="940"/>
      <c r="M128" s="871"/>
    </row>
    <row r="129" spans="1:13" ht="15.75">
      <c r="A129" s="872"/>
      <c r="B129" s="864" t="s">
        <v>599</v>
      </c>
      <c r="C129" s="871"/>
      <c r="D129" s="871"/>
      <c r="E129" s="871"/>
      <c r="F129" s="871"/>
      <c r="G129" s="871"/>
      <c r="H129" s="871"/>
      <c r="I129" s="871"/>
      <c r="J129" s="871"/>
      <c r="K129" s="871"/>
      <c r="L129" s="871"/>
      <c r="M129" s="871"/>
    </row>
    <row r="130" spans="1:13" ht="15.75">
      <c r="A130" s="872">
        <v>1</v>
      </c>
      <c r="B130" s="864" t="s">
        <v>61</v>
      </c>
      <c r="C130" s="871" t="s">
        <v>1090</v>
      </c>
      <c r="D130" s="893">
        <f>'Attachment 20 - O&amp;M and A&amp;G'!F39</f>
        <v>71573135.049999997</v>
      </c>
      <c r="E130" s="871"/>
      <c r="F130" s="871" t="s">
        <v>58</v>
      </c>
      <c r="G130" s="947">
        <f>I225</f>
        <v>0.97740769635324221</v>
      </c>
      <c r="H130" s="871"/>
      <c r="I130" s="948">
        <f>+G130*D130</f>
        <v>69956133.049999997</v>
      </c>
      <c r="J130" s="866"/>
      <c r="K130" s="871"/>
      <c r="L130" s="871"/>
      <c r="M130" s="872"/>
    </row>
    <row r="131" spans="1:13" ht="15.75">
      <c r="A131" s="884">
        <v>2</v>
      </c>
      <c r="B131" s="885" t="s">
        <v>309</v>
      </c>
      <c r="C131" s="870"/>
      <c r="D131" s="893">
        <v>13302</v>
      </c>
      <c r="E131" s="870"/>
      <c r="F131" s="870" t="s">
        <v>542</v>
      </c>
      <c r="G131" s="967">
        <v>1</v>
      </c>
      <c r="H131" s="871"/>
      <c r="I131" s="948">
        <f>+G131*D131</f>
        <v>13302</v>
      </c>
      <c r="J131" s="866"/>
      <c r="K131" s="871"/>
      <c r="L131" s="871"/>
      <c r="M131" s="872"/>
    </row>
    <row r="132" spans="1:13" ht="15.75">
      <c r="A132" s="872">
        <v>3</v>
      </c>
      <c r="B132" s="885" t="s">
        <v>62</v>
      </c>
      <c r="C132" s="870" t="s">
        <v>154</v>
      </c>
      <c r="D132" s="893"/>
      <c r="E132" s="870"/>
      <c r="F132" s="870" t="s">
        <v>542</v>
      </c>
      <c r="G132" s="967">
        <v>1</v>
      </c>
      <c r="H132" s="871"/>
      <c r="I132" s="948">
        <f t="shared" si="4" ref="I132:I140">+G132*D132</f>
        <v>0</v>
      </c>
      <c r="J132" s="866"/>
      <c r="K132" s="871"/>
      <c r="L132" s="871"/>
      <c r="M132" s="872"/>
    </row>
    <row r="133" spans="1:13" ht="15.75">
      <c r="A133" s="872">
        <v>4</v>
      </c>
      <c r="B133" s="885" t="s">
        <v>540</v>
      </c>
      <c r="C133" s="870" t="s">
        <v>541</v>
      </c>
      <c r="D133" s="893">
        <f>'Attachment 20 - O&amp;M and A&amp;G'!F24</f>
        <v>9514101.8399999999</v>
      </c>
      <c r="E133" s="870"/>
      <c r="F133" s="870" t="s">
        <v>542</v>
      </c>
      <c r="G133" s="967">
        <f>G89</f>
        <v>1</v>
      </c>
      <c r="H133" s="871"/>
      <c r="I133" s="948">
        <f>+G133*D133</f>
        <v>9514101.8399999999</v>
      </c>
      <c r="J133" s="866"/>
      <c r="K133" s="871"/>
      <c r="L133" s="871"/>
      <c r="M133" s="968"/>
    </row>
    <row r="134" spans="1:13" ht="15.75">
      <c r="A134" s="872">
        <v>5</v>
      </c>
      <c r="B134" s="864" t="s">
        <v>63</v>
      </c>
      <c r="C134" s="871" t="s">
        <v>1091</v>
      </c>
      <c r="D134" s="893">
        <f>'Attachment 20 - O&amp;M and A&amp;G'!F71</f>
        <v>-3769631</v>
      </c>
      <c r="E134" s="871"/>
      <c r="F134" s="871" t="s">
        <v>39</v>
      </c>
      <c r="G134" s="947">
        <f>+G67</f>
        <v>1</v>
      </c>
      <c r="H134" s="871"/>
      <c r="I134" s="948">
        <f t="shared" si="4"/>
        <v>-3769631</v>
      </c>
      <c r="J134" s="871"/>
      <c r="K134" s="871" t="s">
        <v>3</v>
      </c>
      <c r="L134" s="871"/>
      <c r="M134" s="872"/>
    </row>
    <row r="135" spans="1:13" ht="15.75">
      <c r="A135" s="872">
        <v>6</v>
      </c>
      <c r="B135" s="864" t="s">
        <v>64</v>
      </c>
      <c r="C135" s="870"/>
      <c r="D135" s="893"/>
      <c r="E135" s="871"/>
      <c r="F135" s="871" t="str">
        <f>+F134</f>
        <v>W/S</v>
      </c>
      <c r="G135" s="947">
        <f>+G134</f>
        <v>1</v>
      </c>
      <c r="H135" s="871"/>
      <c r="I135" s="948">
        <f>+G135*D135</f>
        <v>0</v>
      </c>
      <c r="J135" s="871"/>
      <c r="K135" s="871"/>
      <c r="L135" s="871"/>
      <c r="M135" s="872"/>
    </row>
    <row r="136" spans="1:13" ht="15.75">
      <c r="A136" s="872">
        <v>7</v>
      </c>
      <c r="B136" s="885" t="s">
        <v>310</v>
      </c>
      <c r="C136" s="870"/>
      <c r="D136" s="893">
        <v>0</v>
      </c>
      <c r="E136" s="871"/>
      <c r="F136" s="871" t="str">
        <f>+F135</f>
        <v>W/S</v>
      </c>
      <c r="G136" s="947">
        <f>+G135</f>
        <v>1</v>
      </c>
      <c r="H136" s="871"/>
      <c r="I136" s="948">
        <f>+G136*D136</f>
        <v>0</v>
      </c>
      <c r="J136" s="871"/>
      <c r="K136" s="871"/>
      <c r="L136" s="871"/>
      <c r="M136" s="872"/>
    </row>
    <row r="137" spans="1:13" ht="15.75">
      <c r="A137" s="872">
        <v>8</v>
      </c>
      <c r="B137" s="885" t="s">
        <v>311</v>
      </c>
      <c r="C137" s="870"/>
      <c r="D137" s="893"/>
      <c r="E137" s="870"/>
      <c r="F137" s="969" t="str">
        <f>+F130</f>
        <v>TE</v>
      </c>
      <c r="G137" s="967">
        <f>+G130</f>
        <v>0.97740769635324221</v>
      </c>
      <c r="H137" s="871"/>
      <c r="I137" s="948">
        <f t="shared" si="4"/>
        <v>0</v>
      </c>
      <c r="J137" s="871"/>
      <c r="K137" s="871"/>
      <c r="L137" s="871"/>
      <c r="M137" s="872"/>
    </row>
    <row r="138" spans="1:13" ht="15.75">
      <c r="A138" s="872">
        <v>9</v>
      </c>
      <c r="B138" s="885" t="s">
        <v>415</v>
      </c>
      <c r="C138" s="870" t="s">
        <v>622</v>
      </c>
      <c r="D138" s="889">
        <f>'Attachment 6 - PBOP'!E14</f>
        <v>2168350.4386236742</v>
      </c>
      <c r="E138" s="870"/>
      <c r="F138" s="969" t="s">
        <v>542</v>
      </c>
      <c r="G138" s="967">
        <v>1</v>
      </c>
      <c r="H138" s="871"/>
      <c r="I138" s="948">
        <f>D138*G138</f>
        <v>2168350.4386236742</v>
      </c>
      <c r="J138" s="871"/>
      <c r="K138" s="871"/>
      <c r="L138" s="863"/>
      <c r="M138" s="872"/>
    </row>
    <row r="139" spans="1:13" ht="15.75">
      <c r="A139" s="872">
        <v>10</v>
      </c>
      <c r="B139" s="864" t="s">
        <v>40</v>
      </c>
      <c r="C139" s="968">
        <v>356.10000000000002</v>
      </c>
      <c r="D139" s="893"/>
      <c r="E139" s="871"/>
      <c r="F139" s="871" t="s">
        <v>41</v>
      </c>
      <c r="G139" s="947">
        <f>+G68</f>
        <v>1</v>
      </c>
      <c r="H139" s="871"/>
      <c r="I139" s="948">
        <f t="shared" si="4"/>
        <v>0</v>
      </c>
      <c r="J139" s="871"/>
      <c r="K139" s="871"/>
      <c r="L139" s="871"/>
      <c r="M139" s="872"/>
    </row>
    <row r="140" spans="1:13" ht="15.75">
      <c r="A140" s="872">
        <v>11</v>
      </c>
      <c r="B140" s="970" t="s">
        <v>820</v>
      </c>
      <c r="C140" s="870" t="s">
        <v>867</v>
      </c>
      <c r="D140" s="957">
        <f>'Attach 16a Reg Asset-Storms'!F20+'Attach 16b Reg Asset-Veg Mgmt'!F20+'Attach 16c Reg Asset-start Cost'!F20</f>
        <v>597246.99999999907</v>
      </c>
      <c r="E140" s="870"/>
      <c r="F140" s="870" t="s">
        <v>416</v>
      </c>
      <c r="G140" s="947">
        <v>1</v>
      </c>
      <c r="H140" s="871"/>
      <c r="I140" s="948">
        <f t="shared" si="4"/>
        <v>597246.99999999907</v>
      </c>
      <c r="J140" s="871"/>
      <c r="K140" s="871"/>
      <c r="L140" s="871"/>
      <c r="M140" s="872"/>
    </row>
    <row r="141" spans="1:13" ht="15.75">
      <c r="A141" s="872">
        <v>12</v>
      </c>
      <c r="B141" s="970" t="s">
        <v>807</v>
      </c>
      <c r="C141" s="870" t="s">
        <v>884</v>
      </c>
      <c r="D141" s="960">
        <v>0</v>
      </c>
      <c r="E141" s="870"/>
      <c r="F141" s="870" t="s">
        <v>416</v>
      </c>
      <c r="G141" s="947">
        <v>1</v>
      </c>
      <c r="H141" s="871"/>
      <c r="I141" s="958">
        <f>D141*G141</f>
        <v>0</v>
      </c>
      <c r="J141" s="871"/>
      <c r="K141" s="871"/>
      <c r="L141" s="871"/>
      <c r="M141" s="872"/>
    </row>
    <row r="142" spans="1:13" ht="15.75">
      <c r="A142" s="872">
        <v>13</v>
      </c>
      <c r="B142" s="970" t="s">
        <v>809</v>
      </c>
      <c r="C142" s="870"/>
      <c r="D142" s="957">
        <f>D133-D141</f>
        <v>9514101.8399999999</v>
      </c>
      <c r="E142" s="870"/>
      <c r="F142" s="870" t="s">
        <v>542</v>
      </c>
      <c r="G142" s="947">
        <v>1</v>
      </c>
      <c r="H142" s="871"/>
      <c r="I142" s="958">
        <f>D142*G142</f>
        <v>9514101.8399999999</v>
      </c>
      <c r="J142" s="871"/>
      <c r="K142" s="871"/>
      <c r="L142" s="871"/>
      <c r="M142" s="872"/>
    </row>
    <row r="143" spans="1:13" ht="16.5" thickBot="1">
      <c r="A143" s="872">
        <v>14</v>
      </c>
      <c r="B143" s="970" t="s">
        <v>787</v>
      </c>
      <c r="C143" s="870"/>
      <c r="D143" s="971">
        <f>D141+D142</f>
        <v>9514101.8399999999</v>
      </c>
      <c r="E143" s="870"/>
      <c r="F143" s="870"/>
      <c r="G143" s="947"/>
      <c r="H143" s="871"/>
      <c r="I143" s="972">
        <f>I141+I142</f>
        <v>9514101.8399999999</v>
      </c>
      <c r="J143" s="871"/>
      <c r="K143" s="871"/>
      <c r="L143" s="871"/>
      <c r="M143" s="872"/>
    </row>
    <row r="144" spans="1:13" ht="15.75">
      <c r="A144" s="872">
        <v>15</v>
      </c>
      <c r="B144" s="864" t="s">
        <v>808</v>
      </c>
      <c r="C144" s="870"/>
      <c r="D144" s="889">
        <f>D130+D134+D138+D139+D140-D131-D132-D133-D135-D136+D137+D143</f>
        <v>70555799.488623679</v>
      </c>
      <c r="E144" s="871"/>
      <c r="F144" s="871"/>
      <c r="G144" s="871"/>
      <c r="H144" s="871"/>
      <c r="I144" s="889">
        <f>I130+I134+I138+I139+I140-I131-I132-I133-I135-I136+I137+I143</f>
        <v>68938797.488623679</v>
      </c>
      <c r="J144" s="871"/>
      <c r="K144" s="871"/>
      <c r="L144" s="953"/>
      <c r="M144" s="871"/>
    </row>
    <row r="145" spans="1:13" ht="15.75">
      <c r="A145" s="872"/>
      <c r="C145" s="870"/>
      <c r="D145" s="948"/>
      <c r="E145" s="871"/>
      <c r="F145" s="871"/>
      <c r="G145" s="871"/>
      <c r="H145" s="871"/>
      <c r="I145" s="948"/>
      <c r="J145" s="871"/>
      <c r="K145" s="871"/>
      <c r="L145" s="871"/>
      <c r="M145" s="871"/>
    </row>
    <row r="146" spans="1:13" ht="15.75">
      <c r="A146" s="872"/>
      <c r="B146" s="885" t="s">
        <v>233</v>
      </c>
      <c r="C146" s="870"/>
      <c r="D146" s="948"/>
      <c r="E146" s="871"/>
      <c r="F146" s="871"/>
      <c r="G146" s="871"/>
      <c r="H146" s="871"/>
      <c r="I146" s="948"/>
      <c r="J146" s="871"/>
      <c r="K146" s="871"/>
      <c r="L146" s="871"/>
      <c r="M146" s="871"/>
    </row>
    <row r="147" spans="1:13" ht="15.75">
      <c r="A147" s="872">
        <v>16</v>
      </c>
      <c r="B147" s="864" t="str">
        <f>+B130</f>
        <v xml:space="preserve">  Transmission </v>
      </c>
      <c r="C147" s="870" t="s">
        <v>340</v>
      </c>
      <c r="D147" s="893">
        <v>46458854</v>
      </c>
      <c r="E147" s="871"/>
      <c r="F147" s="871" t="s">
        <v>13</v>
      </c>
      <c r="G147" s="947">
        <f>+G92</f>
        <v>1</v>
      </c>
      <c r="H147" s="871"/>
      <c r="I147" s="948">
        <f>+G147*D147</f>
        <v>46458854</v>
      </c>
      <c r="J147" s="871"/>
      <c r="K147" s="951"/>
      <c r="L147" s="871"/>
      <c r="M147" s="872"/>
    </row>
    <row r="148" spans="1:20" s="907" customFormat="1" ht="15.75">
      <c r="A148" s="872">
        <v>17</v>
      </c>
      <c r="B148" s="968" t="s">
        <v>38</v>
      </c>
      <c r="C148" s="870" t="s">
        <v>341</v>
      </c>
      <c r="D148" s="893">
        <v>7005848</v>
      </c>
      <c r="E148" s="871"/>
      <c r="F148" s="871" t="str">
        <f>F67</f>
        <v>W/S</v>
      </c>
      <c r="G148" s="947">
        <f>G67</f>
        <v>1</v>
      </c>
      <c r="H148" s="871"/>
      <c r="I148" s="948">
        <f>+G148*D148</f>
        <v>7005848</v>
      </c>
      <c r="J148" s="871"/>
      <c r="K148" s="951"/>
      <c r="L148" s="863"/>
      <c r="M148" s="872"/>
      <c r="N148" s="863"/>
      <c r="O148" s="863"/>
      <c r="P148" s="863"/>
      <c r="Q148" s="863"/>
      <c r="R148" s="863"/>
      <c r="S148" s="863"/>
      <c r="T148" s="863"/>
    </row>
    <row r="149" spans="1:13" ht="15.75">
      <c r="A149" s="872">
        <v>18</v>
      </c>
      <c r="B149" s="864" t="str">
        <f>+B139</f>
        <v xml:space="preserve">  Common</v>
      </c>
      <c r="C149" s="870" t="s">
        <v>342</v>
      </c>
      <c r="D149" s="960">
        <v>0</v>
      </c>
      <c r="E149" s="871"/>
      <c r="F149" s="871" t="s">
        <v>41</v>
      </c>
      <c r="G149" s="947">
        <f>+G139</f>
        <v>1</v>
      </c>
      <c r="H149" s="871"/>
      <c r="I149" s="958">
        <f>+G149*D149</f>
        <v>0</v>
      </c>
      <c r="J149" s="871"/>
      <c r="K149" s="951"/>
      <c r="L149" s="871"/>
      <c r="M149" s="872"/>
    </row>
    <row r="150" spans="1:13" ht="16.5" thickBot="1">
      <c r="A150" s="872">
        <v>19</v>
      </c>
      <c r="B150" s="885" t="s">
        <v>381</v>
      </c>
      <c r="C150" s="870" t="s">
        <v>868</v>
      </c>
      <c r="D150" s="949">
        <f>'Attachment 17 - Abandoned Plant'!F20</f>
        <v>0</v>
      </c>
      <c r="E150" s="870"/>
      <c r="F150" s="870" t="s">
        <v>416</v>
      </c>
      <c r="G150" s="967">
        <v>1</v>
      </c>
      <c r="H150" s="871"/>
      <c r="I150" s="950">
        <f>D150*G150</f>
        <v>0</v>
      </c>
      <c r="J150" s="871"/>
      <c r="K150" s="951"/>
      <c r="L150" s="871"/>
      <c r="M150" s="872"/>
    </row>
    <row r="151" spans="1:13" ht="15.75">
      <c r="A151" s="872">
        <v>20</v>
      </c>
      <c r="B151" s="864" t="s">
        <v>743</v>
      </c>
      <c r="C151" s="871"/>
      <c r="D151" s="948">
        <f>SUM(D147:D150)</f>
        <v>53464702</v>
      </c>
      <c r="E151" s="871"/>
      <c r="F151" s="871"/>
      <c r="G151" s="871"/>
      <c r="H151" s="871"/>
      <c r="I151" s="948">
        <f>SUM(I147:I150)</f>
        <v>53464702</v>
      </c>
      <c r="J151" s="871"/>
      <c r="K151" s="871"/>
      <c r="L151" s="871"/>
      <c r="M151" s="871"/>
    </row>
    <row r="152" spans="1:13" ht="15.75">
      <c r="A152" s="872"/>
      <c r="B152" s="864"/>
      <c r="C152" s="871"/>
      <c r="D152" s="948"/>
      <c r="E152" s="871"/>
      <c r="F152" s="871"/>
      <c r="G152" s="871"/>
      <c r="H152" s="871"/>
      <c r="I152" s="948"/>
      <c r="J152" s="871"/>
      <c r="K152" s="871"/>
      <c r="L152" s="871"/>
      <c r="M152" s="871"/>
    </row>
    <row r="153" spans="1:13" ht="15.75">
      <c r="A153" s="872" t="s">
        <v>3</v>
      </c>
      <c r="B153" s="864" t="s">
        <v>174</v>
      </c>
      <c r="D153" s="948"/>
      <c r="E153" s="871"/>
      <c r="F153" s="871"/>
      <c r="G153" s="871"/>
      <c r="H153" s="871"/>
      <c r="I153" s="948"/>
      <c r="J153" s="871"/>
      <c r="K153" s="871"/>
      <c r="L153" s="871"/>
      <c r="M153" s="871"/>
    </row>
    <row r="154" spans="1:13" ht="15.75">
      <c r="A154" s="872"/>
      <c r="B154" s="864" t="s">
        <v>65</v>
      </c>
      <c r="D154" s="948"/>
      <c r="E154" s="871"/>
      <c r="F154" s="871"/>
      <c r="H154" s="871"/>
      <c r="I154" s="948"/>
      <c r="J154" s="871"/>
      <c r="K154" s="951"/>
      <c r="L154" s="962"/>
      <c r="M154" s="872"/>
    </row>
    <row r="155" spans="1:13" ht="15.75">
      <c r="A155" s="872">
        <v>21</v>
      </c>
      <c r="B155" s="864" t="s">
        <v>66</v>
      </c>
      <c r="C155" s="871" t="s">
        <v>649</v>
      </c>
      <c r="D155" s="889">
        <f>'Attachment 7 - Taxes Other '!D11</f>
        <v>552125</v>
      </c>
      <c r="E155" s="871"/>
      <c r="F155" s="871" t="s">
        <v>39</v>
      </c>
      <c r="G155" s="887">
        <f>I233</f>
        <v>1</v>
      </c>
      <c r="H155" s="871"/>
      <c r="I155" s="948">
        <f>+G155*D155</f>
        <v>552125</v>
      </c>
      <c r="J155" s="871"/>
      <c r="K155" s="951"/>
      <c r="L155" s="973"/>
      <c r="M155" s="872"/>
    </row>
    <row r="156" spans="1:13" ht="15.75">
      <c r="A156" s="872">
        <v>22</v>
      </c>
      <c r="B156" s="864" t="s">
        <v>68</v>
      </c>
      <c r="C156" s="871" t="s">
        <v>650</v>
      </c>
      <c r="D156" s="889">
        <f>'Attachment 7 - Taxes Other '!D15</f>
        <v>0</v>
      </c>
      <c r="E156" s="871"/>
      <c r="F156" s="871" t="str">
        <f>+F155</f>
        <v>W/S</v>
      </c>
      <c r="G156" s="887">
        <f>+G155</f>
        <v>1</v>
      </c>
      <c r="H156" s="871"/>
      <c r="I156" s="948">
        <f>+G156*D156</f>
        <v>0</v>
      </c>
      <c r="J156" s="871"/>
      <c r="K156" s="951"/>
      <c r="L156" s="973"/>
      <c r="M156" s="872"/>
    </row>
    <row r="157" spans="1:13" ht="15.75">
      <c r="A157" s="872">
        <v>23</v>
      </c>
      <c r="B157" s="864" t="s">
        <v>69</v>
      </c>
      <c r="C157" s="871" t="s">
        <v>3</v>
      </c>
      <c r="D157" s="889"/>
      <c r="E157" s="871"/>
      <c r="F157" s="871"/>
      <c r="H157" s="871"/>
      <c r="I157" s="948"/>
      <c r="J157" s="871"/>
      <c r="K157" s="951"/>
      <c r="L157" s="973"/>
      <c r="M157" s="872"/>
    </row>
    <row r="158" spans="1:13" ht="15.75">
      <c r="A158" s="872">
        <v>24</v>
      </c>
      <c r="B158" s="864" t="s">
        <v>70</v>
      </c>
      <c r="C158" s="871" t="s">
        <v>651</v>
      </c>
      <c r="D158" s="889">
        <f>'Attachment 7 - Taxes Other '!D21</f>
        <v>125574</v>
      </c>
      <c r="E158" s="871"/>
      <c r="F158" s="871" t="s">
        <v>60</v>
      </c>
      <c r="G158" s="887">
        <f>+G61</f>
        <v>1</v>
      </c>
      <c r="H158" s="871"/>
      <c r="I158" s="948">
        <f>+G158*D158</f>
        <v>125574</v>
      </c>
      <c r="J158" s="871"/>
      <c r="K158" s="951"/>
      <c r="L158" s="973"/>
      <c r="M158" s="865"/>
    </row>
    <row r="159" spans="1:13" ht="15.75">
      <c r="A159" s="872">
        <v>25</v>
      </c>
      <c r="B159" s="864" t="s">
        <v>71</v>
      </c>
      <c r="C159" s="871" t="s">
        <v>652</v>
      </c>
      <c r="D159" s="889">
        <f>'Attachment 7 - Taxes Other '!D25</f>
        <v>0</v>
      </c>
      <c r="E159" s="871"/>
      <c r="F159" s="870" t="str">
        <f>+F80</f>
        <v>NA</v>
      </c>
      <c r="G159" s="974"/>
      <c r="H159" s="871"/>
      <c r="I159" s="948">
        <v>0</v>
      </c>
      <c r="J159" s="871"/>
      <c r="K159" s="951"/>
      <c r="L159" s="973"/>
      <c r="M159" s="872"/>
    </row>
    <row r="160" spans="1:13" ht="15.75">
      <c r="A160" s="872">
        <v>26</v>
      </c>
      <c r="B160" s="864" t="s">
        <v>72</v>
      </c>
      <c r="C160" s="871" t="s">
        <v>653</v>
      </c>
      <c r="D160" s="889">
        <f>'Attachment 7 - Taxes Other '!D31</f>
        <v>0</v>
      </c>
      <c r="E160" s="871"/>
      <c r="F160" s="871" t="str">
        <f>+F158</f>
        <v>GP</v>
      </c>
      <c r="G160" s="887">
        <f>+G158</f>
        <v>1</v>
      </c>
      <c r="H160" s="871"/>
      <c r="I160" s="948">
        <f>+G160*D160</f>
        <v>0</v>
      </c>
      <c r="J160" s="871"/>
      <c r="K160" s="951"/>
      <c r="L160" s="973"/>
      <c r="M160" s="872"/>
    </row>
    <row r="161" spans="1:13" ht="16.5" thickBot="1">
      <c r="A161" s="872">
        <v>27</v>
      </c>
      <c r="B161" s="864" t="s">
        <v>73</v>
      </c>
      <c r="C161" s="871" t="s">
        <v>640</v>
      </c>
      <c r="D161" s="949">
        <f>'Attachment 7 - Taxes Other '!D33</f>
        <v>0</v>
      </c>
      <c r="E161" s="871"/>
      <c r="F161" s="871" t="s">
        <v>60</v>
      </c>
      <c r="G161" s="887">
        <f>+G158</f>
        <v>1</v>
      </c>
      <c r="H161" s="871"/>
      <c r="I161" s="950">
        <f>+G161*D161</f>
        <v>0</v>
      </c>
      <c r="J161" s="871"/>
      <c r="K161" s="951"/>
      <c r="L161" s="973"/>
      <c r="M161" s="872"/>
    </row>
    <row r="162" spans="1:13" ht="15.75">
      <c r="A162" s="872">
        <v>28</v>
      </c>
      <c r="B162" s="864" t="s">
        <v>744</v>
      </c>
      <c r="C162" s="871"/>
      <c r="D162" s="889">
        <f>SUM(D155:D161)</f>
        <v>677699</v>
      </c>
      <c r="E162" s="871"/>
      <c r="F162" s="871"/>
      <c r="G162" s="887"/>
      <c r="H162" s="871"/>
      <c r="I162" s="948">
        <f>SUM(I155:I161)</f>
        <v>677699</v>
      </c>
      <c r="J162" s="871"/>
      <c r="K162" s="871"/>
      <c r="L162" s="953"/>
      <c r="M162" s="871"/>
    </row>
    <row r="163" spans="1:13" ht="15.75">
      <c r="A163" s="872"/>
      <c r="B163" s="864"/>
      <c r="C163" s="871"/>
      <c r="D163" s="871"/>
      <c r="E163" s="871"/>
      <c r="F163" s="871"/>
      <c r="G163" s="887"/>
      <c r="H163" s="871"/>
      <c r="I163" s="910"/>
      <c r="J163" s="871"/>
      <c r="K163" s="871"/>
      <c r="L163" s="953"/>
      <c r="M163" s="871"/>
    </row>
    <row r="164" spans="1:13" ht="15.75">
      <c r="A164" s="872" t="s">
        <v>3</v>
      </c>
      <c r="B164" s="864" t="s">
        <v>74</v>
      </c>
      <c r="C164" s="871" t="s">
        <v>165</v>
      </c>
      <c r="D164" s="942"/>
      <c r="E164" s="871"/>
      <c r="G164" s="975"/>
      <c r="H164" s="871"/>
      <c r="I164" s="910"/>
      <c r="J164" s="871"/>
      <c r="L164" s="871"/>
      <c r="M164" s="872"/>
    </row>
    <row r="165" spans="1:13" ht="15.75">
      <c r="A165" s="872">
        <v>29</v>
      </c>
      <c r="B165" s="956" t="s">
        <v>75</v>
      </c>
      <c r="C165" s="871"/>
      <c r="D165" s="976">
        <f>IF(D299&gt;0,1-(((1-D300)*(1-D299))/(1-D300*D299*D301)),0)</f>
        <v>0.28892099999999998</v>
      </c>
      <c r="E165" s="942"/>
      <c r="G165" s="975"/>
      <c r="H165" s="871"/>
      <c r="I165" s="910"/>
      <c r="J165" s="871"/>
      <c r="L165" s="977"/>
      <c r="M165" s="872"/>
    </row>
    <row r="166" spans="1:13" ht="15.75">
      <c r="A166" s="872">
        <v>30</v>
      </c>
      <c r="B166" s="863" t="s">
        <v>76</v>
      </c>
      <c r="C166" s="871"/>
      <c r="D166" s="976">
        <f>IF(I252&gt;0,(D165/(1-D165))*(1-I249/I252),0)</f>
        <v>0.32106535558650623</v>
      </c>
      <c r="E166" s="871"/>
      <c r="G166" s="975"/>
      <c r="H166" s="871"/>
      <c r="I166" s="910"/>
      <c r="J166" s="871"/>
      <c r="K166" s="977"/>
      <c r="L166" s="977"/>
      <c r="M166" s="872"/>
    </row>
    <row r="167" spans="1:13" ht="15.75">
      <c r="A167" s="872"/>
      <c r="B167" s="864" t="s">
        <v>588</v>
      </c>
      <c r="C167" s="871"/>
      <c r="D167" s="871"/>
      <c r="E167" s="871"/>
      <c r="G167" s="975"/>
      <c r="H167" s="871"/>
      <c r="I167" s="910"/>
      <c r="J167" s="871"/>
      <c r="K167" s="977"/>
      <c r="L167" s="977"/>
      <c r="M167" s="872"/>
    </row>
    <row r="168" spans="1:13" ht="15.75">
      <c r="A168" s="872"/>
      <c r="B168" s="864" t="s">
        <v>77</v>
      </c>
      <c r="C168" s="871"/>
      <c r="D168" s="871"/>
      <c r="E168" s="871"/>
      <c r="G168" s="975"/>
      <c r="H168" s="871"/>
      <c r="I168" s="910"/>
      <c r="J168" s="871"/>
      <c r="K168" s="977"/>
      <c r="L168" s="977"/>
      <c r="M168" s="872"/>
    </row>
    <row r="169" spans="1:13" ht="15.75">
      <c r="A169" s="872">
        <v>31</v>
      </c>
      <c r="B169" s="956" t="s">
        <v>893</v>
      </c>
      <c r="C169" s="871"/>
      <c r="D169" s="978">
        <f>IF(D165&gt;0,1/(1-D165),0)</f>
        <v>1.4063135038441579</v>
      </c>
      <c r="E169" s="871"/>
      <c r="G169" s="975"/>
      <c r="H169" s="871"/>
      <c r="I169" s="948"/>
      <c r="J169" s="871"/>
      <c r="K169" s="977"/>
      <c r="L169" s="979"/>
      <c r="M169" s="872"/>
    </row>
    <row r="170" spans="1:13" ht="15.75">
      <c r="A170" s="872">
        <v>32</v>
      </c>
      <c r="B170" s="864" t="s">
        <v>312</v>
      </c>
      <c r="C170" s="871"/>
      <c r="D170" s="893">
        <v>-99685</v>
      </c>
      <c r="E170" s="871"/>
      <c r="G170" s="975"/>
      <c r="H170" s="871"/>
      <c r="I170" s="948"/>
      <c r="J170" s="871"/>
      <c r="K170" s="977"/>
      <c r="L170" s="871"/>
      <c r="M170" s="872"/>
    </row>
    <row r="171" spans="1:13" ht="15.75">
      <c r="A171" s="872">
        <v>33</v>
      </c>
      <c r="B171" s="885" t="s">
        <v>841</v>
      </c>
      <c r="C171" s="870"/>
      <c r="D171" s="889">
        <f>'Attachment 15 - Income Tax Adj'!D8</f>
        <v>422110</v>
      </c>
      <c r="E171" s="870"/>
      <c r="F171" s="907"/>
      <c r="G171" s="975"/>
      <c r="H171" s="871"/>
      <c r="I171" s="948"/>
      <c r="J171" s="871"/>
      <c r="K171" s="977"/>
      <c r="L171" s="871"/>
      <c r="M171" s="872"/>
    </row>
    <row r="172" spans="1:13" ht="15.75">
      <c r="A172" s="872">
        <v>34</v>
      </c>
      <c r="B172" s="885" t="s">
        <v>840</v>
      </c>
      <c r="C172" s="870"/>
      <c r="D172" s="889">
        <f>'Attachment 15 - Income Tax Adj'!D9+'Attachment 15 - Income Tax Adj'!D10</f>
        <v>-1123581.22</v>
      </c>
      <c r="E172" s="870"/>
      <c r="F172" s="907"/>
      <c r="G172" s="975"/>
      <c r="H172" s="871"/>
      <c r="I172" s="948"/>
      <c r="J172" s="871"/>
      <c r="K172" s="977"/>
      <c r="L172" s="871"/>
      <c r="M172" s="872"/>
    </row>
    <row r="173" spans="1:13" ht="15.75">
      <c r="A173" s="872">
        <v>35</v>
      </c>
      <c r="B173" s="980" t="s">
        <v>742</v>
      </c>
      <c r="C173" s="981"/>
      <c r="D173" s="889">
        <f>D166*D179</f>
        <v>39347616.685519829</v>
      </c>
      <c r="E173" s="870"/>
      <c r="F173" s="870" t="s">
        <v>35</v>
      </c>
      <c r="G173" s="887"/>
      <c r="H173" s="871"/>
      <c r="I173" s="948">
        <f>D166*I179</f>
        <v>39342660.254850015</v>
      </c>
      <c r="J173" s="871"/>
      <c r="K173" s="982"/>
      <c r="L173" s="871"/>
      <c r="M173" s="871"/>
    </row>
    <row r="174" spans="1:13" ht="15.75">
      <c r="A174" s="872">
        <v>36</v>
      </c>
      <c r="B174" s="907" t="s">
        <v>741</v>
      </c>
      <c r="C174" s="981"/>
      <c r="D174" s="957">
        <f>D169*D170</f>
        <v>-140188.36163070487</v>
      </c>
      <c r="E174" s="983"/>
      <c r="F174" s="983" t="s">
        <v>53</v>
      </c>
      <c r="G174" s="984">
        <f>G77</f>
        <v>1</v>
      </c>
      <c r="H174" s="985"/>
      <c r="I174" s="958">
        <f>G174*D174</f>
        <v>-140188.36163070487</v>
      </c>
      <c r="J174" s="871"/>
      <c r="K174" s="973"/>
      <c r="L174" s="871"/>
      <c r="M174" s="871"/>
    </row>
    <row r="175" spans="1:13" ht="15.75">
      <c r="A175" s="872">
        <v>37</v>
      </c>
      <c r="B175" s="907" t="s">
        <v>740</v>
      </c>
      <c r="C175" s="981"/>
      <c r="D175" s="957">
        <f>D169*D171</f>
        <v>593618.99310765753</v>
      </c>
      <c r="E175" s="983"/>
      <c r="F175" s="983" t="s">
        <v>416</v>
      </c>
      <c r="G175" s="984">
        <v>1</v>
      </c>
      <c r="H175" s="985"/>
      <c r="I175" s="958">
        <f>G175*D175</f>
        <v>593618.99310765753</v>
      </c>
      <c r="J175" s="871"/>
      <c r="K175" s="973"/>
      <c r="L175" s="871"/>
      <c r="M175" s="871"/>
    </row>
    <row r="176" spans="1:13" ht="16.5" thickBot="1">
      <c r="A176" s="872">
        <v>38</v>
      </c>
      <c r="B176" s="907" t="s">
        <v>739</v>
      </c>
      <c r="C176" s="981"/>
      <c r="D176" s="949">
        <f>D169*D172</f>
        <v>-1580107.4423516935</v>
      </c>
      <c r="E176" s="983"/>
      <c r="F176" s="983" t="s">
        <v>416</v>
      </c>
      <c r="G176" s="984">
        <f>G175</f>
        <v>1</v>
      </c>
      <c r="H176" s="985"/>
      <c r="I176" s="950">
        <f>D176*G176</f>
        <v>-1580107.4423516935</v>
      </c>
      <c r="J176" s="871"/>
      <c r="K176" s="973"/>
      <c r="L176" s="871"/>
      <c r="M176" s="871"/>
    </row>
    <row r="177" spans="1:13" ht="15.75">
      <c r="A177" s="872">
        <v>39</v>
      </c>
      <c r="B177" s="956" t="s">
        <v>78</v>
      </c>
      <c r="C177" s="863" t="s">
        <v>738</v>
      </c>
      <c r="D177" s="986">
        <f>+D173+D174+D175+D176</f>
        <v>38220939.874645084</v>
      </c>
      <c r="E177" s="871"/>
      <c r="F177" s="871" t="s">
        <v>3</v>
      </c>
      <c r="G177" s="887" t="s">
        <v>3</v>
      </c>
      <c r="H177" s="871"/>
      <c r="I177" s="986">
        <f>+I173+I174+I175+I176</f>
        <v>38215983.44397527</v>
      </c>
      <c r="J177" s="871"/>
      <c r="K177" s="871"/>
      <c r="L177" s="871"/>
      <c r="M177" s="871"/>
    </row>
    <row r="178" spans="1:13" ht="15.75">
      <c r="A178" s="872" t="s">
        <v>3</v>
      </c>
      <c r="C178" s="987"/>
      <c r="D178" s="948"/>
      <c r="E178" s="871"/>
      <c r="F178" s="871"/>
      <c r="G178" s="887"/>
      <c r="H178" s="871"/>
      <c r="I178" s="948"/>
      <c r="J178" s="871"/>
      <c r="K178" s="871"/>
      <c r="L178" s="871"/>
      <c r="M178" s="871"/>
    </row>
    <row r="179" spans="1:13" ht="15.75">
      <c r="A179" s="872">
        <v>40</v>
      </c>
      <c r="B179" s="864" t="s">
        <v>79</v>
      </c>
      <c r="C179" s="988" t="s">
        <v>878</v>
      </c>
      <c r="D179" s="989">
        <f>+$I252*D100</f>
        <v>122553293.28086975</v>
      </c>
      <c r="E179" s="871"/>
      <c r="F179" s="871" t="s">
        <v>35</v>
      </c>
      <c r="G179" s="975"/>
      <c r="H179" s="871"/>
      <c r="I179" s="948">
        <f>+$I252*I100</f>
        <v>122537855.82994714</v>
      </c>
      <c r="J179" s="871"/>
      <c r="L179" s="871"/>
      <c r="M179" s="872"/>
    </row>
    <row r="180" spans="1:13" ht="15.75">
      <c r="A180" s="872"/>
      <c r="B180" s="990"/>
      <c r="D180" s="948"/>
      <c r="E180" s="871"/>
      <c r="F180" s="871"/>
      <c r="G180" s="975"/>
      <c r="H180" s="871"/>
      <c r="I180" s="948"/>
      <c r="J180" s="871"/>
      <c r="K180" s="951"/>
      <c r="L180" s="871"/>
      <c r="M180" s="872"/>
    </row>
    <row r="181" spans="1:13" ht="15.75">
      <c r="A181" s="872"/>
      <c r="B181" s="864"/>
      <c r="D181" s="958"/>
      <c r="E181" s="871"/>
      <c r="F181" s="871"/>
      <c r="G181" s="975"/>
      <c r="H181" s="871"/>
      <c r="I181" s="958"/>
      <c r="J181" s="871"/>
      <c r="K181" s="951"/>
      <c r="L181" s="871"/>
      <c r="M181" s="872"/>
    </row>
    <row r="182" spans="1:13" ht="31.5">
      <c r="A182" s="872">
        <v>41</v>
      </c>
      <c r="B182" s="991" t="s">
        <v>563</v>
      </c>
      <c r="C182" s="871" t="s">
        <v>877</v>
      </c>
      <c r="D182" s="992">
        <f>+D144+D151+D162+D177+D179</f>
        <v>285472433.64413851</v>
      </c>
      <c r="E182" s="870"/>
      <c r="F182" s="870"/>
      <c r="G182" s="870"/>
      <c r="H182" s="870"/>
      <c r="I182" s="992">
        <f>+I144+I151+I162+I177+I179</f>
        <v>283835037.76254606</v>
      </c>
      <c r="J182" s="866"/>
      <c r="K182" s="866"/>
      <c r="L182" s="866"/>
      <c r="M182" s="866"/>
    </row>
    <row r="183" spans="1:13" ht="15.75">
      <c r="A183" s="872"/>
      <c r="B183" s="990"/>
      <c r="D183" s="964"/>
      <c r="E183" s="871"/>
      <c r="F183" s="871"/>
      <c r="G183" s="871"/>
      <c r="H183" s="871"/>
      <c r="I183" s="964"/>
      <c r="J183" s="866"/>
      <c r="K183" s="866"/>
      <c r="L183" s="866"/>
      <c r="M183" s="866"/>
    </row>
    <row r="184" spans="1:13" ht="15.75">
      <c r="A184" s="872"/>
      <c r="C184" s="871"/>
      <c r="J184" s="866"/>
      <c r="K184" s="866"/>
      <c r="L184" s="866"/>
      <c r="M184" s="866"/>
    </row>
    <row r="185" spans="1:13" ht="15.75">
      <c r="A185" s="872">
        <v>42</v>
      </c>
      <c r="B185" s="956" t="s">
        <v>562</v>
      </c>
      <c r="C185" s="945" t="s">
        <v>1066</v>
      </c>
      <c r="D185" s="945">
        <f>'Attachment 11 - TEC'!M87</f>
        <v>0</v>
      </c>
      <c r="E185" s="945"/>
      <c r="F185" s="945"/>
      <c r="G185" s="945"/>
      <c r="H185" s="945"/>
      <c r="I185" s="945">
        <f>D185</f>
        <v>0</v>
      </c>
      <c r="J185" s="909"/>
      <c r="K185" s="866"/>
      <c r="L185" s="866"/>
      <c r="M185" s="866"/>
    </row>
    <row r="186" spans="1:13" ht="16.5" thickBot="1">
      <c r="A186" s="872"/>
      <c r="B186" s="956"/>
      <c r="C186" s="945"/>
      <c r="D186" s="945"/>
      <c r="E186" s="945"/>
      <c r="F186" s="945"/>
      <c r="G186" s="945"/>
      <c r="H186" s="945"/>
      <c r="I186" s="945"/>
      <c r="J186" s="909"/>
      <c r="K186" s="866"/>
      <c r="L186" s="866"/>
      <c r="M186" s="866"/>
    </row>
    <row r="187" spans="1:13" ht="16.5" thickBot="1">
      <c r="A187" s="872">
        <v>43</v>
      </c>
      <c r="B187" s="956" t="s">
        <v>839</v>
      </c>
      <c r="C187" s="956" t="s">
        <v>737</v>
      </c>
      <c r="D187" s="993">
        <f>D182+D185</f>
        <v>285472433.64413851</v>
      </c>
      <c r="E187" s="945"/>
      <c r="F187" s="945"/>
      <c r="G187" s="945"/>
      <c r="H187" s="945"/>
      <c r="I187" s="993">
        <f>I182+I185</f>
        <v>283835037.76254606</v>
      </c>
      <c r="J187" s="909"/>
      <c r="K187" s="866"/>
      <c r="L187" s="866"/>
      <c r="M187" s="866"/>
    </row>
    <row r="188" spans="1:13" ht="16.5" thickTop="1">
      <c r="A188" s="872"/>
      <c r="B188" s="990"/>
      <c r="D188" s="945"/>
      <c r="E188" s="945"/>
      <c r="F188" s="945"/>
      <c r="G188" s="945"/>
      <c r="H188" s="945"/>
      <c r="I188" s="945"/>
      <c r="J188" s="909"/>
      <c r="K188" s="866"/>
      <c r="L188" s="866"/>
      <c r="M188" s="866"/>
    </row>
    <row r="189" spans="1:13" ht="15.75">
      <c r="A189" s="872"/>
      <c r="B189" s="956"/>
      <c r="C189" s="871"/>
      <c r="D189" s="964"/>
      <c r="E189" s="871"/>
      <c r="F189" s="871"/>
      <c r="G189" s="871"/>
      <c r="H189" s="871"/>
      <c r="I189" s="964"/>
      <c r="J189" s="866"/>
      <c r="K189" s="866"/>
      <c r="L189" s="866"/>
      <c r="M189" s="866"/>
    </row>
    <row r="190" spans="1:13" ht="15.75">
      <c r="A190" s="872"/>
      <c r="B190" s="956"/>
      <c r="C190" s="871"/>
      <c r="D190" s="964"/>
      <c r="E190" s="871"/>
      <c r="F190" s="871"/>
      <c r="G190" s="871"/>
      <c r="H190" s="871"/>
      <c r="I190" s="964"/>
      <c r="J190" s="866"/>
      <c r="K190" s="866"/>
      <c r="L190" s="866"/>
      <c r="M190" s="866"/>
    </row>
    <row r="191" spans="1:13" ht="15.75">
      <c r="A191" s="872"/>
      <c r="B191" s="956"/>
      <c r="C191" s="871"/>
      <c r="D191" s="964"/>
      <c r="E191" s="871"/>
      <c r="F191" s="871"/>
      <c r="G191" s="871"/>
      <c r="H191" s="871"/>
      <c r="I191" s="964"/>
      <c r="J191" s="866"/>
      <c r="K191" s="866"/>
      <c r="L191" s="866"/>
      <c r="M191" s="866"/>
    </row>
    <row r="192" spans="1:13" ht="15.75">
      <c r="A192" s="872"/>
      <c r="B192" s="956"/>
      <c r="C192" s="871"/>
      <c r="D192" s="964"/>
      <c r="E192" s="871"/>
      <c r="F192" s="871"/>
      <c r="G192" s="871"/>
      <c r="H192" s="871"/>
      <c r="I192" s="964"/>
      <c r="J192" s="866"/>
      <c r="K192" s="866"/>
      <c r="L192" s="866"/>
      <c r="M192" s="866"/>
    </row>
    <row r="193" spans="1:13" ht="15.75">
      <c r="A193" s="872"/>
      <c r="B193" s="956"/>
      <c r="C193" s="871"/>
      <c r="D193" s="964"/>
      <c r="E193" s="871"/>
      <c r="F193" s="871"/>
      <c r="G193" s="871"/>
      <c r="H193" s="871"/>
      <c r="I193" s="964"/>
      <c r="J193" s="866"/>
      <c r="K193" s="866"/>
      <c r="L193" s="866"/>
      <c r="M193" s="866"/>
    </row>
    <row r="194" spans="1:13" ht="15.75">
      <c r="A194" s="872"/>
      <c r="B194" s="956"/>
      <c r="C194" s="871"/>
      <c r="D194" s="964"/>
      <c r="E194" s="871"/>
      <c r="F194" s="871"/>
      <c r="G194" s="871"/>
      <c r="H194" s="871"/>
      <c r="I194" s="964"/>
      <c r="J194" s="866"/>
      <c r="K194" s="866"/>
      <c r="L194" s="866"/>
      <c r="M194" s="866"/>
    </row>
    <row r="195" spans="1:13" ht="15.75">
      <c r="A195" s="872"/>
      <c r="B195" s="956"/>
      <c r="C195" s="871"/>
      <c r="D195" s="964"/>
      <c r="E195" s="871"/>
      <c r="F195" s="871"/>
      <c r="G195" s="871"/>
      <c r="H195" s="871"/>
      <c r="I195" s="964"/>
      <c r="J195" s="866"/>
      <c r="K195" s="866"/>
      <c r="L195" s="866"/>
      <c r="M195" s="866"/>
    </row>
    <row r="196" spans="1:13" ht="15.75">
      <c r="A196" s="872"/>
      <c r="B196" s="956"/>
      <c r="C196" s="871"/>
      <c r="D196" s="964"/>
      <c r="E196" s="871"/>
      <c r="F196" s="871"/>
      <c r="G196" s="871"/>
      <c r="H196" s="871"/>
      <c r="I196" s="964"/>
      <c r="J196" s="866"/>
      <c r="K196" s="866"/>
      <c r="L196" s="866"/>
      <c r="M196" s="866"/>
    </row>
    <row r="197" spans="1:13" ht="15.75">
      <c r="A197" s="872"/>
      <c r="B197" s="956"/>
      <c r="C197" s="871"/>
      <c r="D197" s="964"/>
      <c r="E197" s="871"/>
      <c r="F197" s="871"/>
      <c r="G197" s="871"/>
      <c r="H197" s="871"/>
      <c r="I197" s="964"/>
      <c r="J197" s="866"/>
      <c r="K197" s="866"/>
      <c r="L197" s="866"/>
      <c r="M197" s="866"/>
    </row>
    <row r="198" spans="1:12" ht="15.75">
      <c r="A198" s="965"/>
      <c r="B198" s="864"/>
      <c r="C198" s="871"/>
      <c r="D198" s="964"/>
      <c r="E198" s="871"/>
      <c r="F198" s="871"/>
      <c r="G198" s="951"/>
      <c r="H198" s="871"/>
      <c r="I198" s="964"/>
      <c r="J198" s="870"/>
      <c r="K198" s="966"/>
      <c r="L198" s="863"/>
    </row>
    <row r="199" spans="1:12" ht="15.75">
      <c r="A199" s="965"/>
      <c r="B199" s="885"/>
      <c r="C199" s="871"/>
      <c r="D199" s="964"/>
      <c r="E199" s="871"/>
      <c r="F199" s="871"/>
      <c r="G199" s="951"/>
      <c r="H199" s="871"/>
      <c r="I199" s="964"/>
      <c r="J199" s="871"/>
      <c r="K199" s="966"/>
      <c r="L199" s="863"/>
    </row>
    <row r="200" spans="2:13" ht="15.75">
      <c r="B200" s="864"/>
      <c r="C200" s="864"/>
      <c r="D200" s="865"/>
      <c r="E200" s="864"/>
      <c r="F200" s="864"/>
      <c r="G200" s="864"/>
      <c r="H200" s="866"/>
      <c r="I200" s="872"/>
      <c r="J200" s="872"/>
      <c r="K200" s="867"/>
      <c r="L200" s="866"/>
      <c r="M200" s="866"/>
    </row>
    <row r="201" spans="2:13" ht="15.75">
      <c r="B201" s="864"/>
      <c r="C201" s="864"/>
      <c r="D201" s="865"/>
      <c r="E201" s="864"/>
      <c r="F201" s="864"/>
      <c r="G201" s="864"/>
      <c r="H201" s="866"/>
      <c r="I201" s="867"/>
      <c r="J201" s="867"/>
      <c r="K201" s="867"/>
      <c r="L201" s="866"/>
      <c r="M201" s="866"/>
    </row>
    <row r="202" spans="2:13" ht="16.5" customHeight="1">
      <c r="B202" s="864"/>
      <c r="C202" s="864"/>
      <c r="D202" s="865"/>
      <c r="E202" s="864"/>
      <c r="F202" s="864"/>
      <c r="G202" s="864"/>
      <c r="H202" s="866"/>
      <c r="I202" s="866"/>
      <c r="K202" s="867" t="str">
        <f>K119</f>
        <v>Attachment  H-28A</v>
      </c>
      <c r="L202" s="866"/>
      <c r="M202" s="866"/>
    </row>
    <row r="203" spans="2:13" ht="16.5" customHeight="1">
      <c r="B203" s="864"/>
      <c r="C203" s="864"/>
      <c r="D203" s="865"/>
      <c r="E203" s="864"/>
      <c r="F203" s="864"/>
      <c r="G203" s="864"/>
      <c r="H203" s="866"/>
      <c r="I203" s="866"/>
      <c r="J203" s="866"/>
      <c r="K203" s="867" t="s">
        <v>162</v>
      </c>
      <c r="L203" s="866"/>
      <c r="M203" s="866"/>
    </row>
    <row r="204" spans="2:13" ht="16.5" customHeight="1">
      <c r="B204" s="864"/>
      <c r="C204" s="864"/>
      <c r="D204" s="865"/>
      <c r="E204" s="864"/>
      <c r="F204" s="864"/>
      <c r="G204" s="864"/>
      <c r="H204" s="866"/>
      <c r="I204" s="866"/>
      <c r="J204" s="866"/>
      <c r="K204" s="867"/>
      <c r="L204" s="866"/>
      <c r="M204" s="866"/>
    </row>
    <row r="205" spans="2:13" ht="15.75">
      <c r="B205" s="864" t="s">
        <v>1</v>
      </c>
      <c r="C205" s="864"/>
      <c r="D205" s="865" t="s">
        <v>2</v>
      </c>
      <c r="E205" s="864"/>
      <c r="F205" s="864"/>
      <c r="G205" s="864"/>
      <c r="H205" s="898"/>
      <c r="I205" s="898"/>
      <c r="J205" s="898"/>
      <c r="K205" s="937" t="str">
        <f>K4</f>
        <v>For the 12 months ended 12/31/2021</v>
      </c>
      <c r="L205" s="866"/>
      <c r="M205" s="866"/>
    </row>
    <row r="206" spans="2:13" ht="15.75">
      <c r="B206" s="864"/>
      <c r="C206" s="871" t="s">
        <v>3</v>
      </c>
      <c r="D206" s="871" t="s">
        <v>4</v>
      </c>
      <c r="E206" s="871"/>
      <c r="F206" s="871"/>
      <c r="G206" s="871"/>
      <c r="H206" s="866"/>
      <c r="I206" s="866"/>
      <c r="J206" s="866"/>
      <c r="K206" s="866"/>
      <c r="L206" s="866"/>
      <c r="M206" s="866"/>
    </row>
    <row r="207" spans="1:13" ht="9.75" customHeight="1">
      <c r="A207" s="872"/>
      <c r="J207" s="871"/>
      <c r="K207" s="871"/>
      <c r="L207" s="871"/>
      <c r="M207" s="871"/>
    </row>
    <row r="208" spans="1:13" ht="15.75">
      <c r="A208" s="872"/>
      <c r="D208" s="863" t="str">
        <f>D7</f>
        <v>Mid-Atlantic Interstate Transmission, LLC</v>
      </c>
      <c r="J208" s="871"/>
      <c r="K208" s="871"/>
      <c r="L208" s="871"/>
      <c r="M208" s="871"/>
    </row>
    <row r="209" spans="1:13" ht="15.75">
      <c r="A209" s="872"/>
      <c r="C209" s="944" t="s">
        <v>80</v>
      </c>
      <c r="E209" s="866"/>
      <c r="F209" s="866"/>
      <c r="G209" s="866"/>
      <c r="H209" s="866"/>
      <c r="I209" s="866"/>
      <c r="J209" s="871"/>
      <c r="K209" s="871"/>
      <c r="L209" s="866"/>
      <c r="M209" s="871"/>
    </row>
    <row r="210" spans="1:13" ht="15.75">
      <c r="A210" s="872" t="s">
        <v>5</v>
      </c>
      <c r="B210" s="872" t="s">
        <v>22</v>
      </c>
      <c r="C210" s="872" t="s">
        <v>23</v>
      </c>
      <c r="D210" s="872" t="s">
        <v>24</v>
      </c>
      <c r="E210" s="875" t="s">
        <v>25</v>
      </c>
      <c r="F210" s="871"/>
      <c r="G210" s="875" t="s">
        <v>26</v>
      </c>
      <c r="H210" s="871"/>
      <c r="I210" s="875" t="s">
        <v>27</v>
      </c>
      <c r="J210" s="871"/>
      <c r="L210" s="866"/>
      <c r="M210" s="871"/>
    </row>
    <row r="211" spans="1:13" ht="16.5" thickBot="1">
      <c r="A211" s="877" t="s">
        <v>7</v>
      </c>
      <c r="B211" s="885" t="s">
        <v>81</v>
      </c>
      <c r="C211" s="898"/>
      <c r="D211" s="898"/>
      <c r="E211" s="898"/>
      <c r="F211" s="898"/>
      <c r="G211" s="898"/>
      <c r="H211" s="907"/>
      <c r="I211" s="907"/>
      <c r="J211" s="870"/>
      <c r="K211" s="871"/>
      <c r="L211" s="866"/>
      <c r="M211" s="871"/>
    </row>
    <row r="212" spans="1:13" ht="15.75">
      <c r="A212" s="872">
        <v>1</v>
      </c>
      <c r="B212" s="898" t="s">
        <v>180</v>
      </c>
      <c r="C212" s="898"/>
      <c r="D212" s="870"/>
      <c r="E212" s="870"/>
      <c r="F212" s="870"/>
      <c r="G212" s="870"/>
      <c r="H212" s="870"/>
      <c r="I212" s="889">
        <f>D57</f>
        <v>2172855687.4461536</v>
      </c>
      <c r="J212" s="870"/>
      <c r="K212" s="871"/>
      <c r="L212" s="866"/>
      <c r="M212" s="871"/>
    </row>
    <row r="213" spans="1:13" ht="15.75">
      <c r="A213" s="872">
        <v>2</v>
      </c>
      <c r="B213" s="898" t="s">
        <v>313</v>
      </c>
      <c r="C213" s="907"/>
      <c r="D213" s="907"/>
      <c r="E213" s="907"/>
      <c r="F213" s="907"/>
      <c r="G213" s="907"/>
      <c r="H213" s="907"/>
      <c r="I213" s="893"/>
      <c r="J213" s="870"/>
      <c r="K213" s="871"/>
      <c r="L213" s="871"/>
      <c r="M213" s="871"/>
    </row>
    <row r="214" spans="1:13" ht="16.5" thickBot="1">
      <c r="A214" s="872">
        <v>3</v>
      </c>
      <c r="B214" s="994" t="s">
        <v>314</v>
      </c>
      <c r="C214" s="994"/>
      <c r="D214" s="945"/>
      <c r="E214" s="945"/>
      <c r="F214" s="870"/>
      <c r="G214" s="995"/>
      <c r="H214" s="870"/>
      <c r="I214" s="996"/>
      <c r="J214" s="870"/>
      <c r="K214" s="871"/>
      <c r="L214" s="871"/>
      <c r="M214" s="871"/>
    </row>
    <row r="215" spans="1:13" ht="15.75">
      <c r="A215" s="872">
        <v>4</v>
      </c>
      <c r="B215" s="898" t="s">
        <v>82</v>
      </c>
      <c r="C215" s="898"/>
      <c r="D215" s="945"/>
      <c r="E215" s="945"/>
      <c r="F215" s="870"/>
      <c r="G215" s="995"/>
      <c r="H215" s="870"/>
      <c r="I215" s="889">
        <f>I212-I213-I214</f>
        <v>2172855687.4461536</v>
      </c>
      <c r="J215" s="870"/>
      <c r="K215" s="871"/>
      <c r="L215" s="866"/>
      <c r="M215" s="871"/>
    </row>
    <row r="216" spans="1:13" ht="15.75">
      <c r="A216" s="872">
        <v>5</v>
      </c>
      <c r="B216" s="898" t="s">
        <v>184</v>
      </c>
      <c r="C216" s="873"/>
      <c r="D216" s="997"/>
      <c r="E216" s="997"/>
      <c r="F216" s="998"/>
      <c r="G216" s="999"/>
      <c r="H216" s="870" t="s">
        <v>83</v>
      </c>
      <c r="I216" s="1000">
        <f>IF(I212&gt;0,I215/I212,0)</f>
        <v>1</v>
      </c>
      <c r="J216" s="870"/>
      <c r="K216" s="871"/>
      <c r="L216" s="866"/>
      <c r="M216" s="871"/>
    </row>
    <row r="217" spans="1:13" ht="9.75" customHeight="1">
      <c r="A217" s="872"/>
      <c r="B217" s="898"/>
      <c r="C217" s="873"/>
      <c r="D217" s="997"/>
      <c r="E217" s="997"/>
      <c r="F217" s="998"/>
      <c r="G217" s="999"/>
      <c r="H217" s="870"/>
      <c r="I217" s="1000"/>
      <c r="J217" s="870"/>
      <c r="K217" s="871"/>
      <c r="L217" s="866"/>
      <c r="M217" s="871"/>
    </row>
    <row r="218" spans="1:13" ht="15.75">
      <c r="A218" s="872"/>
      <c r="B218" s="885" t="s">
        <v>84</v>
      </c>
      <c r="C218" s="907"/>
      <c r="D218" s="946"/>
      <c r="E218" s="946"/>
      <c r="F218" s="907"/>
      <c r="G218" s="907"/>
      <c r="H218" s="907"/>
      <c r="I218" s="907"/>
      <c r="J218" s="870"/>
      <c r="K218" s="871"/>
      <c r="L218" s="866"/>
      <c r="M218" s="871"/>
    </row>
    <row r="219" spans="1:13" ht="9.75" customHeight="1">
      <c r="A219" s="872"/>
      <c r="B219" s="907"/>
      <c r="C219" s="907"/>
      <c r="D219" s="946"/>
      <c r="E219" s="946"/>
      <c r="F219" s="907"/>
      <c r="G219" s="907"/>
      <c r="H219" s="907"/>
      <c r="I219" s="907"/>
      <c r="J219" s="870"/>
      <c r="K219" s="871"/>
      <c r="L219" s="866"/>
      <c r="M219" s="871"/>
    </row>
    <row r="220" spans="1:13" ht="15.75">
      <c r="A220" s="872">
        <v>6</v>
      </c>
      <c r="B220" s="907" t="s">
        <v>181</v>
      </c>
      <c r="C220" s="907"/>
      <c r="D220" s="909"/>
      <c r="E220" s="909"/>
      <c r="F220" s="898"/>
      <c r="G220" s="884"/>
      <c r="H220" s="898"/>
      <c r="I220" s="889">
        <f>D130</f>
        <v>71573135.049999997</v>
      </c>
      <c r="J220" s="870"/>
      <c r="K220" s="871"/>
      <c r="L220" s="871"/>
      <c r="M220" s="871"/>
    </row>
    <row r="221" spans="1:13" ht="16.5" thickBot="1">
      <c r="A221" s="872">
        <v>7</v>
      </c>
      <c r="B221" s="994" t="s">
        <v>315</v>
      </c>
      <c r="C221" s="994"/>
      <c r="D221" s="945"/>
      <c r="E221" s="945"/>
      <c r="F221" s="870"/>
      <c r="G221" s="870"/>
      <c r="H221" s="870"/>
      <c r="I221" s="996">
        <v>1617002</v>
      </c>
      <c r="J221" s="870"/>
      <c r="K221" s="870"/>
      <c r="L221" s="871"/>
      <c r="M221" s="871"/>
    </row>
    <row r="222" spans="1:13" ht="15.75">
      <c r="A222" s="872">
        <v>8</v>
      </c>
      <c r="B222" s="898" t="s">
        <v>176</v>
      </c>
      <c r="C222" s="873"/>
      <c r="D222" s="997"/>
      <c r="E222" s="997"/>
      <c r="F222" s="998"/>
      <c r="G222" s="999"/>
      <c r="H222" s="998"/>
      <c r="I222" s="889">
        <f>SUM(I220-I221)</f>
        <v>69956133.049999997</v>
      </c>
      <c r="J222" s="907"/>
      <c r="L222" s="871"/>
      <c r="M222" s="871"/>
    </row>
    <row r="223" spans="1:13" ht="15.75">
      <c r="A223" s="872">
        <v>9</v>
      </c>
      <c r="B223" s="898" t="s">
        <v>177</v>
      </c>
      <c r="C223" s="898"/>
      <c r="D223" s="870"/>
      <c r="E223" s="870"/>
      <c r="F223" s="870"/>
      <c r="G223" s="870"/>
      <c r="H223" s="870"/>
      <c r="I223" s="967">
        <f>IF(I220&gt;0,I222/I220,0)</f>
        <v>0.97740769635324221</v>
      </c>
      <c r="J223" s="907"/>
      <c r="L223" s="871"/>
      <c r="M223" s="871"/>
    </row>
    <row r="224" spans="1:13" ht="15.75">
      <c r="A224" s="872">
        <v>10</v>
      </c>
      <c r="B224" s="898" t="s">
        <v>178</v>
      </c>
      <c r="C224" s="898"/>
      <c r="D224" s="870"/>
      <c r="E224" s="870"/>
      <c r="F224" s="870"/>
      <c r="G224" s="870"/>
      <c r="H224" s="898" t="s">
        <v>13</v>
      </c>
      <c r="I224" s="1001">
        <f>I216</f>
        <v>1</v>
      </c>
      <c r="J224" s="907"/>
      <c r="L224" s="871"/>
      <c r="M224" s="871"/>
    </row>
    <row r="225" spans="1:13" ht="15.75">
      <c r="A225" s="872">
        <v>11</v>
      </c>
      <c r="B225" s="898" t="s">
        <v>179</v>
      </c>
      <c r="C225" s="898"/>
      <c r="D225" s="898"/>
      <c r="E225" s="898"/>
      <c r="F225" s="898"/>
      <c r="G225" s="898"/>
      <c r="H225" s="898" t="s">
        <v>85</v>
      </c>
      <c r="I225" s="1002">
        <f>+I224*I223</f>
        <v>0.97740769635324221</v>
      </c>
      <c r="J225" s="907"/>
      <c r="L225" s="871"/>
      <c r="M225" s="871"/>
    </row>
    <row r="226" spans="1:13" ht="9.75" customHeight="1">
      <c r="A226" s="872"/>
      <c r="C226" s="866"/>
      <c r="D226" s="871"/>
      <c r="E226" s="871"/>
      <c r="F226" s="871"/>
      <c r="G226" s="962"/>
      <c r="H226" s="871"/>
      <c r="L226" s="871"/>
      <c r="M226" s="871"/>
    </row>
    <row r="227" spans="1:13" ht="15.75">
      <c r="A227" s="872" t="s">
        <v>3</v>
      </c>
      <c r="B227" s="864" t="s">
        <v>86</v>
      </c>
      <c r="C227" s="871"/>
      <c r="D227" s="871"/>
      <c r="E227" s="871"/>
      <c r="F227" s="871"/>
      <c r="G227" s="871"/>
      <c r="H227" s="871"/>
      <c r="I227" s="871"/>
      <c r="J227" s="871"/>
      <c r="K227" s="871"/>
      <c r="L227" s="871"/>
      <c r="M227" s="871"/>
    </row>
    <row r="228" spans="1:13" ht="16.5" thickBot="1">
      <c r="A228" s="872" t="s">
        <v>3</v>
      </c>
      <c r="B228" s="864"/>
      <c r="C228" s="1003" t="s">
        <v>87</v>
      </c>
      <c r="D228" s="904" t="s">
        <v>88</v>
      </c>
      <c r="E228" s="904" t="s">
        <v>13</v>
      </c>
      <c r="F228" s="871"/>
      <c r="G228" s="904" t="s">
        <v>89</v>
      </c>
      <c r="H228" s="871"/>
      <c r="I228" s="871"/>
      <c r="J228" s="871"/>
      <c r="K228" s="871"/>
      <c r="L228" s="871"/>
      <c r="M228" s="871"/>
    </row>
    <row r="229" spans="1:13" ht="15.75">
      <c r="A229" s="872">
        <v>12</v>
      </c>
      <c r="B229" s="864" t="s">
        <v>34</v>
      </c>
      <c r="C229" s="871" t="s">
        <v>155</v>
      </c>
      <c r="D229" s="893"/>
      <c r="E229" s="1004">
        <v>0</v>
      </c>
      <c r="F229" s="1004"/>
      <c r="G229" s="948">
        <f>D229*E229</f>
        <v>0</v>
      </c>
      <c r="H229" s="871"/>
      <c r="I229" s="871"/>
      <c r="J229" s="871"/>
      <c r="K229" s="871"/>
      <c r="L229" s="871"/>
      <c r="M229" s="871"/>
    </row>
    <row r="230" spans="1:13" ht="15.75">
      <c r="A230" s="872">
        <v>13</v>
      </c>
      <c r="B230" s="864" t="s">
        <v>36</v>
      </c>
      <c r="C230" s="871" t="s">
        <v>156</v>
      </c>
      <c r="D230" s="893"/>
      <c r="E230" s="1004">
        <f>+I216</f>
        <v>1</v>
      </c>
      <c r="F230" s="1004"/>
      <c r="G230" s="989">
        <f>D230*E230</f>
        <v>0</v>
      </c>
      <c r="H230" s="871"/>
      <c r="I230" s="871"/>
      <c r="J230" s="871"/>
      <c r="K230" s="871"/>
      <c r="L230" s="871"/>
      <c r="M230" s="871"/>
    </row>
    <row r="231" spans="1:13" ht="15.75">
      <c r="A231" s="872">
        <v>14</v>
      </c>
      <c r="B231" s="864" t="s">
        <v>37</v>
      </c>
      <c r="C231" s="871" t="s">
        <v>157</v>
      </c>
      <c r="D231" s="893"/>
      <c r="E231" s="1004">
        <v>0</v>
      </c>
      <c r="F231" s="1004"/>
      <c r="G231" s="948">
        <f>D231*E231</f>
        <v>0</v>
      </c>
      <c r="H231" s="871"/>
      <c r="I231" s="1005" t="s">
        <v>90</v>
      </c>
      <c r="J231" s="871"/>
      <c r="K231" s="871"/>
      <c r="L231" s="871"/>
      <c r="M231" s="871"/>
    </row>
    <row r="232" spans="1:13" ht="16.5" thickBot="1">
      <c r="A232" s="872">
        <v>15</v>
      </c>
      <c r="B232" s="864" t="s">
        <v>91</v>
      </c>
      <c r="C232" s="871" t="s">
        <v>158</v>
      </c>
      <c r="D232" s="996"/>
      <c r="E232" s="1004">
        <v>0</v>
      </c>
      <c r="F232" s="1004"/>
      <c r="G232" s="950">
        <f>D232*E232</f>
        <v>0</v>
      </c>
      <c r="H232" s="871"/>
      <c r="I232" s="877" t="s">
        <v>92</v>
      </c>
      <c r="J232" s="871"/>
      <c r="K232" s="871"/>
      <c r="L232" s="871"/>
      <c r="M232" s="871"/>
    </row>
    <row r="233" spans="1:13" ht="15.75">
      <c r="A233" s="872">
        <v>16</v>
      </c>
      <c r="B233" s="864" t="s">
        <v>93</v>
      </c>
      <c r="C233" s="871"/>
      <c r="D233" s="889">
        <f>SUM(D229:D232)</f>
        <v>0</v>
      </c>
      <c r="E233" s="871"/>
      <c r="F233" s="871"/>
      <c r="G233" s="989">
        <f>SUM(G229:G232)</f>
        <v>0</v>
      </c>
      <c r="H233" s="872" t="s">
        <v>94</v>
      </c>
      <c r="I233" s="947">
        <f>IF(G233&gt;0,G233/D233,1)</f>
        <v>1</v>
      </c>
      <c r="J233" s="1006" t="s">
        <v>183</v>
      </c>
      <c r="K233" s="871"/>
      <c r="L233" s="871"/>
      <c r="M233" s="871"/>
    </row>
    <row r="234" spans="1:13" ht="9.75" customHeight="1">
      <c r="A234" s="872"/>
      <c r="B234" s="864"/>
      <c r="C234" s="871"/>
      <c r="D234" s="871"/>
      <c r="E234" s="871"/>
      <c r="F234" s="871"/>
      <c r="G234" s="871"/>
      <c r="H234" s="871"/>
      <c r="I234" s="871"/>
      <c r="J234" s="871"/>
      <c r="K234" s="871"/>
      <c r="L234" s="871"/>
      <c r="M234" s="871"/>
    </row>
    <row r="235" spans="1:13" ht="15.75">
      <c r="A235" s="872"/>
      <c r="B235" s="864" t="s">
        <v>175</v>
      </c>
      <c r="C235" s="871"/>
      <c r="D235" s="871"/>
      <c r="E235" s="871"/>
      <c r="F235" s="871"/>
      <c r="G235" s="871"/>
      <c r="H235" s="871"/>
      <c r="I235" s="871"/>
      <c r="J235" s="871"/>
      <c r="K235" s="871"/>
      <c r="L235" s="871"/>
      <c r="M235" s="871"/>
    </row>
    <row r="236" spans="1:13" ht="15.75">
      <c r="A236" s="872"/>
      <c r="B236" s="864"/>
      <c r="C236" s="871"/>
      <c r="D236" s="1007" t="s">
        <v>88</v>
      </c>
      <c r="E236" s="871"/>
      <c r="F236" s="871"/>
      <c r="G236" s="995" t="s">
        <v>95</v>
      </c>
      <c r="H236" s="1008" t="s">
        <v>3</v>
      </c>
      <c r="I236" s="1009" t="str">
        <f>+I231</f>
        <v>W&amp;S Allocator</v>
      </c>
      <c r="J236" s="907"/>
      <c r="K236" s="907"/>
      <c r="L236" s="871"/>
      <c r="M236" s="871"/>
    </row>
    <row r="237" spans="1:13" ht="15.75">
      <c r="A237" s="872">
        <v>17</v>
      </c>
      <c r="B237" s="864" t="s">
        <v>96</v>
      </c>
      <c r="C237" s="871" t="s">
        <v>97</v>
      </c>
      <c r="D237" s="1010">
        <v>2228790028</v>
      </c>
      <c r="E237" s="871"/>
      <c r="G237" s="884" t="s">
        <v>98</v>
      </c>
      <c r="H237" s="1008"/>
      <c r="I237" s="884" t="s">
        <v>99</v>
      </c>
      <c r="J237" s="870"/>
      <c r="K237" s="884" t="s">
        <v>41</v>
      </c>
      <c r="L237" s="871"/>
      <c r="M237" s="871"/>
    </row>
    <row r="238" spans="1:18" ht="15.75">
      <c r="A238" s="872">
        <v>18</v>
      </c>
      <c r="B238" s="864" t="s">
        <v>100</v>
      </c>
      <c r="C238" s="871" t="s">
        <v>101</v>
      </c>
      <c r="D238" s="1010">
        <v>0</v>
      </c>
      <c r="E238" s="871"/>
      <c r="G238" s="1011">
        <f>IF(D240&gt;0,D237/D240,1)</f>
        <v>1</v>
      </c>
      <c r="H238" s="995" t="s">
        <v>102</v>
      </c>
      <c r="I238" s="1011">
        <f>I233</f>
        <v>1</v>
      </c>
      <c r="J238" s="1008" t="s">
        <v>94</v>
      </c>
      <c r="K238" s="1011">
        <f>G238*I238</f>
        <v>1</v>
      </c>
      <c r="L238" s="871"/>
      <c r="M238" s="1012"/>
      <c r="N238" s="1012"/>
      <c r="O238" s="1013"/>
      <c r="P238" s="1014"/>
      <c r="Q238" s="1014"/>
      <c r="R238" s="1014"/>
    </row>
    <row r="239" spans="1:18" ht="16.5" thickBot="1">
      <c r="A239" s="872">
        <v>19</v>
      </c>
      <c r="B239" s="1015" t="s">
        <v>103</v>
      </c>
      <c r="C239" s="1003" t="s">
        <v>104</v>
      </c>
      <c r="D239" s="1016">
        <v>0</v>
      </c>
      <c r="E239" s="871"/>
      <c r="F239" s="871"/>
      <c r="G239" s="871" t="s">
        <v>3</v>
      </c>
      <c r="H239" s="871"/>
      <c r="I239" s="871"/>
      <c r="J239" s="871"/>
      <c r="K239" s="871"/>
      <c r="L239" s="871"/>
      <c r="M239" s="1017"/>
      <c r="N239" s="1017"/>
      <c r="O239" s="1014"/>
      <c r="P239" s="1014"/>
      <c r="Q239" s="1014"/>
      <c r="R239" s="1014"/>
    </row>
    <row r="240" spans="1:18" ht="15.75">
      <c r="A240" s="872">
        <v>20</v>
      </c>
      <c r="B240" s="864" t="s">
        <v>105</v>
      </c>
      <c r="C240" s="871"/>
      <c r="D240" s="931">
        <f>SUM(D237:D239)</f>
        <v>2228790028</v>
      </c>
      <c r="E240" s="871"/>
      <c r="F240" s="871"/>
      <c r="G240" s="871"/>
      <c r="H240" s="871"/>
      <c r="I240" s="871"/>
      <c r="J240" s="871"/>
      <c r="K240" s="871"/>
      <c r="L240" s="871"/>
      <c r="M240" s="1018"/>
      <c r="N240" s="1019"/>
      <c r="O240" s="1020"/>
      <c r="P240" s="1021"/>
      <c r="Q240" s="1019"/>
      <c r="R240" s="1019"/>
    </row>
    <row r="241" spans="1:18" ht="15.75">
      <c r="A241" s="872"/>
      <c r="B241" s="864"/>
      <c r="C241" s="871"/>
      <c r="E241" s="871"/>
      <c r="F241" s="871"/>
      <c r="G241" s="871"/>
      <c r="H241" s="871"/>
      <c r="I241" s="871"/>
      <c r="J241" s="871"/>
      <c r="K241" s="871"/>
      <c r="L241" s="871"/>
      <c r="M241" s="1168"/>
      <c r="N241" s="1168"/>
      <c r="O241" s="1168"/>
      <c r="P241" s="1168"/>
      <c r="Q241" s="1168"/>
      <c r="R241" s="1168"/>
    </row>
    <row r="242" spans="1:18" ht="16.5" thickBot="1">
      <c r="A242" s="872"/>
      <c r="B242" s="864" t="s">
        <v>106</v>
      </c>
      <c r="C242" s="871"/>
      <c r="D242" s="871"/>
      <c r="E242" s="871"/>
      <c r="F242" s="871"/>
      <c r="G242" s="871"/>
      <c r="H242" s="871"/>
      <c r="I242" s="904" t="s">
        <v>88</v>
      </c>
      <c r="J242" s="871"/>
      <c r="K242" s="871"/>
      <c r="L242" s="871"/>
      <c r="M242" s="1019"/>
      <c r="N242" s="1019"/>
      <c r="O242" s="1020"/>
      <c r="P242" s="1021"/>
      <c r="Q242" s="1019"/>
      <c r="R242" s="1019"/>
    </row>
    <row r="243" spans="1:18" ht="15.75">
      <c r="A243" s="872"/>
      <c r="B243" s="866"/>
      <c r="C243" s="870"/>
      <c r="D243" s="870"/>
      <c r="E243" s="870"/>
      <c r="F243" s="870"/>
      <c r="G243" s="870"/>
      <c r="H243" s="870"/>
      <c r="I243" s="889"/>
      <c r="J243" s="870"/>
      <c r="K243" s="871"/>
      <c r="L243" s="871"/>
      <c r="M243" s="1020"/>
      <c r="N243" s="1020"/>
      <c r="O243" s="1020"/>
      <c r="P243" s="1021"/>
      <c r="Q243" s="1019"/>
      <c r="R243" s="1019"/>
    </row>
    <row r="244" spans="1:18" ht="15.75">
      <c r="A244" s="872">
        <v>21</v>
      </c>
      <c r="B244" s="864"/>
      <c r="C244" s="870" t="s">
        <v>185</v>
      </c>
      <c r="D244" s="870"/>
      <c r="E244" s="870"/>
      <c r="F244" s="870"/>
      <c r="G244" s="870"/>
      <c r="H244" s="870"/>
      <c r="I244" s="889">
        <v>0</v>
      </c>
      <c r="J244" s="870"/>
      <c r="K244" s="871"/>
      <c r="L244" s="871"/>
      <c r="M244" s="1020"/>
      <c r="N244" s="1019"/>
      <c r="O244" s="1022"/>
      <c r="P244" s="1022"/>
      <c r="Q244" s="1019"/>
      <c r="R244" s="1019"/>
    </row>
    <row r="245" spans="1:18" ht="15.75">
      <c r="A245" s="872"/>
      <c r="B245" s="864"/>
      <c r="C245" s="871"/>
      <c r="D245" s="871"/>
      <c r="E245" s="871"/>
      <c r="F245" s="871"/>
      <c r="G245" s="871"/>
      <c r="H245" s="871"/>
      <c r="I245" s="948"/>
      <c r="J245" s="871"/>
      <c r="K245" s="871"/>
      <c r="L245" s="871"/>
      <c r="M245" s="1020"/>
      <c r="N245" s="1019"/>
      <c r="O245" s="1019"/>
      <c r="P245" s="1019"/>
      <c r="Q245" s="1019"/>
      <c r="R245" s="1019"/>
    </row>
    <row r="246" spans="1:18" ht="15.75">
      <c r="A246" s="872"/>
      <c r="B246" s="909"/>
      <c r="C246" s="945"/>
      <c r="D246" s="909"/>
      <c r="E246" s="909"/>
      <c r="F246" s="909"/>
      <c r="G246" s="909"/>
      <c r="H246" s="909"/>
      <c r="I246" s="957"/>
      <c r="J246" s="871"/>
      <c r="K246" s="871"/>
      <c r="L246" s="871"/>
      <c r="M246" s="1020"/>
      <c r="N246" s="1019"/>
      <c r="O246" s="1020"/>
      <c r="P246" s="1021"/>
      <c r="Q246" s="1019"/>
      <c r="R246" s="1019"/>
    </row>
    <row r="247" spans="1:18" ht="15.75">
      <c r="A247" s="872"/>
      <c r="B247" s="864"/>
      <c r="C247" s="871"/>
      <c r="D247" s="871"/>
      <c r="E247" s="995" t="s">
        <v>19</v>
      </c>
      <c r="F247" s="871"/>
      <c r="G247" s="962" t="s">
        <v>108</v>
      </c>
      <c r="H247" s="871"/>
      <c r="I247" s="871"/>
      <c r="J247" s="871"/>
      <c r="K247" s="871"/>
      <c r="L247" s="871"/>
      <c r="M247" s="1020"/>
      <c r="N247" s="1019"/>
      <c r="O247" s="1020"/>
      <c r="P247" s="1021"/>
      <c r="Q247" s="1019"/>
      <c r="R247" s="1019"/>
    </row>
    <row r="248" spans="1:18" ht="16.5" thickBot="1">
      <c r="A248" s="872"/>
      <c r="B248" s="864"/>
      <c r="C248" s="871"/>
      <c r="D248" s="877" t="s">
        <v>88</v>
      </c>
      <c r="E248" s="877" t="s">
        <v>109</v>
      </c>
      <c r="F248" s="871"/>
      <c r="G248" s="877" t="s">
        <v>110</v>
      </c>
      <c r="H248" s="871"/>
      <c r="I248" s="1098" t="s">
        <v>111</v>
      </c>
      <c r="J248" s="871"/>
      <c r="K248" s="871"/>
      <c r="L248" s="871"/>
      <c r="M248" s="964"/>
      <c r="N248" s="1021"/>
      <c r="O248" s="1018"/>
      <c r="P248" s="1018"/>
      <c r="Q248" s="1018"/>
      <c r="R248" s="1018"/>
    </row>
    <row r="249" spans="1:18" ht="15.75">
      <c r="A249" s="872">
        <v>22</v>
      </c>
      <c r="B249" s="864" t="s">
        <v>842</v>
      </c>
      <c r="D249" s="889">
        <f>'Attachment 8 - Cap Structure'!K23</f>
        <v>800659727.73307681</v>
      </c>
      <c r="E249" s="1023">
        <f>IF($D$252&gt;0,D249/$D$252,0)</f>
        <v>0.41406426633923166</v>
      </c>
      <c r="F249" s="1024"/>
      <c r="G249" s="1024">
        <f>'Attachment 10 - Debt Cost'!W26</f>
        <v>0.038699999999999998</v>
      </c>
      <c r="I249" s="1024">
        <f>(G249*E249)</f>
        <v>0.016024287107328266</v>
      </c>
      <c r="J249" s="1006" t="s">
        <v>112</v>
      </c>
      <c r="K249" s="1094"/>
      <c r="L249" s="863"/>
      <c r="M249" s="964"/>
      <c r="N249" s="1018"/>
      <c r="O249" s="1018"/>
      <c r="P249" s="1018"/>
      <c r="Q249" s="1018"/>
      <c r="R249" s="1018"/>
    </row>
    <row r="250" spans="1:18" ht="15.75">
      <c r="A250" s="872">
        <v>23</v>
      </c>
      <c r="B250" s="864" t="s">
        <v>843</v>
      </c>
      <c r="D250" s="889">
        <f>'Attachment 8 - Cap Structure'!F23</f>
        <v>0</v>
      </c>
      <c r="E250" s="1023">
        <f>IF($D$252&gt;0,D250/$D$252,0)</f>
        <v>0</v>
      </c>
      <c r="F250" s="1024"/>
      <c r="G250" s="1024">
        <f>IF(D250&gt;0,I244/D250,0)</f>
        <v>0</v>
      </c>
      <c r="I250" s="1024">
        <f>(G250*E250)</f>
        <v>0</v>
      </c>
      <c r="J250" s="871"/>
      <c r="K250" s="1094"/>
      <c r="L250" s="871"/>
      <c r="M250" s="964"/>
      <c r="N250" s="1018"/>
      <c r="O250" s="1018"/>
      <c r="P250" s="1018"/>
      <c r="Q250" s="1018"/>
      <c r="R250" s="1018"/>
    </row>
    <row r="251" spans="1:13" ht="16.5" thickBot="1">
      <c r="A251" s="872">
        <v>24</v>
      </c>
      <c r="B251" s="864" t="s">
        <v>844</v>
      </c>
      <c r="D251" s="950">
        <f>'Attachment 8 - Cap Structure'!J23</f>
        <v>1133000799.9230769</v>
      </c>
      <c r="E251" s="1023">
        <f>IF($D$252&gt;0,D251/$D$252,0)</f>
        <v>0.58593573366076834</v>
      </c>
      <c r="F251" s="1024"/>
      <c r="G251" s="1025">
        <v>0.10299999999999999</v>
      </c>
      <c r="I251" s="1026">
        <f>(G251*E251)</f>
        <v>0.060351380567059139</v>
      </c>
      <c r="J251" s="871"/>
      <c r="K251" s="1094"/>
      <c r="L251" s="871"/>
      <c r="M251" s="871"/>
    </row>
    <row r="252" spans="1:13" ht="15.75">
      <c r="A252" s="872">
        <v>25</v>
      </c>
      <c r="B252" s="864" t="s">
        <v>589</v>
      </c>
      <c r="D252" s="889">
        <f>SUM(D249:D251)</f>
        <v>1933660527.6561537</v>
      </c>
      <c r="E252" s="871" t="s">
        <v>3</v>
      </c>
      <c r="F252" s="871"/>
      <c r="G252" s="1027"/>
      <c r="H252" s="871"/>
      <c r="I252" s="1024">
        <f>SUM(I249:I251)</f>
        <v>0.076375667674387401</v>
      </c>
      <c r="J252" s="1006" t="s">
        <v>113</v>
      </c>
      <c r="K252" s="1094"/>
      <c r="L252" s="871"/>
      <c r="M252" s="871"/>
    </row>
    <row r="253" spans="1:13" ht="9.75" customHeight="1">
      <c r="A253" s="872"/>
      <c r="K253" s="871"/>
      <c r="L253" s="871"/>
      <c r="M253" s="871"/>
    </row>
    <row r="254" spans="1:13" ht="15.75">
      <c r="A254" s="872"/>
      <c r="B254" s="864" t="s">
        <v>114</v>
      </c>
      <c r="C254" s="866"/>
      <c r="D254" s="866"/>
      <c r="E254" s="866"/>
      <c r="F254" s="866"/>
      <c r="G254" s="866"/>
      <c r="H254" s="866"/>
      <c r="I254" s="866"/>
      <c r="J254" s="866"/>
      <c r="K254" s="866"/>
      <c r="L254" s="962"/>
      <c r="M254" s="871"/>
    </row>
    <row r="255" spans="1:13" ht="15.75">
      <c r="A255" s="872"/>
      <c r="B255" s="864" t="s">
        <v>115</v>
      </c>
      <c r="C255" s="866"/>
      <c r="D255" s="866" t="s">
        <v>116</v>
      </c>
      <c r="E255" s="866" t="s">
        <v>117</v>
      </c>
      <c r="F255" s="866"/>
      <c r="G255" s="866" t="s">
        <v>3</v>
      </c>
      <c r="I255" s="1028"/>
      <c r="J255" s="1028"/>
      <c r="L255" s="863"/>
      <c r="M255" s="871"/>
    </row>
    <row r="256" spans="1:13" ht="15.75">
      <c r="A256" s="872">
        <v>26</v>
      </c>
      <c r="B256" s="863" t="s">
        <v>316</v>
      </c>
      <c r="C256" s="866"/>
      <c r="D256" s="866"/>
      <c r="F256" s="866"/>
      <c r="I256" s="1029">
        <v>0</v>
      </c>
      <c r="J256" s="1030"/>
      <c r="L256" s="871"/>
      <c r="M256" s="871"/>
    </row>
    <row r="257" spans="1:13" ht="16.5" thickBot="1">
      <c r="A257" s="872">
        <v>27</v>
      </c>
      <c r="B257" s="1031" t="s">
        <v>317</v>
      </c>
      <c r="C257" s="1032"/>
      <c r="D257" s="1018"/>
      <c r="E257" s="920"/>
      <c r="F257" s="920"/>
      <c r="G257" s="920"/>
      <c r="H257" s="866"/>
      <c r="I257" s="1033">
        <v>0</v>
      </c>
      <c r="J257" s="1034"/>
      <c r="L257" s="871"/>
      <c r="M257" s="871"/>
    </row>
    <row r="258" spans="1:13" ht="15.75">
      <c r="A258" s="872">
        <v>28</v>
      </c>
      <c r="B258" s="863" t="s">
        <v>118</v>
      </c>
      <c r="C258" s="866"/>
      <c r="E258" s="866"/>
      <c r="F258" s="866"/>
      <c r="G258" s="866"/>
      <c r="H258" s="866"/>
      <c r="I258" s="1035">
        <f>+I256-I257</f>
        <v>0</v>
      </c>
      <c r="J258" s="1030"/>
      <c r="L258" s="863"/>
      <c r="M258" s="871"/>
    </row>
    <row r="259" spans="1:13" ht="15.75">
      <c r="A259" s="872"/>
      <c r="B259" s="863" t="s">
        <v>3</v>
      </c>
      <c r="C259" s="866"/>
      <c r="E259" s="866"/>
      <c r="F259" s="866"/>
      <c r="G259" s="914"/>
      <c r="H259" s="866"/>
      <c r="I259" s="1035"/>
      <c r="J259" s="1028"/>
      <c r="K259" s="1036"/>
      <c r="L259" s="962"/>
      <c r="M259" s="871"/>
    </row>
    <row r="260" spans="1:13" ht="15.75">
      <c r="A260" s="872">
        <v>29</v>
      </c>
      <c r="B260" s="863" t="s">
        <v>352</v>
      </c>
      <c r="C260" s="866"/>
      <c r="E260" s="863" t="s">
        <v>1093</v>
      </c>
      <c r="F260" s="866"/>
      <c r="G260" s="914"/>
      <c r="H260" s="866"/>
      <c r="I260" s="1035">
        <f>'Attachment 21 - Revenue Credits'!I11</f>
        <v>130758</v>
      </c>
      <c r="J260" s="1028"/>
      <c r="K260" s="1036"/>
      <c r="L260" s="973"/>
      <c r="M260" s="871"/>
    </row>
    <row r="261" spans="1:13" ht="15.75">
      <c r="A261" s="872"/>
      <c r="C261" s="866"/>
      <c r="F261" s="866"/>
      <c r="G261" s="914"/>
      <c r="H261" s="866"/>
      <c r="I261" s="1035"/>
      <c r="J261" s="1028"/>
      <c r="K261" s="1036"/>
      <c r="L261" s="973"/>
      <c r="M261" s="871"/>
    </row>
    <row r="262" spans="1:13" ht="15.75">
      <c r="A262" s="872">
        <v>30</v>
      </c>
      <c r="B262" s="864" t="s">
        <v>318</v>
      </c>
      <c r="C262" s="866"/>
      <c r="E262" s="863" t="s">
        <v>1094</v>
      </c>
      <c r="F262" s="866"/>
      <c r="G262" s="913"/>
      <c r="H262" s="866"/>
      <c r="I262" s="1035">
        <f>'Attachment 21 - Revenue Credits'!I17</f>
        <v>3761086</v>
      </c>
      <c r="J262" s="1028"/>
      <c r="K262" s="1037"/>
      <c r="L262" s="973"/>
      <c r="M262" s="871"/>
    </row>
    <row r="263" spans="1:13" ht="15.75" customHeight="1">
      <c r="A263" s="872"/>
      <c r="C263" s="866"/>
      <c r="D263" s="866"/>
      <c r="E263" s="866"/>
      <c r="F263" s="866"/>
      <c r="G263" s="866"/>
      <c r="H263" s="866"/>
      <c r="I263" s="1035"/>
      <c r="J263" s="1028"/>
      <c r="K263" s="1037"/>
      <c r="L263" s="973"/>
      <c r="M263" s="871"/>
    </row>
    <row r="264" spans="1:13" ht="15.75">
      <c r="A264" s="884">
        <v>31</v>
      </c>
      <c r="B264" s="885" t="s">
        <v>601</v>
      </c>
      <c r="C264" s="898"/>
      <c r="D264" s="866"/>
      <c r="E264" s="866" t="s">
        <v>1095</v>
      </c>
      <c r="F264" s="866"/>
      <c r="G264" s="866"/>
      <c r="H264" s="866"/>
      <c r="I264" s="1038">
        <f>'Attachment 21 - Revenue Credits'!I23</f>
        <v>3437538</v>
      </c>
      <c r="K264" s="1039"/>
      <c r="L264" s="973"/>
      <c r="M264" s="866"/>
    </row>
    <row r="265" spans="2:13" ht="15.75">
      <c r="B265" s="920"/>
      <c r="C265" s="920"/>
      <c r="D265" s="871"/>
      <c r="E265" s="871"/>
      <c r="F265" s="871"/>
      <c r="G265" s="871"/>
      <c r="H265" s="871"/>
      <c r="J265" s="1040"/>
      <c r="K265" s="1039"/>
      <c r="L265" s="1005"/>
      <c r="M265" s="866"/>
    </row>
    <row r="266" spans="1:13" ht="15.75">
      <c r="A266" s="872"/>
      <c r="B266" s="919"/>
      <c r="C266" s="920"/>
      <c r="D266" s="920"/>
      <c r="E266" s="920"/>
      <c r="F266" s="920"/>
      <c r="G266" s="866"/>
      <c r="H266" s="866"/>
      <c r="I266" s="1041"/>
      <c r="K266" s="1042"/>
      <c r="L266" s="1005"/>
      <c r="M266" s="866"/>
    </row>
    <row r="267" spans="1:13" ht="33" customHeight="1">
      <c r="A267" s="1099"/>
      <c r="B267" s="1175"/>
      <c r="C267" s="1176"/>
      <c r="D267" s="1176"/>
      <c r="E267" s="1176"/>
      <c r="F267" s="1176"/>
      <c r="G267" s="1176"/>
      <c r="H267" s="1176"/>
      <c r="I267" s="1176"/>
      <c r="J267" s="1176"/>
      <c r="K267" s="1176"/>
      <c r="L267" s="872"/>
      <c r="M267" s="866"/>
    </row>
    <row r="268" spans="1:13" ht="15.75">
      <c r="A268" s="872"/>
      <c r="B268" s="1043"/>
      <c r="C268" s="918"/>
      <c r="D268" s="871"/>
      <c r="E268" s="871"/>
      <c r="F268" s="871"/>
      <c r="G268" s="871"/>
      <c r="H268" s="866"/>
      <c r="I268" s="1044"/>
      <c r="J268" s="1040"/>
      <c r="K268" s="1044"/>
      <c r="L268" s="872"/>
      <c r="M268" s="866"/>
    </row>
    <row r="269" spans="1:13" ht="15.75">
      <c r="A269" s="872"/>
      <c r="B269" s="1045"/>
      <c r="C269" s="872"/>
      <c r="D269" s="871"/>
      <c r="E269" s="977"/>
      <c r="F269" s="871"/>
      <c r="G269" s="871"/>
      <c r="H269" s="866"/>
      <c r="I269" s="1044"/>
      <c r="J269" s="1040"/>
      <c r="K269" s="1044"/>
      <c r="L269" s="872"/>
      <c r="M269" s="866"/>
    </row>
    <row r="270" spans="1:13" ht="15.75">
      <c r="A270" s="872"/>
      <c r="B270" s="1045"/>
      <c r="C270" s="872"/>
      <c r="D270" s="871"/>
      <c r="E270" s="871"/>
      <c r="F270" s="871"/>
      <c r="G270" s="871"/>
      <c r="H270" s="866"/>
      <c r="I270" s="1044"/>
      <c r="J270" s="1040"/>
      <c r="K270" s="1044"/>
      <c r="L270" s="872"/>
      <c r="M270" s="866"/>
    </row>
    <row r="271" spans="1:13" s="907" customFormat="1" ht="15.75">
      <c r="A271" s="884"/>
      <c r="B271" s="1046"/>
      <c r="C271" s="884"/>
      <c r="D271" s="870"/>
      <c r="E271" s="870"/>
      <c r="F271" s="870"/>
      <c r="G271" s="870"/>
      <c r="H271" s="898"/>
      <c r="I271" s="1044"/>
      <c r="J271" s="1047"/>
      <c r="K271" s="1044"/>
      <c r="L271" s="884"/>
      <c r="M271" s="898"/>
    </row>
    <row r="272" spans="1:12" ht="15.75">
      <c r="A272" s="965"/>
      <c r="B272" s="864"/>
      <c r="C272" s="871"/>
      <c r="D272" s="964"/>
      <c r="E272" s="871"/>
      <c r="F272" s="871"/>
      <c r="G272" s="951"/>
      <c r="H272" s="871"/>
      <c r="I272" s="964"/>
      <c r="J272" s="870"/>
      <c r="K272" s="966"/>
      <c r="L272" s="863"/>
    </row>
    <row r="273" spans="1:12" ht="15.75">
      <c r="A273" s="965"/>
      <c r="B273" s="885"/>
      <c r="C273" s="871"/>
      <c r="D273" s="964"/>
      <c r="E273" s="871"/>
      <c r="F273" s="871"/>
      <c r="G273" s="951"/>
      <c r="H273" s="871"/>
      <c r="I273" s="964"/>
      <c r="J273" s="871"/>
      <c r="K273" s="966"/>
      <c r="L273" s="863"/>
    </row>
    <row r="274" spans="2:13" ht="15.75">
      <c r="B274" s="864"/>
      <c r="C274" s="864"/>
      <c r="D274" s="865"/>
      <c r="E274" s="864"/>
      <c r="F274" s="864"/>
      <c r="G274" s="864"/>
      <c r="H274" s="866"/>
      <c r="I274" s="872"/>
      <c r="J274" s="872"/>
      <c r="K274" s="867"/>
      <c r="L274" s="866"/>
      <c r="M274" s="866"/>
    </row>
    <row r="275" spans="2:13" ht="15.75">
      <c r="B275" s="864"/>
      <c r="C275" s="864"/>
      <c r="D275" s="865"/>
      <c r="E275" s="864"/>
      <c r="F275" s="864"/>
      <c r="G275" s="864"/>
      <c r="H275" s="866"/>
      <c r="I275" s="867"/>
      <c r="J275" s="867"/>
      <c r="K275" s="867"/>
      <c r="L275" s="866"/>
      <c r="M275" s="866"/>
    </row>
    <row r="276" spans="2:13" ht="16.5" customHeight="1">
      <c r="B276" s="864"/>
      <c r="C276" s="864"/>
      <c r="D276" s="865"/>
      <c r="E276" s="864"/>
      <c r="F276" s="864"/>
      <c r="G276" s="864"/>
      <c r="H276" s="866"/>
      <c r="I276" s="866"/>
      <c r="K276" s="867" t="str">
        <f>K202</f>
        <v>Attachment  H-28A</v>
      </c>
      <c r="L276" s="866"/>
      <c r="M276" s="866"/>
    </row>
    <row r="277" spans="2:13" ht="16.5" customHeight="1">
      <c r="B277" s="864"/>
      <c r="C277" s="864"/>
      <c r="D277" s="865"/>
      <c r="E277" s="864"/>
      <c r="F277" s="864"/>
      <c r="G277" s="864"/>
      <c r="H277" s="866"/>
      <c r="I277" s="866"/>
      <c r="J277" s="866"/>
      <c r="K277" s="867" t="s">
        <v>119</v>
      </c>
      <c r="L277" s="866"/>
      <c r="M277" s="866"/>
    </row>
    <row r="278" spans="2:13" ht="16.5" customHeight="1">
      <c r="B278" s="864"/>
      <c r="C278" s="864"/>
      <c r="D278" s="865"/>
      <c r="E278" s="864"/>
      <c r="F278" s="864"/>
      <c r="G278" s="864"/>
      <c r="H278" s="866"/>
      <c r="I278" s="866"/>
      <c r="J278" s="866"/>
      <c r="K278" s="867"/>
      <c r="L278" s="866"/>
      <c r="M278" s="866"/>
    </row>
    <row r="279" spans="2:13" ht="15.75">
      <c r="B279" s="864" t="s">
        <v>1</v>
      </c>
      <c r="C279" s="864"/>
      <c r="D279" s="865" t="s">
        <v>2</v>
      </c>
      <c r="E279" s="864"/>
      <c r="F279" s="864"/>
      <c r="G279" s="864"/>
      <c r="H279" s="898"/>
      <c r="I279" s="907"/>
      <c r="J279" s="898"/>
      <c r="K279" s="937" t="str">
        <f>K4</f>
        <v>For the 12 months ended 12/31/2021</v>
      </c>
      <c r="L279" s="866"/>
      <c r="M279" s="866"/>
    </row>
    <row r="280" spans="2:13" ht="15.75">
      <c r="B280" s="864"/>
      <c r="C280" s="871" t="s">
        <v>3</v>
      </c>
      <c r="D280" s="871" t="s">
        <v>4</v>
      </c>
      <c r="E280" s="871"/>
      <c r="F280" s="871"/>
      <c r="G280" s="871"/>
      <c r="H280" s="866"/>
      <c r="I280" s="866"/>
      <c r="J280" s="866"/>
      <c r="K280" s="866"/>
      <c r="L280" s="866"/>
      <c r="M280" s="866"/>
    </row>
    <row r="281" spans="1:13" ht="15.75">
      <c r="A281" s="872"/>
      <c r="B281" s="1045"/>
      <c r="C281" s="872"/>
      <c r="D281" s="871"/>
      <c r="E281" s="871"/>
      <c r="F281" s="871"/>
      <c r="G281" s="871"/>
      <c r="H281" s="866"/>
      <c r="I281" s="1048"/>
      <c r="J281" s="1028"/>
      <c r="K281" s="1047"/>
      <c r="L281" s="872"/>
      <c r="M281" s="866"/>
    </row>
    <row r="282" spans="1:13" ht="15.75">
      <c r="A282" s="872"/>
      <c r="B282" s="1045"/>
      <c r="C282" s="872"/>
      <c r="D282" s="871" t="str">
        <f>D7</f>
        <v>Mid-Atlantic Interstate Transmission, LLC</v>
      </c>
      <c r="E282" s="871"/>
      <c r="F282" s="871"/>
      <c r="G282" s="871"/>
      <c r="H282" s="866"/>
      <c r="I282" s="1048"/>
      <c r="J282" s="1028"/>
      <c r="K282" s="1047"/>
      <c r="L282" s="872"/>
      <c r="M282" s="866"/>
    </row>
    <row r="283" spans="1:13" ht="15.75">
      <c r="A283" s="872"/>
      <c r="B283" s="1045"/>
      <c r="C283" s="872"/>
      <c r="D283" s="871"/>
      <c r="E283" s="871"/>
      <c r="F283" s="871"/>
      <c r="G283" s="871"/>
      <c r="H283" s="866"/>
      <c r="I283" s="1048"/>
      <c r="J283" s="1028"/>
      <c r="K283" s="1047"/>
      <c r="L283" s="872"/>
      <c r="M283" s="866"/>
    </row>
    <row r="284" spans="1:13" ht="15.75">
      <c r="A284" s="872"/>
      <c r="B284" s="864" t="s">
        <v>120</v>
      </c>
      <c r="C284" s="872"/>
      <c r="D284" s="871"/>
      <c r="E284" s="871"/>
      <c r="F284" s="871"/>
      <c r="G284" s="871"/>
      <c r="H284" s="866"/>
      <c r="I284" s="871"/>
      <c r="J284" s="866"/>
      <c r="K284" s="871"/>
      <c r="L284" s="872"/>
      <c r="M284" s="866"/>
    </row>
    <row r="285" spans="1:13" ht="15.75">
      <c r="A285" s="872"/>
      <c r="B285" s="1049" t="s">
        <v>166</v>
      </c>
      <c r="C285" s="872"/>
      <c r="D285" s="871"/>
      <c r="E285" s="871"/>
      <c r="F285" s="871"/>
      <c r="G285" s="871"/>
      <c r="H285" s="866"/>
      <c r="I285" s="871"/>
      <c r="J285" s="866"/>
      <c r="K285" s="871"/>
      <c r="L285" s="872"/>
      <c r="M285" s="866"/>
    </row>
    <row r="286" spans="1:13" ht="15.75">
      <c r="A286" s="872" t="s">
        <v>121</v>
      </c>
      <c r="B286" s="864"/>
      <c r="C286" s="866"/>
      <c r="D286" s="871"/>
      <c r="E286" s="871"/>
      <c r="F286" s="871"/>
      <c r="G286" s="871"/>
      <c r="H286" s="866"/>
      <c r="I286" s="871"/>
      <c r="J286" s="866"/>
      <c r="K286" s="871"/>
      <c r="L286" s="872"/>
      <c r="M286" s="866"/>
    </row>
    <row r="287" spans="1:13" ht="16.5" thickBot="1">
      <c r="A287" s="877" t="s">
        <v>122</v>
      </c>
      <c r="B287" s="864"/>
      <c r="C287" s="866"/>
      <c r="D287" s="871"/>
      <c r="E287" s="871"/>
      <c r="F287" s="871"/>
      <c r="G287" s="871"/>
      <c r="H287" s="866"/>
      <c r="I287" s="871"/>
      <c r="J287" s="866"/>
      <c r="K287" s="871"/>
      <c r="L287" s="872"/>
      <c r="M287" s="866"/>
    </row>
    <row r="288" spans="1:13" ht="20.25" customHeight="1">
      <c r="A288" s="1050" t="s">
        <v>123</v>
      </c>
      <c r="B288" s="1171" t="s">
        <v>837</v>
      </c>
      <c r="C288" s="1169"/>
      <c r="D288" s="1169"/>
      <c r="E288" s="1169"/>
      <c r="F288" s="1169"/>
      <c r="G288" s="1169"/>
      <c r="H288" s="1169"/>
      <c r="I288" s="1169"/>
      <c r="J288" s="1169"/>
      <c r="K288" s="1169"/>
      <c r="L288" s="884"/>
      <c r="M288" s="898"/>
    </row>
    <row r="289" spans="1:13" ht="16.5" customHeight="1">
      <c r="A289" s="1050" t="s">
        <v>124</v>
      </c>
      <c r="B289" s="1170" t="s">
        <v>779</v>
      </c>
      <c r="C289" s="1170"/>
      <c r="D289" s="1170"/>
      <c r="E289" s="1170"/>
      <c r="F289" s="1170"/>
      <c r="G289" s="1170"/>
      <c r="H289" s="1170"/>
      <c r="I289" s="1170"/>
      <c r="J289" s="1170"/>
      <c r="K289" s="1170"/>
      <c r="L289" s="884"/>
      <c r="M289" s="898"/>
    </row>
    <row r="290" spans="1:13" ht="65.25" customHeight="1">
      <c r="A290" s="1050" t="s">
        <v>125</v>
      </c>
      <c r="B290" s="1169" t="s">
        <v>1122</v>
      </c>
      <c r="C290" s="1169"/>
      <c r="D290" s="1169"/>
      <c r="E290" s="1169"/>
      <c r="F290" s="1169"/>
      <c r="G290" s="1169"/>
      <c r="H290" s="1169"/>
      <c r="I290" s="1169"/>
      <c r="J290" s="1169"/>
      <c r="K290" s="1169"/>
      <c r="L290" s="1051"/>
      <c r="M290" s="898"/>
    </row>
    <row r="291" spans="1:13" ht="32.25" customHeight="1">
      <c r="A291" s="1050" t="s">
        <v>126</v>
      </c>
      <c r="B291" s="1172" t="s">
        <v>1123</v>
      </c>
      <c r="C291" s="1172"/>
      <c r="D291" s="1172"/>
      <c r="E291" s="1172"/>
      <c r="F291" s="1172"/>
      <c r="G291" s="1172"/>
      <c r="H291" s="1172"/>
      <c r="I291" s="1172"/>
      <c r="J291" s="1172"/>
      <c r="K291" s="1172"/>
      <c r="L291" s="995"/>
      <c r="M291" s="898"/>
    </row>
    <row r="292" spans="1:13" ht="48" customHeight="1">
      <c r="A292" s="1050" t="s">
        <v>127</v>
      </c>
      <c r="B292" s="1172" t="s">
        <v>461</v>
      </c>
      <c r="C292" s="1172"/>
      <c r="D292" s="1172"/>
      <c r="E292" s="1172"/>
      <c r="F292" s="1172"/>
      <c r="G292" s="1172"/>
      <c r="H292" s="1172"/>
      <c r="I292" s="1172"/>
      <c r="J292" s="1172"/>
      <c r="K292" s="1172"/>
      <c r="L292" s="968"/>
      <c r="M292" s="898"/>
    </row>
    <row r="293" spans="1:13" ht="38.25" customHeight="1">
      <c r="A293" s="1050" t="s">
        <v>128</v>
      </c>
      <c r="B293" s="1169" t="s">
        <v>537</v>
      </c>
      <c r="C293" s="1169"/>
      <c r="D293" s="1169"/>
      <c r="E293" s="1169"/>
      <c r="F293" s="1169"/>
      <c r="G293" s="1169"/>
      <c r="H293" s="1169"/>
      <c r="I293" s="1169"/>
      <c r="J293" s="1169"/>
      <c r="K293" s="1169"/>
      <c r="L293" s="884"/>
      <c r="M293" s="898"/>
    </row>
    <row r="294" spans="1:13" ht="15.75">
      <c r="A294" s="1050" t="s">
        <v>129</v>
      </c>
      <c r="B294" s="1169" t="s">
        <v>130</v>
      </c>
      <c r="C294" s="1169"/>
      <c r="D294" s="1169"/>
      <c r="E294" s="1169"/>
      <c r="F294" s="1169"/>
      <c r="G294" s="1169"/>
      <c r="H294" s="1169"/>
      <c r="I294" s="1169"/>
      <c r="J294" s="1169"/>
      <c r="K294" s="1169"/>
      <c r="L294" s="884"/>
      <c r="M294" s="898"/>
    </row>
    <row r="295" spans="1:13" ht="32.25" customHeight="1">
      <c r="A295" s="1052" t="s">
        <v>131</v>
      </c>
      <c r="B295" s="1169" t="s">
        <v>821</v>
      </c>
      <c r="C295" s="1169"/>
      <c r="D295" s="1169"/>
      <c r="E295" s="1169"/>
      <c r="F295" s="1169"/>
      <c r="G295" s="1169"/>
      <c r="H295" s="1169"/>
      <c r="I295" s="1169"/>
      <c r="J295" s="1169"/>
      <c r="K295" s="1169"/>
      <c r="L295" s="884"/>
      <c r="M295" s="898"/>
    </row>
    <row r="296" spans="1:13" ht="32.25" customHeight="1">
      <c r="A296" s="1050" t="s">
        <v>132</v>
      </c>
      <c r="B296" s="1169" t="s">
        <v>623</v>
      </c>
      <c r="C296" s="1169"/>
      <c r="D296" s="1169"/>
      <c r="E296" s="1169"/>
      <c r="F296" s="1169"/>
      <c r="G296" s="1169"/>
      <c r="H296" s="1169"/>
      <c r="I296" s="1169"/>
      <c r="J296" s="1169"/>
      <c r="K296" s="1169"/>
      <c r="L296" s="884"/>
      <c r="M296" s="898"/>
    </row>
    <row r="297" spans="1:13" ht="32.25" customHeight="1">
      <c r="A297" s="1050" t="s">
        <v>133</v>
      </c>
      <c r="B297" s="1169" t="s">
        <v>187</v>
      </c>
      <c r="C297" s="1169"/>
      <c r="D297" s="1169"/>
      <c r="E297" s="1169"/>
      <c r="F297" s="1169"/>
      <c r="G297" s="1169"/>
      <c r="H297" s="1169"/>
      <c r="I297" s="1169"/>
      <c r="J297" s="1169"/>
      <c r="K297" s="1169"/>
      <c r="L297" s="884"/>
      <c r="M297" s="898"/>
    </row>
    <row r="298" spans="1:13" ht="78" customHeight="1">
      <c r="A298" s="1050" t="s">
        <v>134</v>
      </c>
      <c r="B298" s="1169" t="s">
        <v>778</v>
      </c>
      <c r="C298" s="1169"/>
      <c r="D298" s="1169"/>
      <c r="E298" s="1169"/>
      <c r="F298" s="1169"/>
      <c r="G298" s="1169"/>
      <c r="H298" s="1169"/>
      <c r="I298" s="1169"/>
      <c r="J298" s="1169"/>
      <c r="K298" s="1169"/>
      <c r="L298" s="884"/>
      <c r="M298" s="898"/>
    </row>
    <row r="299" spans="1:13" ht="15.75">
      <c r="A299" s="1050" t="s">
        <v>3</v>
      </c>
      <c r="B299" s="1053" t="s">
        <v>186</v>
      </c>
      <c r="C299" s="1054" t="s">
        <v>135</v>
      </c>
      <c r="D299" s="1055">
        <f>'Attachment 19 - Tax Rates'!D7</f>
        <v>0.20999999999999999</v>
      </c>
      <c r="E299" s="1169"/>
      <c r="F299" s="1169"/>
      <c r="G299" s="1169"/>
      <c r="H299" s="1169"/>
      <c r="I299" s="1169"/>
      <c r="J299" s="1169"/>
      <c r="K299" s="1169"/>
      <c r="L299" s="884"/>
      <c r="M299" s="898"/>
    </row>
    <row r="300" spans="1:13" ht="15.75">
      <c r="A300" s="1050"/>
      <c r="B300" s="1054"/>
      <c r="C300" s="1054" t="s">
        <v>136</v>
      </c>
      <c r="D300" s="1055">
        <f>'Attachment 19 - Tax Rates'!E17</f>
        <v>0.099900000000000003</v>
      </c>
      <c r="E300" s="1169" t="s">
        <v>319</v>
      </c>
      <c r="F300" s="1169"/>
      <c r="G300" s="1169"/>
      <c r="H300" s="1169"/>
      <c r="I300" s="1169"/>
      <c r="J300" s="1169"/>
      <c r="K300" s="1169"/>
      <c r="L300" s="884"/>
      <c r="M300" s="898"/>
    </row>
    <row r="301" spans="1:13" ht="15.75">
      <c r="A301" s="1050"/>
      <c r="B301" s="1054"/>
      <c r="C301" s="1054" t="s">
        <v>137</v>
      </c>
      <c r="D301" s="1056"/>
      <c r="E301" s="1169" t="s">
        <v>320</v>
      </c>
      <c r="F301" s="1169"/>
      <c r="G301" s="1169"/>
      <c r="H301" s="1169"/>
      <c r="I301" s="1169"/>
      <c r="J301" s="1169"/>
      <c r="K301" s="1169"/>
      <c r="L301" s="884"/>
      <c r="M301" s="898"/>
    </row>
    <row r="302" spans="1:13" s="907" customFormat="1" ht="34.5" customHeight="1">
      <c r="A302" s="1052" t="s">
        <v>138</v>
      </c>
      <c r="B302" s="1169" t="s">
        <v>1128</v>
      </c>
      <c r="C302" s="1169"/>
      <c r="D302" s="1169"/>
      <c r="E302" s="1169"/>
      <c r="F302" s="1169"/>
      <c r="G302" s="1169"/>
      <c r="H302" s="1169"/>
      <c r="I302" s="1169"/>
      <c r="J302" s="1169"/>
      <c r="K302" s="1169"/>
      <c r="L302" s="884"/>
      <c r="M302" s="898"/>
    </row>
    <row r="303" spans="1:13" s="907" customFormat="1" ht="32.25" customHeight="1">
      <c r="A303" s="1052" t="s">
        <v>139</v>
      </c>
      <c r="B303" s="1169" t="s">
        <v>895</v>
      </c>
      <c r="C303" s="1169"/>
      <c r="D303" s="1169"/>
      <c r="E303" s="1169"/>
      <c r="F303" s="1169"/>
      <c r="G303" s="1169"/>
      <c r="H303" s="1169"/>
      <c r="I303" s="1169"/>
      <c r="J303" s="1169"/>
      <c r="K303" s="1169"/>
      <c r="L303" s="884"/>
      <c r="M303" s="898"/>
    </row>
    <row r="304" spans="1:13" s="907" customFormat="1" ht="48" customHeight="1">
      <c r="A304" s="1052" t="s">
        <v>140</v>
      </c>
      <c r="B304" s="1169" t="s">
        <v>343</v>
      </c>
      <c r="C304" s="1169"/>
      <c r="D304" s="1169"/>
      <c r="E304" s="1169"/>
      <c r="F304" s="1169"/>
      <c r="G304" s="1169"/>
      <c r="H304" s="1169"/>
      <c r="I304" s="1169"/>
      <c r="J304" s="1169"/>
      <c r="K304" s="1169"/>
      <c r="L304" s="884"/>
      <c r="M304" s="898"/>
    </row>
    <row r="305" spans="1:13" s="907" customFormat="1" ht="15.75">
      <c r="A305" s="1052" t="s">
        <v>141</v>
      </c>
      <c r="B305" s="1169" t="s">
        <v>142</v>
      </c>
      <c r="C305" s="1169"/>
      <c r="D305" s="1169"/>
      <c r="E305" s="1169"/>
      <c r="F305" s="1169"/>
      <c r="G305" s="1169"/>
      <c r="H305" s="1169"/>
      <c r="I305" s="1169"/>
      <c r="J305" s="1169"/>
      <c r="K305" s="1169"/>
      <c r="L305" s="884"/>
      <c r="M305" s="898"/>
    </row>
    <row r="306" spans="1:13" s="907" customFormat="1" ht="67.5" customHeight="1">
      <c r="A306" s="1052" t="s">
        <v>143</v>
      </c>
      <c r="B306" s="1169" t="s">
        <v>1126</v>
      </c>
      <c r="C306" s="1169"/>
      <c r="D306" s="1169"/>
      <c r="E306" s="1169"/>
      <c r="F306" s="1169"/>
      <c r="G306" s="1169"/>
      <c r="H306" s="1169"/>
      <c r="I306" s="1169"/>
      <c r="J306" s="1169"/>
      <c r="K306" s="1169"/>
      <c r="L306" s="968"/>
      <c r="M306" s="898"/>
    </row>
    <row r="307" spans="1:13" s="907" customFormat="1" ht="23.25" customHeight="1">
      <c r="A307" s="1052" t="s">
        <v>144</v>
      </c>
      <c r="B307" s="1169" t="s">
        <v>597</v>
      </c>
      <c r="C307" s="1169"/>
      <c r="D307" s="1169"/>
      <c r="E307" s="1169"/>
      <c r="F307" s="1169"/>
      <c r="G307" s="1169"/>
      <c r="H307" s="1169"/>
      <c r="I307" s="1169"/>
      <c r="J307" s="1169"/>
      <c r="K307" s="1169"/>
      <c r="L307" s="884"/>
      <c r="M307" s="898"/>
    </row>
    <row r="308" spans="1:13" s="907" customFormat="1" ht="15.75">
      <c r="A308" s="1052" t="s">
        <v>145</v>
      </c>
      <c r="B308" s="1169" t="s">
        <v>146</v>
      </c>
      <c r="C308" s="1169"/>
      <c r="D308" s="1169"/>
      <c r="E308" s="1169"/>
      <c r="F308" s="1169"/>
      <c r="G308" s="1169"/>
      <c r="H308" s="1169"/>
      <c r="I308" s="1169"/>
      <c r="J308" s="1169"/>
      <c r="K308" s="1169"/>
      <c r="L308" s="884"/>
      <c r="M308" s="898"/>
    </row>
    <row r="309" spans="1:13" s="907" customFormat="1" ht="20.25" customHeight="1">
      <c r="A309" s="1052" t="s">
        <v>147</v>
      </c>
      <c r="B309" s="1169" t="s">
        <v>353</v>
      </c>
      <c r="C309" s="1169"/>
      <c r="D309" s="1169"/>
      <c r="E309" s="1169"/>
      <c r="F309" s="1169"/>
      <c r="G309" s="1169"/>
      <c r="H309" s="1169"/>
      <c r="I309" s="1169"/>
      <c r="J309" s="1169"/>
      <c r="K309" s="1169"/>
      <c r="L309" s="884"/>
      <c r="M309" s="898"/>
    </row>
    <row r="310" spans="1:13" s="907" customFormat="1" ht="53.25" customHeight="1">
      <c r="A310" s="1057" t="s">
        <v>148</v>
      </c>
      <c r="B310" s="1169" t="s">
        <v>598</v>
      </c>
      <c r="C310" s="1169"/>
      <c r="D310" s="1169"/>
      <c r="E310" s="1169"/>
      <c r="F310" s="1169"/>
      <c r="G310" s="1169"/>
      <c r="H310" s="1169"/>
      <c r="I310" s="1169"/>
      <c r="J310" s="1169"/>
      <c r="K310" s="1169"/>
      <c r="L310" s="898"/>
      <c r="M310" s="898"/>
    </row>
    <row r="311" spans="1:13" s="907" customFormat="1" ht="15.75" customHeight="1">
      <c r="A311" s="1057" t="s">
        <v>149</v>
      </c>
      <c r="B311" s="1169" t="s">
        <v>321</v>
      </c>
      <c r="C311" s="1169"/>
      <c r="D311" s="1169"/>
      <c r="E311" s="1169"/>
      <c r="F311" s="1169"/>
      <c r="G311" s="1169"/>
      <c r="H311" s="1169"/>
      <c r="I311" s="1169"/>
      <c r="J311" s="1169"/>
      <c r="K311" s="1169"/>
      <c r="L311" s="898"/>
      <c r="M311" s="898"/>
    </row>
    <row r="312" spans="1:12" s="907" customFormat="1" ht="33" customHeight="1">
      <c r="A312" s="1057" t="s">
        <v>150</v>
      </c>
      <c r="B312" s="1169" t="s">
        <v>894</v>
      </c>
      <c r="C312" s="1169"/>
      <c r="D312" s="1169"/>
      <c r="E312" s="1169"/>
      <c r="F312" s="1169"/>
      <c r="G312" s="1169"/>
      <c r="H312" s="1169"/>
      <c r="I312" s="1169"/>
      <c r="J312" s="1169"/>
      <c r="K312" s="1169"/>
      <c r="L312" s="1058"/>
    </row>
    <row r="313" spans="1:12" s="907" customFormat="1" ht="15.75" customHeight="1">
      <c r="A313" s="1057" t="s">
        <v>151</v>
      </c>
      <c r="B313" s="1173" t="s">
        <v>163</v>
      </c>
      <c r="C313" s="1173"/>
      <c r="D313" s="1173"/>
      <c r="E313" s="1173"/>
      <c r="F313" s="1173"/>
      <c r="G313" s="1173"/>
      <c r="H313" s="1173"/>
      <c r="I313" s="1173"/>
      <c r="J313" s="1173"/>
      <c r="K313" s="1173"/>
      <c r="L313" s="1059"/>
    </row>
    <row r="314" spans="1:12" s="907" customFormat="1" ht="15.75" customHeight="1">
      <c r="A314" s="1057" t="s">
        <v>159</v>
      </c>
      <c r="B314" s="1169" t="s">
        <v>322</v>
      </c>
      <c r="C314" s="1169"/>
      <c r="D314" s="1169"/>
      <c r="E314" s="1169"/>
      <c r="F314" s="1169"/>
      <c r="G314" s="1169"/>
      <c r="H314" s="1169"/>
      <c r="I314" s="1169"/>
      <c r="J314" s="1169"/>
      <c r="K314" s="1169"/>
      <c r="L314" s="1059"/>
    </row>
    <row r="315" spans="1:12" s="907" customFormat="1" ht="15.75" customHeight="1">
      <c r="A315" s="1057" t="s">
        <v>160</v>
      </c>
      <c r="B315" s="1169" t="s">
        <v>323</v>
      </c>
      <c r="C315" s="1169"/>
      <c r="D315" s="1169"/>
      <c r="E315" s="1169"/>
      <c r="F315" s="1169"/>
      <c r="G315" s="1169"/>
      <c r="H315" s="1169"/>
      <c r="I315" s="1169"/>
      <c r="J315" s="1169"/>
      <c r="K315" s="1169"/>
      <c r="L315" s="1059"/>
    </row>
    <row r="316" spans="1:12" s="907" customFormat="1" ht="19.5" customHeight="1">
      <c r="A316" s="1057" t="s">
        <v>642</v>
      </c>
      <c r="B316" s="1177" t="s">
        <v>643</v>
      </c>
      <c r="C316" s="1177"/>
      <c r="D316" s="1177"/>
      <c r="E316" s="1177"/>
      <c r="F316" s="1177"/>
      <c r="G316" s="1177"/>
      <c r="H316" s="1177"/>
      <c r="I316" s="1177"/>
      <c r="J316" s="1177"/>
      <c r="K316" s="1177"/>
      <c r="L316" s="1059"/>
    </row>
    <row r="317" spans="1:12" s="907" customFormat="1" ht="15.75" customHeight="1">
      <c r="A317" s="1060" t="s">
        <v>644</v>
      </c>
      <c r="B317" s="1178" t="s">
        <v>646</v>
      </c>
      <c r="C317" s="1178"/>
      <c r="D317" s="1178"/>
      <c r="E317" s="1178"/>
      <c r="F317" s="1178"/>
      <c r="G317" s="1178"/>
      <c r="H317" s="1178"/>
      <c r="I317" s="1178"/>
      <c r="J317" s="1178"/>
      <c r="K317" s="1178"/>
      <c r="L317" s="1059"/>
    </row>
    <row r="318" spans="1:12" ht="36" customHeight="1">
      <c r="A318" s="1061" t="s">
        <v>645</v>
      </c>
      <c r="B318" s="1178" t="s">
        <v>641</v>
      </c>
      <c r="C318" s="1178"/>
      <c r="D318" s="1178"/>
      <c r="E318" s="1178"/>
      <c r="F318" s="1178"/>
      <c r="G318" s="1178"/>
      <c r="H318" s="1178"/>
      <c r="I318" s="1178"/>
      <c r="J318" s="1178"/>
      <c r="K318" s="1178"/>
      <c r="L318" s="863"/>
    </row>
    <row r="319" spans="1:12" ht="31.5" customHeight="1">
      <c r="A319" s="1061" t="s">
        <v>836</v>
      </c>
      <c r="B319" s="1172" t="s">
        <v>871</v>
      </c>
      <c r="C319" s="1172"/>
      <c r="D319" s="1172"/>
      <c r="E319" s="1172"/>
      <c r="F319" s="1172"/>
      <c r="G319" s="1172"/>
      <c r="H319" s="1172"/>
      <c r="I319" s="1172"/>
      <c r="J319" s="1172"/>
      <c r="K319" s="1172"/>
      <c r="L319" s="1062"/>
    </row>
    <row r="320" spans="1:12" ht="18" customHeight="1">
      <c r="A320" s="1061" t="s">
        <v>876</v>
      </c>
      <c r="B320" s="1178" t="s">
        <v>883</v>
      </c>
      <c r="C320" s="1178"/>
      <c r="D320" s="1178"/>
      <c r="E320" s="1178"/>
      <c r="F320" s="1178"/>
      <c r="G320" s="1178"/>
      <c r="H320" s="1178"/>
      <c r="I320" s="1178"/>
      <c r="J320" s="1178"/>
      <c r="K320" s="1178"/>
      <c r="L320" s="863"/>
    </row>
    <row r="321" spans="1:11" ht="15.75">
      <c r="A321" s="946"/>
      <c r="B321" s="1063"/>
      <c r="C321" s="878"/>
      <c r="D321" s="1064"/>
      <c r="E321" s="907"/>
      <c r="F321" s="934"/>
      <c r="G321" s="885"/>
      <c r="H321" s="898"/>
      <c r="I321" s="907"/>
      <c r="J321" s="907"/>
      <c r="K321" s="937"/>
    </row>
    <row r="322" spans="1:11" ht="36" customHeight="1">
      <c r="A322" s="946"/>
      <c r="B322" s="1065"/>
      <c r="C322" s="1065"/>
      <c r="D322" s="1065"/>
      <c r="E322" s="1065"/>
      <c r="F322" s="1065"/>
      <c r="G322" s="1065"/>
      <c r="H322" s="1065"/>
      <c r="I322" s="1065"/>
      <c r="J322" s="1065"/>
      <c r="K322" s="1065"/>
    </row>
    <row r="323" spans="1:11" ht="47.25" customHeight="1">
      <c r="A323" s="946"/>
      <c r="B323" s="1065"/>
      <c r="C323" s="1065"/>
      <c r="D323" s="1065"/>
      <c r="E323" s="1065"/>
      <c r="F323" s="1065"/>
      <c r="G323" s="1065"/>
      <c r="H323" s="1065"/>
      <c r="I323" s="1065"/>
      <c r="J323" s="1065"/>
      <c r="K323" s="1065"/>
    </row>
    <row r="324" spans="1:11" ht="15.75">
      <c r="A324" s="907"/>
      <c r="B324" s="885"/>
      <c r="C324" s="885"/>
      <c r="D324" s="968"/>
      <c r="E324" s="885"/>
      <c r="F324" s="885"/>
      <c r="G324" s="885"/>
      <c r="H324" s="898"/>
      <c r="I324" s="898"/>
      <c r="J324" s="907"/>
      <c r="K324" s="907"/>
    </row>
    <row r="325" spans="1:11" ht="15.75">
      <c r="A325" s="907"/>
      <c r="B325" s="885"/>
      <c r="C325" s="968"/>
      <c r="D325" s="907"/>
      <c r="E325" s="885"/>
      <c r="F325" s="885"/>
      <c r="G325" s="898"/>
      <c r="H325" s="907"/>
      <c r="I325" s="907"/>
      <c r="J325" s="907"/>
      <c r="K325" s="907"/>
    </row>
    <row r="326" spans="1:11" ht="15.75">
      <c r="A326" s="907"/>
      <c r="B326" s="885"/>
      <c r="C326" s="870"/>
      <c r="D326" s="907"/>
      <c r="E326" s="870"/>
      <c r="F326" s="870"/>
      <c r="G326" s="870"/>
      <c r="H326" s="898"/>
      <c r="I326" s="898"/>
      <c r="J326" s="907"/>
      <c r="K326" s="907"/>
    </row>
    <row r="327" spans="1:11" ht="15.75">
      <c r="A327" s="907"/>
      <c r="B327" s="898"/>
      <c r="C327" s="898"/>
      <c r="D327" s="898"/>
      <c r="E327" s="898"/>
      <c r="F327" s="898"/>
      <c r="G327" s="898"/>
      <c r="H327" s="898"/>
      <c r="I327" s="898"/>
      <c r="J327" s="907"/>
      <c r="K327" s="907"/>
    </row>
    <row r="328" spans="1:11" ht="15.75">
      <c r="A328" s="884"/>
      <c r="B328" s="907"/>
      <c r="C328" s="1066"/>
      <c r="D328" s="907"/>
      <c r="E328" s="898"/>
      <c r="F328" s="898"/>
      <c r="G328" s="898"/>
      <c r="H328" s="898"/>
      <c r="I328" s="898"/>
      <c r="J328" s="907"/>
      <c r="K328" s="907"/>
    </row>
    <row r="329" spans="1:11" ht="15.75">
      <c r="A329" s="884"/>
      <c r="B329" s="907"/>
      <c r="C329" s="898"/>
      <c r="D329" s="873"/>
      <c r="E329" s="898"/>
      <c r="F329" s="898"/>
      <c r="G329" s="898"/>
      <c r="H329" s="898"/>
      <c r="I329" s="898"/>
      <c r="J329" s="907"/>
      <c r="K329" s="907"/>
    </row>
    <row r="330" spans="1:11" ht="15.75">
      <c r="A330" s="884"/>
      <c r="B330" s="1174"/>
      <c r="C330" s="1174"/>
      <c r="D330" s="1174"/>
      <c r="E330" s="1174"/>
      <c r="F330" s="1174"/>
      <c r="G330" s="1174"/>
      <c r="H330" s="1174"/>
      <c r="I330" s="1174"/>
      <c r="J330" s="1174"/>
      <c r="K330" s="1174"/>
    </row>
    <row r="331" spans="1:11" ht="15.75">
      <c r="A331" s="884"/>
      <c r="B331" s="1174"/>
      <c r="C331" s="1174"/>
      <c r="D331" s="1174"/>
      <c r="E331" s="1174"/>
      <c r="F331" s="1174"/>
      <c r="G331" s="1174"/>
      <c r="H331" s="1174"/>
      <c r="I331" s="1174"/>
      <c r="J331" s="1174"/>
      <c r="K331" s="1174"/>
    </row>
    <row r="332" spans="1:11" ht="15.75">
      <c r="A332" s="884"/>
      <c r="B332" s="1174"/>
      <c r="C332" s="1174"/>
      <c r="D332" s="1174"/>
      <c r="E332" s="1174"/>
      <c r="F332" s="1174"/>
      <c r="G332" s="1174"/>
      <c r="H332" s="1174"/>
      <c r="I332" s="1174"/>
      <c r="J332" s="1174"/>
      <c r="K332" s="1174"/>
    </row>
    <row r="333" spans="1:11" ht="15.75">
      <c r="A333" s="884"/>
      <c r="B333" s="1174"/>
      <c r="C333" s="1174"/>
      <c r="D333" s="1174"/>
      <c r="E333" s="1174"/>
      <c r="F333" s="1174"/>
      <c r="G333" s="1174"/>
      <c r="H333" s="1174"/>
      <c r="I333" s="1174"/>
      <c r="J333" s="1174"/>
      <c r="K333" s="1174"/>
    </row>
    <row r="334" spans="1:11" ht="15.75">
      <c r="A334" s="884"/>
      <c r="B334" s="907"/>
      <c r="C334" s="898"/>
      <c r="D334" s="873"/>
      <c r="E334" s="898"/>
      <c r="F334" s="898"/>
      <c r="G334" s="898"/>
      <c r="H334" s="898"/>
      <c r="I334" s="898"/>
      <c r="J334" s="907"/>
      <c r="K334" s="907"/>
    </row>
    <row r="335" spans="1:11" ht="15.75">
      <c r="A335" s="884"/>
      <c r="B335" s="1174"/>
      <c r="C335" s="1174"/>
      <c r="D335" s="1174"/>
      <c r="E335" s="1174"/>
      <c r="F335" s="1174"/>
      <c r="G335" s="1174"/>
      <c r="H335" s="1174"/>
      <c r="I335" s="1174"/>
      <c r="J335" s="1174"/>
      <c r="K335" s="1174"/>
    </row>
    <row r="336" spans="1:11" ht="15.75">
      <c r="A336" s="884"/>
      <c r="B336" s="1174"/>
      <c r="C336" s="1174"/>
      <c r="D336" s="1174"/>
      <c r="E336" s="1174"/>
      <c r="F336" s="1174"/>
      <c r="G336" s="1174"/>
      <c r="H336" s="1174"/>
      <c r="I336" s="1174"/>
      <c r="J336" s="1174"/>
      <c r="K336" s="1174"/>
    </row>
    <row r="337" spans="1:11" ht="15.75">
      <c r="A337" s="884"/>
      <c r="B337" s="1174"/>
      <c r="C337" s="1174"/>
      <c r="D337" s="1174"/>
      <c r="E337" s="1174"/>
      <c r="F337" s="1174"/>
      <c r="G337" s="1174"/>
      <c r="H337" s="1174"/>
      <c r="I337" s="1174"/>
      <c r="J337" s="1174"/>
      <c r="K337" s="1174"/>
    </row>
    <row r="338" spans="1:11" ht="15.75">
      <c r="A338" s="884"/>
      <c r="B338" s="907"/>
      <c r="C338" s="898"/>
      <c r="D338" s="873"/>
      <c r="E338" s="898"/>
      <c r="F338" s="898"/>
      <c r="G338" s="898"/>
      <c r="H338" s="898"/>
      <c r="I338" s="898"/>
      <c r="J338" s="907"/>
      <c r="K338" s="907"/>
    </row>
    <row r="339" spans="1:11" ht="15.75">
      <c r="A339" s="884"/>
      <c r="B339" s="907"/>
      <c r="C339" s="898"/>
      <c r="D339" s="873"/>
      <c r="E339" s="898"/>
      <c r="F339" s="898"/>
      <c r="G339" s="898"/>
      <c r="H339" s="898"/>
      <c r="I339" s="898"/>
      <c r="J339" s="907"/>
      <c r="K339" s="907"/>
    </row>
    <row r="340" spans="1:11" ht="15.75">
      <c r="A340" s="922"/>
      <c r="B340" s="946"/>
      <c r="C340" s="909"/>
      <c r="D340" s="1067"/>
      <c r="E340" s="909"/>
      <c r="F340" s="909"/>
      <c r="G340" s="909"/>
      <c r="H340" s="909"/>
      <c r="I340" s="922"/>
      <c r="J340" s="907"/>
      <c r="K340" s="907"/>
    </row>
    <row r="341" spans="1:11" ht="15.75">
      <c r="A341" s="922"/>
      <c r="B341" s="946"/>
      <c r="C341" s="909"/>
      <c r="D341" s="909"/>
      <c r="E341" s="909"/>
      <c r="F341" s="909"/>
      <c r="G341" s="922"/>
      <c r="H341" s="909"/>
      <c r="I341" s="922"/>
      <c r="J341" s="907"/>
      <c r="K341" s="907"/>
    </row>
    <row r="342" spans="1:11" ht="15.75">
      <c r="A342" s="922"/>
      <c r="B342" s="946"/>
      <c r="C342" s="909"/>
      <c r="D342" s="892"/>
      <c r="E342" s="909"/>
      <c r="F342" s="909"/>
      <c r="G342" s="909"/>
      <c r="H342" s="909"/>
      <c r="I342" s="881"/>
      <c r="J342" s="907"/>
      <c r="K342" s="907"/>
    </row>
    <row r="343" spans="1:11" ht="15.75">
      <c r="A343" s="946"/>
      <c r="B343" s="946"/>
      <c r="C343" s="922"/>
      <c r="D343" s="922"/>
      <c r="E343" s="945"/>
      <c r="F343" s="945"/>
      <c r="G343" s="1068"/>
      <c r="H343" s="945"/>
      <c r="I343" s="938"/>
      <c r="J343" s="907"/>
      <c r="K343" s="907"/>
    </row>
    <row r="344" spans="1:11" ht="15.75">
      <c r="A344" s="946"/>
      <c r="B344" s="946"/>
      <c r="C344" s="1069"/>
      <c r="D344" s="945"/>
      <c r="E344" s="945"/>
      <c r="F344" s="945"/>
      <c r="G344" s="922"/>
      <c r="H344" s="945"/>
      <c r="I344" s="1070"/>
      <c r="J344" s="907"/>
      <c r="K344" s="907"/>
    </row>
    <row r="345" spans="1:11" ht="15.75">
      <c r="A345" s="922"/>
      <c r="B345" s="1063"/>
      <c r="C345" s="1071"/>
      <c r="D345" s="1070"/>
      <c r="E345" s="1072"/>
      <c r="F345" s="1070"/>
      <c r="G345" s="946"/>
      <c r="H345" s="1072"/>
      <c r="I345" s="922"/>
      <c r="J345" s="907"/>
      <c r="K345" s="907"/>
    </row>
    <row r="346" spans="1:11" ht="15.75">
      <c r="A346" s="922"/>
      <c r="B346" s="1073"/>
      <c r="C346" s="945"/>
      <c r="D346" s="945"/>
      <c r="E346" s="945"/>
      <c r="F346" s="945"/>
      <c r="G346" s="945"/>
      <c r="H346" s="945"/>
      <c r="I346" s="945"/>
      <c r="J346" s="907"/>
      <c r="K346" s="907"/>
    </row>
    <row r="347" spans="1:11" ht="15.75">
      <c r="A347" s="922"/>
      <c r="B347" s="1063"/>
      <c r="C347" s="945"/>
      <c r="D347" s="945"/>
      <c r="E347" s="945"/>
      <c r="F347" s="945"/>
      <c r="G347" s="945"/>
      <c r="H347" s="945"/>
      <c r="I347" s="945"/>
      <c r="J347" s="907"/>
      <c r="K347" s="907"/>
    </row>
    <row r="348" spans="1:11" ht="15.75">
      <c r="A348" s="922"/>
      <c r="B348" s="1063"/>
      <c r="C348" s="945"/>
      <c r="D348" s="945"/>
      <c r="E348" s="945"/>
      <c r="F348" s="945"/>
      <c r="G348" s="945"/>
      <c r="H348" s="945"/>
      <c r="I348" s="945"/>
      <c r="J348" s="907"/>
      <c r="K348" s="907"/>
    </row>
    <row r="349" spans="1:11" ht="15.75">
      <c r="A349" s="922"/>
      <c r="B349" s="1074"/>
      <c r="C349" s="946"/>
      <c r="D349" s="945"/>
      <c r="E349" s="945"/>
      <c r="F349" s="945"/>
      <c r="G349" s="1075"/>
      <c r="H349" s="945"/>
      <c r="I349" s="945"/>
      <c r="J349" s="907"/>
      <c r="K349" s="907"/>
    </row>
    <row r="350" spans="1:11" ht="15.75">
      <c r="A350" s="922"/>
      <c r="B350" s="1063"/>
      <c r="C350" s="946"/>
      <c r="D350" s="945"/>
      <c r="E350" s="945"/>
      <c r="F350" s="945"/>
      <c r="G350" s="1075"/>
      <c r="H350" s="945"/>
      <c r="I350" s="945"/>
      <c r="J350" s="907"/>
      <c r="K350" s="907"/>
    </row>
    <row r="351" spans="1:11" ht="15.75">
      <c r="A351" s="922"/>
      <c r="B351" s="1063"/>
      <c r="C351" s="945"/>
      <c r="D351" s="945"/>
      <c r="E351" s="945"/>
      <c r="F351" s="945"/>
      <c r="G351" s="945"/>
      <c r="H351" s="945"/>
      <c r="I351" s="945"/>
      <c r="J351" s="907"/>
      <c r="K351" s="907"/>
    </row>
    <row r="352" spans="1:11" ht="15.75">
      <c r="A352" s="922"/>
      <c r="B352" s="1063"/>
      <c r="C352" s="945"/>
      <c r="D352" s="945"/>
      <c r="E352" s="945"/>
      <c r="F352" s="945"/>
      <c r="G352" s="945"/>
      <c r="H352" s="945"/>
      <c r="I352" s="945"/>
      <c r="J352" s="907"/>
      <c r="K352" s="907"/>
    </row>
    <row r="353" spans="1:11" ht="15.75">
      <c r="A353" s="922"/>
      <c r="B353" s="1063"/>
      <c r="C353" s="909"/>
      <c r="D353" s="945"/>
      <c r="E353" s="945"/>
      <c r="F353" s="870"/>
      <c r="G353" s="870"/>
      <c r="H353" s="898"/>
      <c r="I353" s="870"/>
      <c r="J353" s="907"/>
      <c r="K353" s="907"/>
    </row>
    <row r="354" spans="1:11" ht="15.75">
      <c r="A354" s="922"/>
      <c r="B354" s="1063"/>
      <c r="C354" s="909"/>
      <c r="D354" s="945"/>
      <c r="E354" s="945"/>
      <c r="F354" s="870"/>
      <c r="G354" s="870"/>
      <c r="H354" s="898"/>
      <c r="I354" s="870"/>
      <c r="J354" s="907"/>
      <c r="K354" s="907"/>
    </row>
    <row r="355" spans="1:11" ht="15.75">
      <c r="A355" s="922"/>
      <c r="B355" s="909"/>
      <c r="C355" s="909"/>
      <c r="D355" s="909"/>
      <c r="E355" s="909"/>
      <c r="F355" s="898"/>
      <c r="G355" s="898"/>
      <c r="H355" s="898"/>
      <c r="I355" s="898"/>
      <c r="J355" s="907"/>
      <c r="K355" s="907"/>
    </row>
    <row r="356" spans="1:11" ht="15.75">
      <c r="A356" s="884"/>
      <c r="B356" s="898"/>
      <c r="C356" s="898"/>
      <c r="D356" s="898"/>
      <c r="E356" s="898"/>
      <c r="F356" s="898"/>
      <c r="G356" s="898"/>
      <c r="H356" s="898"/>
      <c r="I356" s="898"/>
      <c r="J356" s="907"/>
      <c r="K356" s="907"/>
    </row>
    <row r="357" spans="1:11" ht="15.75">
      <c r="A357" s="884"/>
      <c r="B357" s="898"/>
      <c r="C357" s="898"/>
      <c r="D357" s="898"/>
      <c r="E357" s="898"/>
      <c r="F357" s="898"/>
      <c r="G357" s="898"/>
      <c r="H357" s="898"/>
      <c r="I357" s="898"/>
      <c r="J357" s="907"/>
      <c r="K357" s="907"/>
    </row>
    <row r="358" spans="1:11" ht="15.75">
      <c r="A358" s="884"/>
      <c r="B358" s="1077"/>
      <c r="C358" s="898"/>
      <c r="D358" s="898"/>
      <c r="E358" s="898"/>
      <c r="F358" s="898"/>
      <c r="G358" s="898"/>
      <c r="H358" s="898"/>
      <c r="I358" s="898"/>
      <c r="J358" s="907"/>
      <c r="K358" s="907"/>
    </row>
    <row r="359" spans="1:11" ht="15.75">
      <c r="A359" s="884"/>
      <c r="B359" s="1077"/>
      <c r="C359" s="898"/>
      <c r="D359" s="898"/>
      <c r="E359" s="898"/>
      <c r="F359" s="898"/>
      <c r="G359" s="898"/>
      <c r="H359" s="898"/>
      <c r="I359" s="898"/>
      <c r="J359" s="907"/>
      <c r="K359" s="907"/>
    </row>
    <row r="360" spans="1:11" ht="15.75">
      <c r="A360" s="884"/>
      <c r="B360" s="1077"/>
      <c r="C360" s="898"/>
      <c r="D360" s="898"/>
      <c r="E360" s="898"/>
      <c r="F360" s="898"/>
      <c r="G360" s="898"/>
      <c r="H360" s="898"/>
      <c r="I360" s="898"/>
      <c r="J360" s="907"/>
      <c r="K360" s="907"/>
    </row>
    <row r="361" spans="1:11" ht="15.75">
      <c r="A361" s="884"/>
      <c r="B361" s="1077"/>
      <c r="C361" s="898"/>
      <c r="D361" s="898"/>
      <c r="E361" s="898"/>
      <c r="F361" s="898"/>
      <c r="G361" s="898"/>
      <c r="H361" s="898"/>
      <c r="I361" s="898"/>
      <c r="J361" s="907"/>
      <c r="K361" s="907"/>
    </row>
    <row r="362" spans="1:11" ht="15.75">
      <c r="A362" s="884"/>
      <c r="B362" s="1077"/>
      <c r="C362" s="898"/>
      <c r="D362" s="898"/>
      <c r="E362" s="898"/>
      <c r="F362" s="898"/>
      <c r="G362" s="898"/>
      <c r="H362" s="898"/>
      <c r="I362" s="898"/>
      <c r="J362" s="907"/>
      <c r="K362" s="907"/>
    </row>
    <row r="363" spans="1:11" ht="15.75">
      <c r="A363" s="884"/>
      <c r="B363" s="1077"/>
      <c r="C363" s="898"/>
      <c r="D363" s="898"/>
      <c r="E363" s="898"/>
      <c r="F363" s="898"/>
      <c r="G363" s="898"/>
      <c r="H363" s="898"/>
      <c r="I363" s="898"/>
      <c r="J363" s="907"/>
      <c r="K363" s="907"/>
    </row>
    <row r="364" spans="1:11" ht="15.75">
      <c r="A364" s="884"/>
      <c r="B364" s="1077"/>
      <c r="C364" s="898"/>
      <c r="D364" s="898"/>
      <c r="E364" s="898"/>
      <c r="F364" s="898"/>
      <c r="G364" s="898"/>
      <c r="H364" s="898"/>
      <c r="I364" s="898"/>
      <c r="J364" s="907"/>
      <c r="K364" s="907"/>
    </row>
    <row r="365" spans="1:11" ht="15.75">
      <c r="A365" s="884"/>
      <c r="B365" s="898"/>
      <c r="C365" s="898"/>
      <c r="D365" s="898"/>
      <c r="E365" s="898"/>
      <c r="F365" s="898"/>
      <c r="G365" s="898"/>
      <c r="H365" s="898"/>
      <c r="I365" s="898"/>
      <c r="J365" s="907"/>
      <c r="K365" s="907"/>
    </row>
    <row r="366" spans="1:11" ht="15.75">
      <c r="A366" s="884"/>
      <c r="B366" s="898"/>
      <c r="C366" s="898"/>
      <c r="D366" s="898"/>
      <c r="E366" s="898"/>
      <c r="F366" s="898"/>
      <c r="G366" s="898"/>
      <c r="H366" s="898"/>
      <c r="I366" s="898"/>
      <c r="J366" s="907"/>
      <c r="K366" s="907"/>
    </row>
    <row r="367" spans="1:19" s="907" customFormat="1" ht="15.75">
      <c r="A367" s="1060"/>
      <c r="B367" s="968"/>
      <c r="L367" s="1059"/>
      <c r="N367" s="863"/>
      <c r="O367" s="863"/>
      <c r="P367" s="863"/>
      <c r="Q367" s="863"/>
      <c r="R367" s="863"/>
      <c r="S367" s="863"/>
    </row>
    <row r="368" spans="2:19" s="907" customFormat="1" ht="15.75">
      <c r="B368" s="968"/>
      <c r="L368" s="1059"/>
      <c r="N368" s="863"/>
      <c r="O368" s="863"/>
      <c r="P368" s="863"/>
      <c r="Q368" s="863"/>
      <c r="R368" s="863"/>
      <c r="S368" s="863"/>
    </row>
    <row r="369" spans="2:19" s="907" customFormat="1" ht="15.75">
      <c r="B369" s="968"/>
      <c r="L369" s="1059"/>
      <c r="N369" s="863"/>
      <c r="O369" s="863"/>
      <c r="P369" s="863"/>
      <c r="Q369" s="863"/>
      <c r="R369" s="863"/>
      <c r="S369" s="863"/>
    </row>
    <row r="370" spans="2:19" s="907" customFormat="1" ht="15.75">
      <c r="B370" s="968"/>
      <c r="L370" s="1059"/>
      <c r="N370" s="863"/>
      <c r="O370" s="863"/>
      <c r="P370" s="863"/>
      <c r="Q370" s="863"/>
      <c r="R370" s="863"/>
      <c r="S370" s="863"/>
    </row>
    <row r="371" spans="2:19" s="907" customFormat="1" ht="15.75">
      <c r="B371" s="968"/>
      <c r="L371" s="1059"/>
      <c r="N371" s="863"/>
      <c r="O371" s="863"/>
      <c r="P371" s="863"/>
      <c r="Q371" s="863"/>
      <c r="R371" s="863"/>
      <c r="S371" s="863"/>
    </row>
    <row r="372" spans="2:19" s="907" customFormat="1" ht="15.75">
      <c r="B372" s="968"/>
      <c r="L372" s="1059"/>
      <c r="N372" s="863"/>
      <c r="O372" s="863"/>
      <c r="P372" s="863"/>
      <c r="Q372" s="863"/>
      <c r="R372" s="863"/>
      <c r="S372" s="863"/>
    </row>
    <row r="373" spans="2:19" s="907" customFormat="1" ht="15.75">
      <c r="B373" s="968"/>
      <c r="L373" s="1059"/>
      <c r="N373" s="863"/>
      <c r="O373" s="863"/>
      <c r="P373" s="863"/>
      <c r="Q373" s="863"/>
      <c r="R373" s="863"/>
      <c r="S373" s="863"/>
    </row>
    <row r="374" spans="2:19" s="907" customFormat="1" ht="15.75">
      <c r="B374" s="968"/>
      <c r="L374" s="1059"/>
      <c r="N374" s="863"/>
      <c r="O374" s="863"/>
      <c r="P374" s="863"/>
      <c r="Q374" s="863"/>
      <c r="R374" s="863"/>
      <c r="S374" s="863"/>
    </row>
    <row r="375" spans="12:19" s="907" customFormat="1" ht="15.75">
      <c r="L375" s="1059"/>
      <c r="N375" s="863"/>
      <c r="O375" s="863"/>
      <c r="P375" s="863"/>
      <c r="Q375" s="863"/>
      <c r="R375" s="863"/>
      <c r="S375" s="863"/>
    </row>
    <row r="376" spans="1:12" ht="15.75">
      <c r="A376" s="864"/>
      <c r="B376" s="871"/>
      <c r="C376" s="964"/>
      <c r="D376" s="871"/>
      <c r="E376" s="871"/>
      <c r="F376" s="951"/>
      <c r="G376" s="871"/>
      <c r="H376" s="964"/>
      <c r="I376" s="871"/>
      <c r="K376" s="966"/>
      <c r="L376" s="863"/>
    </row>
    <row r="377" spans="1:12" ht="15.75">
      <c r="A377" s="864"/>
      <c r="B377" s="871"/>
      <c r="C377" s="964"/>
      <c r="D377" s="871"/>
      <c r="E377" s="871"/>
      <c r="F377" s="951"/>
      <c r="G377" s="871"/>
      <c r="H377" s="964"/>
      <c r="I377" s="871"/>
      <c r="K377" s="966"/>
      <c r="L377" s="863"/>
    </row>
    <row r="378" spans="1:12" ht="15.75">
      <c r="A378" s="864"/>
      <c r="B378" s="871"/>
      <c r="C378" s="964"/>
      <c r="D378" s="871"/>
      <c r="E378" s="871"/>
      <c r="F378" s="951"/>
      <c r="G378" s="871"/>
      <c r="H378" s="964"/>
      <c r="I378" s="871"/>
      <c r="J378" s="1009"/>
      <c r="K378" s="1009"/>
      <c r="L378" s="863"/>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2"/>
      <headerFooter alignWithMargins="0"/>
    </customSheetView>
  </customSheetViews>
  <mergeCells count="43">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rintOptions horizontalCentered="1"/>
  <pageMargins left="0.7" right="0.7" top="0.75" bottom="0.75" header="0.3" footer="0.3"/>
  <pageSetup fitToHeight="0" fitToWidth="0" orientation="portrait" scale="33" r:id="rId1"/>
  <headerFooter alignWithMargins="0"/>
  <rowBreaks count="4" manualBreakCount="4">
    <brk id="43" max="10" man="1"/>
    <brk id="118" max="10" man="1"/>
    <brk id="201" max="10" man="1"/>
    <brk id="275" max="10" man="1"/>
  </rowBreaks>
  <ignoredErrors>
    <ignoredError sqref="D20" evalError="1" calculatedColumn="1"/>
    <ignoredError sqref="F67:G6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80" zoomScaleNormal="100" zoomScaleSheetLayoutView="80" workbookViewId="0" topLeftCell="A1"/>
  </sheetViews>
  <sheetFormatPr defaultColWidth="7.10555555555556" defaultRowHeight="12.75"/>
  <cols>
    <col min="1" max="1" width="47.7777777777778" style="13" customWidth="1"/>
    <col min="2" max="2" width="7.11111111111111" style="13" customWidth="1"/>
    <col min="3" max="3" width="2.55555555555556" style="13" customWidth="1"/>
    <col min="4" max="4" width="12.4444444444444" style="13" bestFit="1" customWidth="1"/>
    <col min="5" max="8" width="7.11111111111111" style="13" customWidth="1"/>
    <col min="9" max="9" width="13.4444444444444" style="13" customWidth="1"/>
    <col min="10" max="10" width="47.7777777777778" style="13" customWidth="1"/>
    <col min="11" max="16384" width="7.11111111111111" style="13"/>
  </cols>
  <sheetData>
    <row r="1" spans="4:10" ht="16.5" customHeight="1">
      <c r="D1" s="137"/>
      <c r="G1" s="5"/>
      <c r="H1" s="2"/>
      <c r="J1" s="6" t="s">
        <v>672</v>
      </c>
    </row>
    <row r="2" spans="7:10" ht="16.5" customHeight="1">
      <c r="G2" s="5"/>
      <c r="H2" s="5"/>
      <c r="J2" s="6" t="s">
        <v>221</v>
      </c>
    </row>
    <row r="3" spans="7:10" ht="16.5" customHeight="1">
      <c r="G3" s="3"/>
      <c r="H3" s="7"/>
      <c r="J3" s="9" t="str">
        <f>'Attachment H-28A MAIT '!K4</f>
        <v>For the 12 months ended 12/31/2021</v>
      </c>
    </row>
    <row r="4" spans="7:9" ht="15.75">
      <c r="G4" s="3"/>
      <c r="H4" s="7"/>
      <c r="I4" s="9"/>
    </row>
    <row r="5" spans="7:9" ht="15.75">
      <c r="G5" s="3"/>
      <c r="H5" s="7"/>
      <c r="I5" s="9"/>
    </row>
    <row r="6" spans="2:9" ht="15.75" customHeight="1">
      <c r="B6" s="1182" t="s">
        <v>222</v>
      </c>
      <c r="C6" s="1182"/>
      <c r="D6" s="1182"/>
      <c r="E6" s="1182"/>
      <c r="F6" s="1182"/>
      <c r="G6" s="1182"/>
      <c r="H6" s="1182"/>
      <c r="I6" s="1182"/>
    </row>
    <row r="7" spans="2:9" ht="15.75">
      <c r="B7" s="12"/>
      <c r="C7" s="12"/>
      <c r="D7" s="15"/>
      <c r="E7" s="15"/>
      <c r="F7" s="14"/>
      <c r="G7" s="14" t="s">
        <v>3</v>
      </c>
      <c r="H7" s="14"/>
      <c r="I7" s="14"/>
    </row>
    <row r="8" spans="2:9" ht="15.75">
      <c r="B8" s="12"/>
      <c r="C8" s="16">
        <v>1</v>
      </c>
      <c r="D8" s="19">
        <f>'Attachment H-28A MAIT '!I221</f>
        <v>1617002</v>
      </c>
      <c r="E8" s="16" t="s">
        <v>762</v>
      </c>
      <c r="F8" s="16"/>
      <c r="G8" s="20"/>
      <c r="H8" s="17"/>
      <c r="I8" s="17"/>
    </row>
    <row r="9" spans="1:9" ht="15.75">
      <c r="A9" s="137"/>
      <c r="B9" s="12"/>
      <c r="C9" s="16">
        <v>2</v>
      </c>
      <c r="D9" s="139">
        <v>109128.90000000002</v>
      </c>
      <c r="E9" s="21" t="s">
        <v>188</v>
      </c>
      <c r="F9" s="22"/>
      <c r="G9" s="22"/>
      <c r="H9" s="17"/>
      <c r="I9" s="17"/>
    </row>
    <row r="10" spans="1:9" ht="15.75">
      <c r="A10" s="137"/>
      <c r="B10" s="12"/>
      <c r="C10" s="16">
        <v>3</v>
      </c>
      <c r="D10" s="23">
        <f>D8-D9</f>
        <v>1507873.1000000001</v>
      </c>
      <c r="E10" s="17" t="s">
        <v>189</v>
      </c>
      <c r="F10" s="16"/>
      <c r="G10" s="20"/>
      <c r="H10" s="17"/>
      <c r="I10" s="17"/>
    </row>
    <row r="11" spans="1:9" ht="7.5" customHeight="1">
      <c r="A11" s="137"/>
      <c r="B11" s="12"/>
      <c r="C11" s="16"/>
      <c r="D11" s="16"/>
      <c r="E11" s="17"/>
      <c r="F11" s="17"/>
      <c r="G11" s="17"/>
      <c r="H11" s="17"/>
      <c r="I11" s="17"/>
    </row>
    <row r="12" spans="1:9" ht="15.75">
      <c r="A12" s="137"/>
      <c r="B12" s="12"/>
      <c r="C12" s="16">
        <v>4</v>
      </c>
      <c r="D12" s="139">
        <v>32982918.089999989</v>
      </c>
      <c r="E12" s="17" t="s">
        <v>763</v>
      </c>
      <c r="F12" s="17"/>
      <c r="G12" s="17"/>
      <c r="H12" s="17"/>
      <c r="I12" s="17"/>
    </row>
    <row r="13" spans="1:9" ht="15.75">
      <c r="A13" s="137"/>
      <c r="B13" s="24"/>
      <c r="C13" s="18">
        <v>5</v>
      </c>
      <c r="D13" s="25">
        <f>D10/D12</f>
        <v>0.045716788790048521</v>
      </c>
      <c r="E13" s="17" t="s">
        <v>231</v>
      </c>
      <c r="F13" s="22"/>
      <c r="G13" s="22"/>
      <c r="H13" s="22"/>
      <c r="I13" s="22"/>
    </row>
    <row r="14" spans="2:9" ht="15.75">
      <c r="B14" s="24"/>
      <c r="C14" s="22"/>
      <c r="D14" s="22"/>
      <c r="E14" s="22"/>
      <c r="F14" s="22"/>
      <c r="G14" s="22"/>
      <c r="H14" s="22"/>
      <c r="I14" s="22"/>
    </row>
    <row r="15" spans="2:9" ht="15.75">
      <c r="B15" s="28" t="s">
        <v>190</v>
      </c>
      <c r="D15" s="24"/>
      <c r="E15" s="24"/>
      <c r="F15" s="24"/>
      <c r="G15" s="24"/>
      <c r="H15" s="24"/>
      <c r="I15" s="24"/>
    </row>
    <row r="16" spans="2:10" ht="45.75" customHeight="1">
      <c r="B16" s="44" t="s">
        <v>123</v>
      </c>
      <c r="C16" s="1179" t="s">
        <v>764</v>
      </c>
      <c r="D16" s="1180"/>
      <c r="E16" s="1180"/>
      <c r="F16" s="1180"/>
      <c r="G16" s="1180"/>
      <c r="H16" s="1180"/>
      <c r="I16" s="1180"/>
      <c r="J16" s="137"/>
    </row>
    <row r="17" spans="2:9" ht="12" customHeight="1">
      <c r="B17" s="44"/>
      <c r="C17" s="26"/>
      <c r="D17" s="27"/>
      <c r="E17" s="27"/>
      <c r="F17" s="27"/>
      <c r="G17" s="27"/>
      <c r="H17" s="27"/>
      <c r="I17" s="27"/>
    </row>
    <row r="18" spans="2:10" ht="49.5" customHeight="1">
      <c r="B18" s="44" t="s">
        <v>124</v>
      </c>
      <c r="C18" s="1181" t="s">
        <v>765</v>
      </c>
      <c r="D18" s="1181"/>
      <c r="E18" s="1181"/>
      <c r="F18" s="1181"/>
      <c r="G18" s="1181"/>
      <c r="H18" s="1181"/>
      <c r="I18" s="1181"/>
      <c r="J18" s="137"/>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2"/>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253"/>
  <sheetViews>
    <sheetView view="pageBreakPreview" zoomScale="60" zoomScaleNormal="100" workbookViewId="0" topLeftCell="A1">
      <selection pane="topLeft" activeCell="A1" sqref="A1:I1"/>
    </sheetView>
  </sheetViews>
  <sheetFormatPr defaultRowHeight="12.75"/>
  <cols>
    <col min="1" max="1" width="7.22222222222222" style="158" customWidth="1"/>
    <col min="2" max="2" width="2.33333333333333" style="158" customWidth="1"/>
    <col min="3" max="3" width="6.33333333333333" style="158" customWidth="1"/>
    <col min="4" max="4" width="33.4444444444444" style="158" customWidth="1"/>
    <col min="5" max="5" width="18" style="158" customWidth="1"/>
    <col min="6" max="6" width="27.6666666666667" style="158" customWidth="1"/>
    <col min="7" max="7" width="31.7777777777778" style="158" customWidth="1"/>
    <col min="8" max="8" width="3" style="158" customWidth="1"/>
    <col min="9" max="9" width="23.4444444444444" style="158" customWidth="1"/>
    <col min="10" max="10" width="13.5555555555556" style="158" bestFit="1" customWidth="1"/>
    <col min="11" max="11" width="17.8888888888889" style="158" bestFit="1" customWidth="1"/>
    <col min="12" max="256" width="8.88888888888889" style="158"/>
    <col min="257" max="257" width="7.22222222222222" style="158" customWidth="1"/>
    <col min="258" max="258" width="2.33333333333333" style="158" customWidth="1"/>
    <col min="259" max="259" width="6.33333333333333" style="158" customWidth="1"/>
    <col min="260" max="260" width="33.4444444444444" style="158" customWidth="1"/>
    <col min="261" max="261" width="18" style="158" customWidth="1"/>
    <col min="262" max="262" width="27.6666666666667" style="158" customWidth="1"/>
    <col min="263" max="263" width="28.8888888888889" style="158" bestFit="1" customWidth="1"/>
    <col min="264" max="264" width="3" style="158" customWidth="1"/>
    <col min="265" max="265" width="23.4444444444444" style="158" customWidth="1"/>
    <col min="266" max="266" width="8.88888888888889" style="158"/>
    <col min="267" max="267" width="17.8888888888889" style="158" bestFit="1" customWidth="1"/>
    <col min="268" max="512" width="8.88888888888889" style="158"/>
    <col min="513" max="513" width="7.22222222222222" style="158" customWidth="1"/>
    <col min="514" max="514" width="2.33333333333333" style="158" customWidth="1"/>
    <col min="515" max="515" width="6.33333333333333" style="158" customWidth="1"/>
    <col min="516" max="516" width="33.4444444444444" style="158" customWidth="1"/>
    <col min="517" max="517" width="18" style="158" customWidth="1"/>
    <col min="518" max="518" width="27.6666666666667" style="158" customWidth="1"/>
    <col min="519" max="519" width="28.8888888888889" style="158" bestFit="1" customWidth="1"/>
    <col min="520" max="520" width="3" style="158" customWidth="1"/>
    <col min="521" max="521" width="23.4444444444444" style="158" customWidth="1"/>
    <col min="522" max="522" width="8.88888888888889" style="158"/>
    <col min="523" max="523" width="17.8888888888889" style="158" bestFit="1" customWidth="1"/>
    <col min="524" max="768" width="8.88888888888889" style="158"/>
    <col min="769" max="769" width="7.22222222222222" style="158" customWidth="1"/>
    <col min="770" max="770" width="2.33333333333333" style="158" customWidth="1"/>
    <col min="771" max="771" width="6.33333333333333" style="158" customWidth="1"/>
    <col min="772" max="772" width="33.4444444444444" style="158" customWidth="1"/>
    <col min="773" max="773" width="18" style="158" customWidth="1"/>
    <col min="774" max="774" width="27.6666666666667" style="158" customWidth="1"/>
    <col min="775" max="775" width="28.8888888888889" style="158" bestFit="1" customWidth="1"/>
    <col min="776" max="776" width="3" style="158" customWidth="1"/>
    <col min="777" max="777" width="23.4444444444444" style="158" customWidth="1"/>
    <col min="778" max="778" width="8.88888888888889" style="158"/>
    <col min="779" max="779" width="17.8888888888889" style="158" bestFit="1" customWidth="1"/>
    <col min="780" max="1024" width="8.88888888888889" style="158"/>
    <col min="1025" max="1025" width="7.22222222222222" style="158" customWidth="1"/>
    <col min="1026" max="1026" width="2.33333333333333" style="158" customWidth="1"/>
    <col min="1027" max="1027" width="6.33333333333333" style="158" customWidth="1"/>
    <col min="1028" max="1028" width="33.4444444444444" style="158" customWidth="1"/>
    <col min="1029" max="1029" width="18" style="158" customWidth="1"/>
    <col min="1030" max="1030" width="27.6666666666667" style="158" customWidth="1"/>
    <col min="1031" max="1031" width="28.8888888888889" style="158" bestFit="1" customWidth="1"/>
    <col min="1032" max="1032" width="3" style="158" customWidth="1"/>
    <col min="1033" max="1033" width="23.4444444444444" style="158" customWidth="1"/>
    <col min="1034" max="1034" width="8.88888888888889" style="158"/>
    <col min="1035" max="1035" width="17.8888888888889" style="158" bestFit="1" customWidth="1"/>
    <col min="1036" max="1280" width="8.88888888888889" style="158"/>
    <col min="1281" max="1281" width="7.22222222222222" style="158" customWidth="1"/>
    <col min="1282" max="1282" width="2.33333333333333" style="158" customWidth="1"/>
    <col min="1283" max="1283" width="6.33333333333333" style="158" customWidth="1"/>
    <col min="1284" max="1284" width="33.4444444444444" style="158" customWidth="1"/>
    <col min="1285" max="1285" width="18" style="158" customWidth="1"/>
    <col min="1286" max="1286" width="27.6666666666667" style="158" customWidth="1"/>
    <col min="1287" max="1287" width="28.8888888888889" style="158" bestFit="1" customWidth="1"/>
    <col min="1288" max="1288" width="3" style="158" customWidth="1"/>
    <col min="1289" max="1289" width="23.4444444444444" style="158" customWidth="1"/>
    <col min="1290" max="1290" width="8.88888888888889" style="158"/>
    <col min="1291" max="1291" width="17.8888888888889" style="158" bestFit="1" customWidth="1"/>
    <col min="1292" max="1536" width="8.88888888888889" style="158"/>
    <col min="1537" max="1537" width="7.22222222222222" style="158" customWidth="1"/>
    <col min="1538" max="1538" width="2.33333333333333" style="158" customWidth="1"/>
    <col min="1539" max="1539" width="6.33333333333333" style="158" customWidth="1"/>
    <col min="1540" max="1540" width="33.4444444444444" style="158" customWidth="1"/>
    <col min="1541" max="1541" width="18" style="158" customWidth="1"/>
    <col min="1542" max="1542" width="27.6666666666667" style="158" customWidth="1"/>
    <col min="1543" max="1543" width="28.8888888888889" style="158" bestFit="1" customWidth="1"/>
    <col min="1544" max="1544" width="3" style="158" customWidth="1"/>
    <col min="1545" max="1545" width="23.4444444444444" style="158" customWidth="1"/>
    <col min="1546" max="1546" width="8.88888888888889" style="158"/>
    <col min="1547" max="1547" width="17.8888888888889" style="158" bestFit="1" customWidth="1"/>
    <col min="1548" max="1792" width="8.88888888888889" style="158"/>
    <col min="1793" max="1793" width="7.22222222222222" style="158" customWidth="1"/>
    <col min="1794" max="1794" width="2.33333333333333" style="158" customWidth="1"/>
    <col min="1795" max="1795" width="6.33333333333333" style="158" customWidth="1"/>
    <col min="1796" max="1796" width="33.4444444444444" style="158" customWidth="1"/>
    <col min="1797" max="1797" width="18" style="158" customWidth="1"/>
    <col min="1798" max="1798" width="27.6666666666667" style="158" customWidth="1"/>
    <col min="1799" max="1799" width="28.8888888888889" style="158" bestFit="1" customWidth="1"/>
    <col min="1800" max="1800" width="3" style="158" customWidth="1"/>
    <col min="1801" max="1801" width="23.4444444444444" style="158" customWidth="1"/>
    <col min="1802" max="1802" width="8.88888888888889" style="158"/>
    <col min="1803" max="1803" width="17.8888888888889" style="158" bestFit="1" customWidth="1"/>
    <col min="1804" max="2048" width="8.88888888888889" style="158"/>
    <col min="2049" max="2049" width="7.22222222222222" style="158" customWidth="1"/>
    <col min="2050" max="2050" width="2.33333333333333" style="158" customWidth="1"/>
    <col min="2051" max="2051" width="6.33333333333333" style="158" customWidth="1"/>
    <col min="2052" max="2052" width="33.4444444444444" style="158" customWidth="1"/>
    <col min="2053" max="2053" width="18" style="158" customWidth="1"/>
    <col min="2054" max="2054" width="27.6666666666667" style="158" customWidth="1"/>
    <col min="2055" max="2055" width="28.8888888888889" style="158" bestFit="1" customWidth="1"/>
    <col min="2056" max="2056" width="3" style="158" customWidth="1"/>
    <col min="2057" max="2057" width="23.4444444444444" style="158" customWidth="1"/>
    <col min="2058" max="2058" width="8.88888888888889" style="158"/>
    <col min="2059" max="2059" width="17.8888888888889" style="158" bestFit="1" customWidth="1"/>
    <col min="2060" max="2304" width="8.88888888888889" style="158"/>
    <col min="2305" max="2305" width="7.22222222222222" style="158" customWidth="1"/>
    <col min="2306" max="2306" width="2.33333333333333" style="158" customWidth="1"/>
    <col min="2307" max="2307" width="6.33333333333333" style="158" customWidth="1"/>
    <col min="2308" max="2308" width="33.4444444444444" style="158" customWidth="1"/>
    <col min="2309" max="2309" width="18" style="158" customWidth="1"/>
    <col min="2310" max="2310" width="27.6666666666667" style="158" customWidth="1"/>
    <col min="2311" max="2311" width="28.8888888888889" style="158" bestFit="1" customWidth="1"/>
    <col min="2312" max="2312" width="3" style="158" customWidth="1"/>
    <col min="2313" max="2313" width="23.4444444444444" style="158" customWidth="1"/>
    <col min="2314" max="2314" width="8.88888888888889" style="158"/>
    <col min="2315" max="2315" width="17.8888888888889" style="158" bestFit="1" customWidth="1"/>
    <col min="2316" max="2560" width="8.88888888888889" style="158"/>
    <col min="2561" max="2561" width="7.22222222222222" style="158" customWidth="1"/>
    <col min="2562" max="2562" width="2.33333333333333" style="158" customWidth="1"/>
    <col min="2563" max="2563" width="6.33333333333333" style="158" customWidth="1"/>
    <col min="2564" max="2564" width="33.4444444444444" style="158" customWidth="1"/>
    <col min="2565" max="2565" width="18" style="158" customWidth="1"/>
    <col min="2566" max="2566" width="27.6666666666667" style="158" customWidth="1"/>
    <col min="2567" max="2567" width="28.8888888888889" style="158" bestFit="1" customWidth="1"/>
    <col min="2568" max="2568" width="3" style="158" customWidth="1"/>
    <col min="2569" max="2569" width="23.4444444444444" style="158" customWidth="1"/>
    <col min="2570" max="2570" width="8.88888888888889" style="158"/>
    <col min="2571" max="2571" width="17.8888888888889" style="158" bestFit="1" customWidth="1"/>
    <col min="2572" max="2816" width="8.88888888888889" style="158"/>
    <col min="2817" max="2817" width="7.22222222222222" style="158" customWidth="1"/>
    <col min="2818" max="2818" width="2.33333333333333" style="158" customWidth="1"/>
    <col min="2819" max="2819" width="6.33333333333333" style="158" customWidth="1"/>
    <col min="2820" max="2820" width="33.4444444444444" style="158" customWidth="1"/>
    <col min="2821" max="2821" width="18" style="158" customWidth="1"/>
    <col min="2822" max="2822" width="27.6666666666667" style="158" customWidth="1"/>
    <col min="2823" max="2823" width="28.8888888888889" style="158" bestFit="1" customWidth="1"/>
    <col min="2824" max="2824" width="3" style="158" customWidth="1"/>
    <col min="2825" max="2825" width="23.4444444444444" style="158" customWidth="1"/>
    <col min="2826" max="2826" width="8.88888888888889" style="158"/>
    <col min="2827" max="2827" width="17.8888888888889" style="158" bestFit="1" customWidth="1"/>
    <col min="2828" max="3072" width="8.88888888888889" style="158"/>
    <col min="3073" max="3073" width="7.22222222222222" style="158" customWidth="1"/>
    <col min="3074" max="3074" width="2.33333333333333" style="158" customWidth="1"/>
    <col min="3075" max="3075" width="6.33333333333333" style="158" customWidth="1"/>
    <col min="3076" max="3076" width="33.4444444444444" style="158" customWidth="1"/>
    <col min="3077" max="3077" width="18" style="158" customWidth="1"/>
    <col min="3078" max="3078" width="27.6666666666667" style="158" customWidth="1"/>
    <col min="3079" max="3079" width="28.8888888888889" style="158" bestFit="1" customWidth="1"/>
    <col min="3080" max="3080" width="3" style="158" customWidth="1"/>
    <col min="3081" max="3081" width="23.4444444444444" style="158" customWidth="1"/>
    <col min="3082" max="3082" width="8.88888888888889" style="158"/>
    <col min="3083" max="3083" width="17.8888888888889" style="158" bestFit="1" customWidth="1"/>
    <col min="3084" max="3328" width="8.88888888888889" style="158"/>
    <col min="3329" max="3329" width="7.22222222222222" style="158" customWidth="1"/>
    <col min="3330" max="3330" width="2.33333333333333" style="158" customWidth="1"/>
    <col min="3331" max="3331" width="6.33333333333333" style="158" customWidth="1"/>
    <col min="3332" max="3332" width="33.4444444444444" style="158" customWidth="1"/>
    <col min="3333" max="3333" width="18" style="158" customWidth="1"/>
    <col min="3334" max="3334" width="27.6666666666667" style="158" customWidth="1"/>
    <col min="3335" max="3335" width="28.8888888888889" style="158" bestFit="1" customWidth="1"/>
    <col min="3336" max="3336" width="3" style="158" customWidth="1"/>
    <col min="3337" max="3337" width="23.4444444444444" style="158" customWidth="1"/>
    <col min="3338" max="3338" width="8.88888888888889" style="158"/>
    <col min="3339" max="3339" width="17.8888888888889" style="158" bestFit="1" customWidth="1"/>
    <col min="3340" max="3584" width="8.88888888888889" style="158"/>
    <col min="3585" max="3585" width="7.22222222222222" style="158" customWidth="1"/>
    <col min="3586" max="3586" width="2.33333333333333" style="158" customWidth="1"/>
    <col min="3587" max="3587" width="6.33333333333333" style="158" customWidth="1"/>
    <col min="3588" max="3588" width="33.4444444444444" style="158" customWidth="1"/>
    <col min="3589" max="3589" width="18" style="158" customWidth="1"/>
    <col min="3590" max="3590" width="27.6666666666667" style="158" customWidth="1"/>
    <col min="3591" max="3591" width="28.8888888888889" style="158" bestFit="1" customWidth="1"/>
    <col min="3592" max="3592" width="3" style="158" customWidth="1"/>
    <col min="3593" max="3593" width="23.4444444444444" style="158" customWidth="1"/>
    <col min="3594" max="3594" width="8.88888888888889" style="158"/>
    <col min="3595" max="3595" width="17.8888888888889" style="158" bestFit="1" customWidth="1"/>
    <col min="3596" max="3840" width="8.88888888888889" style="158"/>
    <col min="3841" max="3841" width="7.22222222222222" style="158" customWidth="1"/>
    <col min="3842" max="3842" width="2.33333333333333" style="158" customWidth="1"/>
    <col min="3843" max="3843" width="6.33333333333333" style="158" customWidth="1"/>
    <col min="3844" max="3844" width="33.4444444444444" style="158" customWidth="1"/>
    <col min="3845" max="3845" width="18" style="158" customWidth="1"/>
    <col min="3846" max="3846" width="27.6666666666667" style="158" customWidth="1"/>
    <col min="3847" max="3847" width="28.8888888888889" style="158" bestFit="1" customWidth="1"/>
    <col min="3848" max="3848" width="3" style="158" customWidth="1"/>
    <col min="3849" max="3849" width="23.4444444444444" style="158" customWidth="1"/>
    <col min="3850" max="3850" width="8.88888888888889" style="158"/>
    <col min="3851" max="3851" width="17.8888888888889" style="158" bestFit="1" customWidth="1"/>
    <col min="3852" max="4096" width="8.88888888888889" style="158"/>
    <col min="4097" max="4097" width="7.22222222222222" style="158" customWidth="1"/>
    <col min="4098" max="4098" width="2.33333333333333" style="158" customWidth="1"/>
    <col min="4099" max="4099" width="6.33333333333333" style="158" customWidth="1"/>
    <col min="4100" max="4100" width="33.4444444444444" style="158" customWidth="1"/>
    <col min="4101" max="4101" width="18" style="158" customWidth="1"/>
    <col min="4102" max="4102" width="27.6666666666667" style="158" customWidth="1"/>
    <col min="4103" max="4103" width="28.8888888888889" style="158" bestFit="1" customWidth="1"/>
    <col min="4104" max="4104" width="3" style="158" customWidth="1"/>
    <col min="4105" max="4105" width="23.4444444444444" style="158" customWidth="1"/>
    <col min="4106" max="4106" width="8.88888888888889" style="158"/>
    <col min="4107" max="4107" width="17.8888888888889" style="158" bestFit="1" customWidth="1"/>
    <col min="4108" max="4352" width="8.88888888888889" style="158"/>
    <col min="4353" max="4353" width="7.22222222222222" style="158" customWidth="1"/>
    <col min="4354" max="4354" width="2.33333333333333" style="158" customWidth="1"/>
    <col min="4355" max="4355" width="6.33333333333333" style="158" customWidth="1"/>
    <col min="4356" max="4356" width="33.4444444444444" style="158" customWidth="1"/>
    <col min="4357" max="4357" width="18" style="158" customWidth="1"/>
    <col min="4358" max="4358" width="27.6666666666667" style="158" customWidth="1"/>
    <col min="4359" max="4359" width="28.8888888888889" style="158" bestFit="1" customWidth="1"/>
    <col min="4360" max="4360" width="3" style="158" customWidth="1"/>
    <col min="4361" max="4361" width="23.4444444444444" style="158" customWidth="1"/>
    <col min="4362" max="4362" width="8.88888888888889" style="158"/>
    <col min="4363" max="4363" width="17.8888888888889" style="158" bestFit="1" customWidth="1"/>
    <col min="4364" max="4608" width="8.88888888888889" style="158"/>
    <col min="4609" max="4609" width="7.22222222222222" style="158" customWidth="1"/>
    <col min="4610" max="4610" width="2.33333333333333" style="158" customWidth="1"/>
    <col min="4611" max="4611" width="6.33333333333333" style="158" customWidth="1"/>
    <col min="4612" max="4612" width="33.4444444444444" style="158" customWidth="1"/>
    <col min="4613" max="4613" width="18" style="158" customWidth="1"/>
    <col min="4614" max="4614" width="27.6666666666667" style="158" customWidth="1"/>
    <col min="4615" max="4615" width="28.8888888888889" style="158" bestFit="1" customWidth="1"/>
    <col min="4616" max="4616" width="3" style="158" customWidth="1"/>
    <col min="4617" max="4617" width="23.4444444444444" style="158" customWidth="1"/>
    <col min="4618" max="4618" width="8.88888888888889" style="158"/>
    <col min="4619" max="4619" width="17.8888888888889" style="158" bestFit="1" customWidth="1"/>
    <col min="4620" max="4864" width="8.88888888888889" style="158"/>
    <col min="4865" max="4865" width="7.22222222222222" style="158" customWidth="1"/>
    <col min="4866" max="4866" width="2.33333333333333" style="158" customWidth="1"/>
    <col min="4867" max="4867" width="6.33333333333333" style="158" customWidth="1"/>
    <col min="4868" max="4868" width="33.4444444444444" style="158" customWidth="1"/>
    <col min="4869" max="4869" width="18" style="158" customWidth="1"/>
    <col min="4870" max="4870" width="27.6666666666667" style="158" customWidth="1"/>
    <col min="4871" max="4871" width="28.8888888888889" style="158" bestFit="1" customWidth="1"/>
    <col min="4872" max="4872" width="3" style="158" customWidth="1"/>
    <col min="4873" max="4873" width="23.4444444444444" style="158" customWidth="1"/>
    <col min="4874" max="4874" width="8.88888888888889" style="158"/>
    <col min="4875" max="4875" width="17.8888888888889" style="158" bestFit="1" customWidth="1"/>
    <col min="4876" max="5120" width="8.88888888888889" style="158"/>
    <col min="5121" max="5121" width="7.22222222222222" style="158" customWidth="1"/>
    <col min="5122" max="5122" width="2.33333333333333" style="158" customWidth="1"/>
    <col min="5123" max="5123" width="6.33333333333333" style="158" customWidth="1"/>
    <col min="5124" max="5124" width="33.4444444444444" style="158" customWidth="1"/>
    <col min="5125" max="5125" width="18" style="158" customWidth="1"/>
    <col min="5126" max="5126" width="27.6666666666667" style="158" customWidth="1"/>
    <col min="5127" max="5127" width="28.8888888888889" style="158" bestFit="1" customWidth="1"/>
    <col min="5128" max="5128" width="3" style="158" customWidth="1"/>
    <col min="5129" max="5129" width="23.4444444444444" style="158" customWidth="1"/>
    <col min="5130" max="5130" width="8.88888888888889" style="158"/>
    <col min="5131" max="5131" width="17.8888888888889" style="158" bestFit="1" customWidth="1"/>
    <col min="5132" max="5376" width="8.88888888888889" style="158"/>
    <col min="5377" max="5377" width="7.22222222222222" style="158" customWidth="1"/>
    <col min="5378" max="5378" width="2.33333333333333" style="158" customWidth="1"/>
    <col min="5379" max="5379" width="6.33333333333333" style="158" customWidth="1"/>
    <col min="5380" max="5380" width="33.4444444444444" style="158" customWidth="1"/>
    <col min="5381" max="5381" width="18" style="158" customWidth="1"/>
    <col min="5382" max="5382" width="27.6666666666667" style="158" customWidth="1"/>
    <col min="5383" max="5383" width="28.8888888888889" style="158" bestFit="1" customWidth="1"/>
    <col min="5384" max="5384" width="3" style="158" customWidth="1"/>
    <col min="5385" max="5385" width="23.4444444444444" style="158" customWidth="1"/>
    <col min="5386" max="5386" width="8.88888888888889" style="158"/>
    <col min="5387" max="5387" width="17.8888888888889" style="158" bestFit="1" customWidth="1"/>
    <col min="5388" max="5632" width="8.88888888888889" style="158"/>
    <col min="5633" max="5633" width="7.22222222222222" style="158" customWidth="1"/>
    <col min="5634" max="5634" width="2.33333333333333" style="158" customWidth="1"/>
    <col min="5635" max="5635" width="6.33333333333333" style="158" customWidth="1"/>
    <col min="5636" max="5636" width="33.4444444444444" style="158" customWidth="1"/>
    <col min="5637" max="5637" width="18" style="158" customWidth="1"/>
    <col min="5638" max="5638" width="27.6666666666667" style="158" customWidth="1"/>
    <col min="5639" max="5639" width="28.8888888888889" style="158" bestFit="1" customWidth="1"/>
    <col min="5640" max="5640" width="3" style="158" customWidth="1"/>
    <col min="5641" max="5641" width="23.4444444444444" style="158" customWidth="1"/>
    <col min="5642" max="5642" width="8.88888888888889" style="158"/>
    <col min="5643" max="5643" width="17.8888888888889" style="158" bestFit="1" customWidth="1"/>
    <col min="5644" max="5888" width="8.88888888888889" style="158"/>
    <col min="5889" max="5889" width="7.22222222222222" style="158" customWidth="1"/>
    <col min="5890" max="5890" width="2.33333333333333" style="158" customWidth="1"/>
    <col min="5891" max="5891" width="6.33333333333333" style="158" customWidth="1"/>
    <col min="5892" max="5892" width="33.4444444444444" style="158" customWidth="1"/>
    <col min="5893" max="5893" width="18" style="158" customWidth="1"/>
    <col min="5894" max="5894" width="27.6666666666667" style="158" customWidth="1"/>
    <col min="5895" max="5895" width="28.8888888888889" style="158" bestFit="1" customWidth="1"/>
    <col min="5896" max="5896" width="3" style="158" customWidth="1"/>
    <col min="5897" max="5897" width="23.4444444444444" style="158" customWidth="1"/>
    <col min="5898" max="5898" width="8.88888888888889" style="158"/>
    <col min="5899" max="5899" width="17.8888888888889" style="158" bestFit="1" customWidth="1"/>
    <col min="5900" max="6144" width="8.88888888888889" style="158"/>
    <col min="6145" max="6145" width="7.22222222222222" style="158" customWidth="1"/>
    <col min="6146" max="6146" width="2.33333333333333" style="158" customWidth="1"/>
    <col min="6147" max="6147" width="6.33333333333333" style="158" customWidth="1"/>
    <col min="6148" max="6148" width="33.4444444444444" style="158" customWidth="1"/>
    <col min="6149" max="6149" width="18" style="158" customWidth="1"/>
    <col min="6150" max="6150" width="27.6666666666667" style="158" customWidth="1"/>
    <col min="6151" max="6151" width="28.8888888888889" style="158" bestFit="1" customWidth="1"/>
    <col min="6152" max="6152" width="3" style="158" customWidth="1"/>
    <col min="6153" max="6153" width="23.4444444444444" style="158" customWidth="1"/>
    <col min="6154" max="6154" width="8.88888888888889" style="158"/>
    <col min="6155" max="6155" width="17.8888888888889" style="158" bestFit="1" customWidth="1"/>
    <col min="6156" max="6400" width="8.88888888888889" style="158"/>
    <col min="6401" max="6401" width="7.22222222222222" style="158" customWidth="1"/>
    <col min="6402" max="6402" width="2.33333333333333" style="158" customWidth="1"/>
    <col min="6403" max="6403" width="6.33333333333333" style="158" customWidth="1"/>
    <col min="6404" max="6404" width="33.4444444444444" style="158" customWidth="1"/>
    <col min="6405" max="6405" width="18" style="158" customWidth="1"/>
    <col min="6406" max="6406" width="27.6666666666667" style="158" customWidth="1"/>
    <col min="6407" max="6407" width="28.8888888888889" style="158" bestFit="1" customWidth="1"/>
    <col min="6408" max="6408" width="3" style="158" customWidth="1"/>
    <col min="6409" max="6409" width="23.4444444444444" style="158" customWidth="1"/>
    <col min="6410" max="6410" width="8.88888888888889" style="158"/>
    <col min="6411" max="6411" width="17.8888888888889" style="158" bestFit="1" customWidth="1"/>
    <col min="6412" max="6656" width="8.88888888888889" style="158"/>
    <col min="6657" max="6657" width="7.22222222222222" style="158" customWidth="1"/>
    <col min="6658" max="6658" width="2.33333333333333" style="158" customWidth="1"/>
    <col min="6659" max="6659" width="6.33333333333333" style="158" customWidth="1"/>
    <col min="6660" max="6660" width="33.4444444444444" style="158" customWidth="1"/>
    <col min="6661" max="6661" width="18" style="158" customWidth="1"/>
    <col min="6662" max="6662" width="27.6666666666667" style="158" customWidth="1"/>
    <col min="6663" max="6663" width="28.8888888888889" style="158" bestFit="1" customWidth="1"/>
    <col min="6664" max="6664" width="3" style="158" customWidth="1"/>
    <col min="6665" max="6665" width="23.4444444444444" style="158" customWidth="1"/>
    <col min="6666" max="6666" width="8.88888888888889" style="158"/>
    <col min="6667" max="6667" width="17.8888888888889" style="158" bestFit="1" customWidth="1"/>
    <col min="6668" max="6912" width="8.88888888888889" style="158"/>
    <col min="6913" max="6913" width="7.22222222222222" style="158" customWidth="1"/>
    <col min="6914" max="6914" width="2.33333333333333" style="158" customWidth="1"/>
    <col min="6915" max="6915" width="6.33333333333333" style="158" customWidth="1"/>
    <col min="6916" max="6916" width="33.4444444444444" style="158" customWidth="1"/>
    <col min="6917" max="6917" width="18" style="158" customWidth="1"/>
    <col min="6918" max="6918" width="27.6666666666667" style="158" customWidth="1"/>
    <col min="6919" max="6919" width="28.8888888888889" style="158" bestFit="1" customWidth="1"/>
    <col min="6920" max="6920" width="3" style="158" customWidth="1"/>
    <col min="6921" max="6921" width="23.4444444444444" style="158" customWidth="1"/>
    <col min="6922" max="6922" width="8.88888888888889" style="158"/>
    <col min="6923" max="6923" width="17.8888888888889" style="158" bestFit="1" customWidth="1"/>
    <col min="6924" max="7168" width="8.88888888888889" style="158"/>
    <col min="7169" max="7169" width="7.22222222222222" style="158" customWidth="1"/>
    <col min="7170" max="7170" width="2.33333333333333" style="158" customWidth="1"/>
    <col min="7171" max="7171" width="6.33333333333333" style="158" customWidth="1"/>
    <col min="7172" max="7172" width="33.4444444444444" style="158" customWidth="1"/>
    <col min="7173" max="7173" width="18" style="158" customWidth="1"/>
    <col min="7174" max="7174" width="27.6666666666667" style="158" customWidth="1"/>
    <col min="7175" max="7175" width="28.8888888888889" style="158" bestFit="1" customWidth="1"/>
    <col min="7176" max="7176" width="3" style="158" customWidth="1"/>
    <col min="7177" max="7177" width="23.4444444444444" style="158" customWidth="1"/>
    <col min="7178" max="7178" width="8.88888888888889" style="158"/>
    <col min="7179" max="7179" width="17.8888888888889" style="158" bestFit="1" customWidth="1"/>
    <col min="7180" max="7424" width="8.88888888888889" style="158"/>
    <col min="7425" max="7425" width="7.22222222222222" style="158" customWidth="1"/>
    <col min="7426" max="7426" width="2.33333333333333" style="158" customWidth="1"/>
    <col min="7427" max="7427" width="6.33333333333333" style="158" customWidth="1"/>
    <col min="7428" max="7428" width="33.4444444444444" style="158" customWidth="1"/>
    <col min="7429" max="7429" width="18" style="158" customWidth="1"/>
    <col min="7430" max="7430" width="27.6666666666667" style="158" customWidth="1"/>
    <col min="7431" max="7431" width="28.8888888888889" style="158" bestFit="1" customWidth="1"/>
    <col min="7432" max="7432" width="3" style="158" customWidth="1"/>
    <col min="7433" max="7433" width="23.4444444444444" style="158" customWidth="1"/>
    <col min="7434" max="7434" width="8.88888888888889" style="158"/>
    <col min="7435" max="7435" width="17.8888888888889" style="158" bestFit="1" customWidth="1"/>
    <col min="7436" max="7680" width="8.88888888888889" style="158"/>
    <col min="7681" max="7681" width="7.22222222222222" style="158" customWidth="1"/>
    <col min="7682" max="7682" width="2.33333333333333" style="158" customWidth="1"/>
    <col min="7683" max="7683" width="6.33333333333333" style="158" customWidth="1"/>
    <col min="7684" max="7684" width="33.4444444444444" style="158" customWidth="1"/>
    <col min="7685" max="7685" width="18" style="158" customWidth="1"/>
    <col min="7686" max="7686" width="27.6666666666667" style="158" customWidth="1"/>
    <col min="7687" max="7687" width="28.8888888888889" style="158" bestFit="1" customWidth="1"/>
    <col min="7688" max="7688" width="3" style="158" customWidth="1"/>
    <col min="7689" max="7689" width="23.4444444444444" style="158" customWidth="1"/>
    <col min="7690" max="7690" width="8.88888888888889" style="158"/>
    <col min="7691" max="7691" width="17.8888888888889" style="158" bestFit="1" customWidth="1"/>
    <col min="7692" max="7936" width="8.88888888888889" style="158"/>
    <col min="7937" max="7937" width="7.22222222222222" style="158" customWidth="1"/>
    <col min="7938" max="7938" width="2.33333333333333" style="158" customWidth="1"/>
    <col min="7939" max="7939" width="6.33333333333333" style="158" customWidth="1"/>
    <col min="7940" max="7940" width="33.4444444444444" style="158" customWidth="1"/>
    <col min="7941" max="7941" width="18" style="158" customWidth="1"/>
    <col min="7942" max="7942" width="27.6666666666667" style="158" customWidth="1"/>
    <col min="7943" max="7943" width="28.8888888888889" style="158" bestFit="1" customWidth="1"/>
    <col min="7944" max="7944" width="3" style="158" customWidth="1"/>
    <col min="7945" max="7945" width="23.4444444444444" style="158" customWidth="1"/>
    <col min="7946" max="7946" width="8.88888888888889" style="158"/>
    <col min="7947" max="7947" width="17.8888888888889" style="158" bestFit="1" customWidth="1"/>
    <col min="7948" max="8192" width="8.88888888888889" style="158"/>
    <col min="8193" max="8193" width="7.22222222222222" style="158" customWidth="1"/>
    <col min="8194" max="8194" width="2.33333333333333" style="158" customWidth="1"/>
    <col min="8195" max="8195" width="6.33333333333333" style="158" customWidth="1"/>
    <col min="8196" max="8196" width="33.4444444444444" style="158" customWidth="1"/>
    <col min="8197" max="8197" width="18" style="158" customWidth="1"/>
    <col min="8198" max="8198" width="27.6666666666667" style="158" customWidth="1"/>
    <col min="8199" max="8199" width="28.8888888888889" style="158" bestFit="1" customWidth="1"/>
    <col min="8200" max="8200" width="3" style="158" customWidth="1"/>
    <col min="8201" max="8201" width="23.4444444444444" style="158" customWidth="1"/>
    <col min="8202" max="8202" width="8.88888888888889" style="158"/>
    <col min="8203" max="8203" width="17.8888888888889" style="158" bestFit="1" customWidth="1"/>
    <col min="8204" max="8448" width="8.88888888888889" style="158"/>
    <col min="8449" max="8449" width="7.22222222222222" style="158" customWidth="1"/>
    <col min="8450" max="8450" width="2.33333333333333" style="158" customWidth="1"/>
    <col min="8451" max="8451" width="6.33333333333333" style="158" customWidth="1"/>
    <col min="8452" max="8452" width="33.4444444444444" style="158" customWidth="1"/>
    <col min="8453" max="8453" width="18" style="158" customWidth="1"/>
    <col min="8454" max="8454" width="27.6666666666667" style="158" customWidth="1"/>
    <col min="8455" max="8455" width="28.8888888888889" style="158" bestFit="1" customWidth="1"/>
    <col min="8456" max="8456" width="3" style="158" customWidth="1"/>
    <col min="8457" max="8457" width="23.4444444444444" style="158" customWidth="1"/>
    <col min="8458" max="8458" width="8.88888888888889" style="158"/>
    <col min="8459" max="8459" width="17.8888888888889" style="158" bestFit="1" customWidth="1"/>
    <col min="8460" max="8704" width="8.88888888888889" style="158"/>
    <col min="8705" max="8705" width="7.22222222222222" style="158" customWidth="1"/>
    <col min="8706" max="8706" width="2.33333333333333" style="158" customWidth="1"/>
    <col min="8707" max="8707" width="6.33333333333333" style="158" customWidth="1"/>
    <col min="8708" max="8708" width="33.4444444444444" style="158" customWidth="1"/>
    <col min="8709" max="8709" width="18" style="158" customWidth="1"/>
    <col min="8710" max="8710" width="27.6666666666667" style="158" customWidth="1"/>
    <col min="8711" max="8711" width="28.8888888888889" style="158" bestFit="1" customWidth="1"/>
    <col min="8712" max="8712" width="3" style="158" customWidth="1"/>
    <col min="8713" max="8713" width="23.4444444444444" style="158" customWidth="1"/>
    <col min="8714" max="8714" width="8.88888888888889" style="158"/>
    <col min="8715" max="8715" width="17.8888888888889" style="158" bestFit="1" customWidth="1"/>
    <col min="8716" max="8960" width="8.88888888888889" style="158"/>
    <col min="8961" max="8961" width="7.22222222222222" style="158" customWidth="1"/>
    <col min="8962" max="8962" width="2.33333333333333" style="158" customWidth="1"/>
    <col min="8963" max="8963" width="6.33333333333333" style="158" customWidth="1"/>
    <col min="8964" max="8964" width="33.4444444444444" style="158" customWidth="1"/>
    <col min="8965" max="8965" width="18" style="158" customWidth="1"/>
    <col min="8966" max="8966" width="27.6666666666667" style="158" customWidth="1"/>
    <col min="8967" max="8967" width="28.8888888888889" style="158" bestFit="1" customWidth="1"/>
    <col min="8968" max="8968" width="3" style="158" customWidth="1"/>
    <col min="8969" max="8969" width="23.4444444444444" style="158" customWidth="1"/>
    <col min="8970" max="8970" width="8.88888888888889" style="158"/>
    <col min="8971" max="8971" width="17.8888888888889" style="158" bestFit="1" customWidth="1"/>
    <col min="8972" max="9216" width="8.88888888888889" style="158"/>
    <col min="9217" max="9217" width="7.22222222222222" style="158" customWidth="1"/>
    <col min="9218" max="9218" width="2.33333333333333" style="158" customWidth="1"/>
    <col min="9219" max="9219" width="6.33333333333333" style="158" customWidth="1"/>
    <col min="9220" max="9220" width="33.4444444444444" style="158" customWidth="1"/>
    <col min="9221" max="9221" width="18" style="158" customWidth="1"/>
    <col min="9222" max="9222" width="27.6666666666667" style="158" customWidth="1"/>
    <col min="9223" max="9223" width="28.8888888888889" style="158" bestFit="1" customWidth="1"/>
    <col min="9224" max="9224" width="3" style="158" customWidth="1"/>
    <col min="9225" max="9225" width="23.4444444444444" style="158" customWidth="1"/>
    <col min="9226" max="9226" width="8.88888888888889" style="158"/>
    <col min="9227" max="9227" width="17.8888888888889" style="158" bestFit="1" customWidth="1"/>
    <col min="9228" max="9472" width="8.88888888888889" style="158"/>
    <col min="9473" max="9473" width="7.22222222222222" style="158" customWidth="1"/>
    <col min="9474" max="9474" width="2.33333333333333" style="158" customWidth="1"/>
    <col min="9475" max="9475" width="6.33333333333333" style="158" customWidth="1"/>
    <col min="9476" max="9476" width="33.4444444444444" style="158" customWidth="1"/>
    <col min="9477" max="9477" width="18" style="158" customWidth="1"/>
    <col min="9478" max="9478" width="27.6666666666667" style="158" customWidth="1"/>
    <col min="9479" max="9479" width="28.8888888888889" style="158" bestFit="1" customWidth="1"/>
    <col min="9480" max="9480" width="3" style="158" customWidth="1"/>
    <col min="9481" max="9481" width="23.4444444444444" style="158" customWidth="1"/>
    <col min="9482" max="9482" width="8.88888888888889" style="158"/>
    <col min="9483" max="9483" width="17.8888888888889" style="158" bestFit="1" customWidth="1"/>
    <col min="9484" max="9728" width="8.88888888888889" style="158"/>
    <col min="9729" max="9729" width="7.22222222222222" style="158" customWidth="1"/>
    <col min="9730" max="9730" width="2.33333333333333" style="158" customWidth="1"/>
    <col min="9731" max="9731" width="6.33333333333333" style="158" customWidth="1"/>
    <col min="9732" max="9732" width="33.4444444444444" style="158" customWidth="1"/>
    <col min="9733" max="9733" width="18" style="158" customWidth="1"/>
    <col min="9734" max="9734" width="27.6666666666667" style="158" customWidth="1"/>
    <col min="9735" max="9735" width="28.8888888888889" style="158" bestFit="1" customWidth="1"/>
    <col min="9736" max="9736" width="3" style="158" customWidth="1"/>
    <col min="9737" max="9737" width="23.4444444444444" style="158" customWidth="1"/>
    <col min="9738" max="9738" width="8.88888888888889" style="158"/>
    <col min="9739" max="9739" width="17.8888888888889" style="158" bestFit="1" customWidth="1"/>
    <col min="9740" max="9984" width="8.88888888888889" style="158"/>
    <col min="9985" max="9985" width="7.22222222222222" style="158" customWidth="1"/>
    <col min="9986" max="9986" width="2.33333333333333" style="158" customWidth="1"/>
    <col min="9987" max="9987" width="6.33333333333333" style="158" customWidth="1"/>
    <col min="9988" max="9988" width="33.4444444444444" style="158" customWidth="1"/>
    <col min="9989" max="9989" width="18" style="158" customWidth="1"/>
    <col min="9990" max="9990" width="27.6666666666667" style="158" customWidth="1"/>
    <col min="9991" max="9991" width="28.8888888888889" style="158" bestFit="1" customWidth="1"/>
    <col min="9992" max="9992" width="3" style="158" customWidth="1"/>
    <col min="9993" max="9993" width="23.4444444444444" style="158" customWidth="1"/>
    <col min="9994" max="9994" width="8.88888888888889" style="158"/>
    <col min="9995" max="9995" width="17.8888888888889" style="158" bestFit="1" customWidth="1"/>
    <col min="9996" max="10240" width="8.88888888888889" style="158"/>
    <col min="10241" max="10241" width="7.22222222222222" style="158" customWidth="1"/>
    <col min="10242" max="10242" width="2.33333333333333" style="158" customWidth="1"/>
    <col min="10243" max="10243" width="6.33333333333333" style="158" customWidth="1"/>
    <col min="10244" max="10244" width="33.4444444444444" style="158" customWidth="1"/>
    <col min="10245" max="10245" width="18" style="158" customWidth="1"/>
    <col min="10246" max="10246" width="27.6666666666667" style="158" customWidth="1"/>
    <col min="10247" max="10247" width="28.8888888888889" style="158" bestFit="1" customWidth="1"/>
    <col min="10248" max="10248" width="3" style="158" customWidth="1"/>
    <col min="10249" max="10249" width="23.4444444444444" style="158" customWidth="1"/>
    <col min="10250" max="10250" width="8.88888888888889" style="158"/>
    <col min="10251" max="10251" width="17.8888888888889" style="158" bestFit="1" customWidth="1"/>
    <col min="10252" max="10496" width="8.88888888888889" style="158"/>
    <col min="10497" max="10497" width="7.22222222222222" style="158" customWidth="1"/>
    <col min="10498" max="10498" width="2.33333333333333" style="158" customWidth="1"/>
    <col min="10499" max="10499" width="6.33333333333333" style="158" customWidth="1"/>
    <col min="10500" max="10500" width="33.4444444444444" style="158" customWidth="1"/>
    <col min="10501" max="10501" width="18" style="158" customWidth="1"/>
    <col min="10502" max="10502" width="27.6666666666667" style="158" customWidth="1"/>
    <col min="10503" max="10503" width="28.8888888888889" style="158" bestFit="1" customWidth="1"/>
    <col min="10504" max="10504" width="3" style="158" customWidth="1"/>
    <col min="10505" max="10505" width="23.4444444444444" style="158" customWidth="1"/>
    <col min="10506" max="10506" width="8.88888888888889" style="158"/>
    <col min="10507" max="10507" width="17.8888888888889" style="158" bestFit="1" customWidth="1"/>
    <col min="10508" max="10752" width="8.88888888888889" style="158"/>
    <col min="10753" max="10753" width="7.22222222222222" style="158" customWidth="1"/>
    <col min="10754" max="10754" width="2.33333333333333" style="158" customWidth="1"/>
    <col min="10755" max="10755" width="6.33333333333333" style="158" customWidth="1"/>
    <col min="10756" max="10756" width="33.4444444444444" style="158" customWidth="1"/>
    <col min="10757" max="10757" width="18" style="158" customWidth="1"/>
    <col min="10758" max="10758" width="27.6666666666667" style="158" customWidth="1"/>
    <col min="10759" max="10759" width="28.8888888888889" style="158" bestFit="1" customWidth="1"/>
    <col min="10760" max="10760" width="3" style="158" customWidth="1"/>
    <col min="10761" max="10761" width="23.4444444444444" style="158" customWidth="1"/>
    <col min="10762" max="10762" width="8.88888888888889" style="158"/>
    <col min="10763" max="10763" width="17.8888888888889" style="158" bestFit="1" customWidth="1"/>
    <col min="10764" max="11008" width="8.88888888888889" style="158"/>
    <col min="11009" max="11009" width="7.22222222222222" style="158" customWidth="1"/>
    <col min="11010" max="11010" width="2.33333333333333" style="158" customWidth="1"/>
    <col min="11011" max="11011" width="6.33333333333333" style="158" customWidth="1"/>
    <col min="11012" max="11012" width="33.4444444444444" style="158" customWidth="1"/>
    <col min="11013" max="11013" width="18" style="158" customWidth="1"/>
    <col min="11014" max="11014" width="27.6666666666667" style="158" customWidth="1"/>
    <col min="11015" max="11015" width="28.8888888888889" style="158" bestFit="1" customWidth="1"/>
    <col min="11016" max="11016" width="3" style="158" customWidth="1"/>
    <col min="11017" max="11017" width="23.4444444444444" style="158" customWidth="1"/>
    <col min="11018" max="11018" width="8.88888888888889" style="158"/>
    <col min="11019" max="11019" width="17.8888888888889" style="158" bestFit="1" customWidth="1"/>
    <col min="11020" max="11264" width="8.88888888888889" style="158"/>
    <col min="11265" max="11265" width="7.22222222222222" style="158" customWidth="1"/>
    <col min="11266" max="11266" width="2.33333333333333" style="158" customWidth="1"/>
    <col min="11267" max="11267" width="6.33333333333333" style="158" customWidth="1"/>
    <col min="11268" max="11268" width="33.4444444444444" style="158" customWidth="1"/>
    <col min="11269" max="11269" width="18" style="158" customWidth="1"/>
    <col min="11270" max="11270" width="27.6666666666667" style="158" customWidth="1"/>
    <col min="11271" max="11271" width="28.8888888888889" style="158" bestFit="1" customWidth="1"/>
    <col min="11272" max="11272" width="3" style="158" customWidth="1"/>
    <col min="11273" max="11273" width="23.4444444444444" style="158" customWidth="1"/>
    <col min="11274" max="11274" width="8.88888888888889" style="158"/>
    <col min="11275" max="11275" width="17.8888888888889" style="158" bestFit="1" customWidth="1"/>
    <col min="11276" max="11520" width="8.88888888888889" style="158"/>
    <col min="11521" max="11521" width="7.22222222222222" style="158" customWidth="1"/>
    <col min="11522" max="11522" width="2.33333333333333" style="158" customWidth="1"/>
    <col min="11523" max="11523" width="6.33333333333333" style="158" customWidth="1"/>
    <col min="11524" max="11524" width="33.4444444444444" style="158" customWidth="1"/>
    <col min="11525" max="11525" width="18" style="158" customWidth="1"/>
    <col min="11526" max="11526" width="27.6666666666667" style="158" customWidth="1"/>
    <col min="11527" max="11527" width="28.8888888888889" style="158" bestFit="1" customWidth="1"/>
    <col min="11528" max="11528" width="3" style="158" customWidth="1"/>
    <col min="11529" max="11529" width="23.4444444444444" style="158" customWidth="1"/>
    <col min="11530" max="11530" width="8.88888888888889" style="158"/>
    <col min="11531" max="11531" width="17.8888888888889" style="158" bestFit="1" customWidth="1"/>
    <col min="11532" max="11776" width="8.88888888888889" style="158"/>
    <col min="11777" max="11777" width="7.22222222222222" style="158" customWidth="1"/>
    <col min="11778" max="11778" width="2.33333333333333" style="158" customWidth="1"/>
    <col min="11779" max="11779" width="6.33333333333333" style="158" customWidth="1"/>
    <col min="11780" max="11780" width="33.4444444444444" style="158" customWidth="1"/>
    <col min="11781" max="11781" width="18" style="158" customWidth="1"/>
    <col min="11782" max="11782" width="27.6666666666667" style="158" customWidth="1"/>
    <col min="11783" max="11783" width="28.8888888888889" style="158" bestFit="1" customWidth="1"/>
    <col min="11784" max="11784" width="3" style="158" customWidth="1"/>
    <col min="11785" max="11785" width="23.4444444444444" style="158" customWidth="1"/>
    <col min="11786" max="11786" width="8.88888888888889" style="158"/>
    <col min="11787" max="11787" width="17.8888888888889" style="158" bestFit="1" customWidth="1"/>
    <col min="11788" max="12032" width="8.88888888888889" style="158"/>
    <col min="12033" max="12033" width="7.22222222222222" style="158" customWidth="1"/>
    <col min="12034" max="12034" width="2.33333333333333" style="158" customWidth="1"/>
    <col min="12035" max="12035" width="6.33333333333333" style="158" customWidth="1"/>
    <col min="12036" max="12036" width="33.4444444444444" style="158" customWidth="1"/>
    <col min="12037" max="12037" width="18" style="158" customWidth="1"/>
    <col min="12038" max="12038" width="27.6666666666667" style="158" customWidth="1"/>
    <col min="12039" max="12039" width="28.8888888888889" style="158" bestFit="1" customWidth="1"/>
    <col min="12040" max="12040" width="3" style="158" customWidth="1"/>
    <col min="12041" max="12041" width="23.4444444444444" style="158" customWidth="1"/>
    <col min="12042" max="12042" width="8.88888888888889" style="158"/>
    <col min="12043" max="12043" width="17.8888888888889" style="158" bestFit="1" customWidth="1"/>
    <col min="12044" max="12288" width="8.88888888888889" style="158"/>
    <col min="12289" max="12289" width="7.22222222222222" style="158" customWidth="1"/>
    <col min="12290" max="12290" width="2.33333333333333" style="158" customWidth="1"/>
    <col min="12291" max="12291" width="6.33333333333333" style="158" customWidth="1"/>
    <col min="12292" max="12292" width="33.4444444444444" style="158" customWidth="1"/>
    <col min="12293" max="12293" width="18" style="158" customWidth="1"/>
    <col min="12294" max="12294" width="27.6666666666667" style="158" customWidth="1"/>
    <col min="12295" max="12295" width="28.8888888888889" style="158" bestFit="1" customWidth="1"/>
    <col min="12296" max="12296" width="3" style="158" customWidth="1"/>
    <col min="12297" max="12297" width="23.4444444444444" style="158" customWidth="1"/>
    <col min="12298" max="12298" width="8.88888888888889" style="158"/>
    <col min="12299" max="12299" width="17.8888888888889" style="158" bestFit="1" customWidth="1"/>
    <col min="12300" max="12544" width="8.88888888888889" style="158"/>
    <col min="12545" max="12545" width="7.22222222222222" style="158" customWidth="1"/>
    <col min="12546" max="12546" width="2.33333333333333" style="158" customWidth="1"/>
    <col min="12547" max="12547" width="6.33333333333333" style="158" customWidth="1"/>
    <col min="12548" max="12548" width="33.4444444444444" style="158" customWidth="1"/>
    <col min="12549" max="12549" width="18" style="158" customWidth="1"/>
    <col min="12550" max="12550" width="27.6666666666667" style="158" customWidth="1"/>
    <col min="12551" max="12551" width="28.8888888888889" style="158" bestFit="1" customWidth="1"/>
    <col min="12552" max="12552" width="3" style="158" customWidth="1"/>
    <col min="12553" max="12553" width="23.4444444444444" style="158" customWidth="1"/>
    <col min="12554" max="12554" width="8.88888888888889" style="158"/>
    <col min="12555" max="12555" width="17.8888888888889" style="158" bestFit="1" customWidth="1"/>
    <col min="12556" max="12800" width="8.88888888888889" style="158"/>
    <col min="12801" max="12801" width="7.22222222222222" style="158" customWidth="1"/>
    <col min="12802" max="12802" width="2.33333333333333" style="158" customWidth="1"/>
    <col min="12803" max="12803" width="6.33333333333333" style="158" customWidth="1"/>
    <col min="12804" max="12804" width="33.4444444444444" style="158" customWidth="1"/>
    <col min="12805" max="12805" width="18" style="158" customWidth="1"/>
    <col min="12806" max="12806" width="27.6666666666667" style="158" customWidth="1"/>
    <col min="12807" max="12807" width="28.8888888888889" style="158" bestFit="1" customWidth="1"/>
    <col min="12808" max="12808" width="3" style="158" customWidth="1"/>
    <col min="12809" max="12809" width="23.4444444444444" style="158" customWidth="1"/>
    <col min="12810" max="12810" width="8.88888888888889" style="158"/>
    <col min="12811" max="12811" width="17.8888888888889" style="158" bestFit="1" customWidth="1"/>
    <col min="12812" max="13056" width="8.88888888888889" style="158"/>
    <col min="13057" max="13057" width="7.22222222222222" style="158" customWidth="1"/>
    <col min="13058" max="13058" width="2.33333333333333" style="158" customWidth="1"/>
    <col min="13059" max="13059" width="6.33333333333333" style="158" customWidth="1"/>
    <col min="13060" max="13060" width="33.4444444444444" style="158" customWidth="1"/>
    <col min="13061" max="13061" width="18" style="158" customWidth="1"/>
    <col min="13062" max="13062" width="27.6666666666667" style="158" customWidth="1"/>
    <col min="13063" max="13063" width="28.8888888888889" style="158" bestFit="1" customWidth="1"/>
    <col min="13064" max="13064" width="3" style="158" customWidth="1"/>
    <col min="13065" max="13065" width="23.4444444444444" style="158" customWidth="1"/>
    <col min="13066" max="13066" width="8.88888888888889" style="158"/>
    <col min="13067" max="13067" width="17.8888888888889" style="158" bestFit="1" customWidth="1"/>
    <col min="13068" max="13312" width="8.88888888888889" style="158"/>
    <col min="13313" max="13313" width="7.22222222222222" style="158" customWidth="1"/>
    <col min="13314" max="13314" width="2.33333333333333" style="158" customWidth="1"/>
    <col min="13315" max="13315" width="6.33333333333333" style="158" customWidth="1"/>
    <col min="13316" max="13316" width="33.4444444444444" style="158" customWidth="1"/>
    <col min="13317" max="13317" width="18" style="158" customWidth="1"/>
    <col min="13318" max="13318" width="27.6666666666667" style="158" customWidth="1"/>
    <col min="13319" max="13319" width="28.8888888888889" style="158" bestFit="1" customWidth="1"/>
    <col min="13320" max="13320" width="3" style="158" customWidth="1"/>
    <col min="13321" max="13321" width="23.4444444444444" style="158" customWidth="1"/>
    <col min="13322" max="13322" width="8.88888888888889" style="158"/>
    <col min="13323" max="13323" width="17.8888888888889" style="158" bestFit="1" customWidth="1"/>
    <col min="13324" max="13568" width="8.88888888888889" style="158"/>
    <col min="13569" max="13569" width="7.22222222222222" style="158" customWidth="1"/>
    <col min="13570" max="13570" width="2.33333333333333" style="158" customWidth="1"/>
    <col min="13571" max="13571" width="6.33333333333333" style="158" customWidth="1"/>
    <col min="13572" max="13572" width="33.4444444444444" style="158" customWidth="1"/>
    <col min="13573" max="13573" width="18" style="158" customWidth="1"/>
    <col min="13574" max="13574" width="27.6666666666667" style="158" customWidth="1"/>
    <col min="13575" max="13575" width="28.8888888888889" style="158" bestFit="1" customWidth="1"/>
    <col min="13576" max="13576" width="3" style="158" customWidth="1"/>
    <col min="13577" max="13577" width="23.4444444444444" style="158" customWidth="1"/>
    <col min="13578" max="13578" width="8.88888888888889" style="158"/>
    <col min="13579" max="13579" width="17.8888888888889" style="158" bestFit="1" customWidth="1"/>
    <col min="13580" max="13824" width="8.88888888888889" style="158"/>
    <col min="13825" max="13825" width="7.22222222222222" style="158" customWidth="1"/>
    <col min="13826" max="13826" width="2.33333333333333" style="158" customWidth="1"/>
    <col min="13827" max="13827" width="6.33333333333333" style="158" customWidth="1"/>
    <col min="13828" max="13828" width="33.4444444444444" style="158" customWidth="1"/>
    <col min="13829" max="13829" width="18" style="158" customWidth="1"/>
    <col min="13830" max="13830" width="27.6666666666667" style="158" customWidth="1"/>
    <col min="13831" max="13831" width="28.8888888888889" style="158" bestFit="1" customWidth="1"/>
    <col min="13832" max="13832" width="3" style="158" customWidth="1"/>
    <col min="13833" max="13833" width="23.4444444444444" style="158" customWidth="1"/>
    <col min="13834" max="13834" width="8.88888888888889" style="158"/>
    <col min="13835" max="13835" width="17.8888888888889" style="158" bestFit="1" customWidth="1"/>
    <col min="13836" max="14080" width="8.88888888888889" style="158"/>
    <col min="14081" max="14081" width="7.22222222222222" style="158" customWidth="1"/>
    <col min="14082" max="14082" width="2.33333333333333" style="158" customWidth="1"/>
    <col min="14083" max="14083" width="6.33333333333333" style="158" customWidth="1"/>
    <col min="14084" max="14084" width="33.4444444444444" style="158" customWidth="1"/>
    <col min="14085" max="14085" width="18" style="158" customWidth="1"/>
    <col min="14086" max="14086" width="27.6666666666667" style="158" customWidth="1"/>
    <col min="14087" max="14087" width="28.8888888888889" style="158" bestFit="1" customWidth="1"/>
    <col min="14088" max="14088" width="3" style="158" customWidth="1"/>
    <col min="14089" max="14089" width="23.4444444444444" style="158" customWidth="1"/>
    <col min="14090" max="14090" width="8.88888888888889" style="158"/>
    <col min="14091" max="14091" width="17.8888888888889" style="158" bestFit="1" customWidth="1"/>
    <col min="14092" max="14336" width="8.88888888888889" style="158"/>
    <col min="14337" max="14337" width="7.22222222222222" style="158" customWidth="1"/>
    <col min="14338" max="14338" width="2.33333333333333" style="158" customWidth="1"/>
    <col min="14339" max="14339" width="6.33333333333333" style="158" customWidth="1"/>
    <col min="14340" max="14340" width="33.4444444444444" style="158" customWidth="1"/>
    <col min="14341" max="14341" width="18" style="158" customWidth="1"/>
    <col min="14342" max="14342" width="27.6666666666667" style="158" customWidth="1"/>
    <col min="14343" max="14343" width="28.8888888888889" style="158" bestFit="1" customWidth="1"/>
    <col min="14344" max="14344" width="3" style="158" customWidth="1"/>
    <col min="14345" max="14345" width="23.4444444444444" style="158" customWidth="1"/>
    <col min="14346" max="14346" width="8.88888888888889" style="158"/>
    <col min="14347" max="14347" width="17.8888888888889" style="158" bestFit="1" customWidth="1"/>
    <col min="14348" max="14592" width="8.88888888888889" style="158"/>
    <col min="14593" max="14593" width="7.22222222222222" style="158" customWidth="1"/>
    <col min="14594" max="14594" width="2.33333333333333" style="158" customWidth="1"/>
    <col min="14595" max="14595" width="6.33333333333333" style="158" customWidth="1"/>
    <col min="14596" max="14596" width="33.4444444444444" style="158" customWidth="1"/>
    <col min="14597" max="14597" width="18" style="158" customWidth="1"/>
    <col min="14598" max="14598" width="27.6666666666667" style="158" customWidth="1"/>
    <col min="14599" max="14599" width="28.8888888888889" style="158" bestFit="1" customWidth="1"/>
    <col min="14600" max="14600" width="3" style="158" customWidth="1"/>
    <col min="14601" max="14601" width="23.4444444444444" style="158" customWidth="1"/>
    <col min="14602" max="14602" width="8.88888888888889" style="158"/>
    <col min="14603" max="14603" width="17.8888888888889" style="158" bestFit="1" customWidth="1"/>
    <col min="14604" max="14848" width="8.88888888888889" style="158"/>
    <col min="14849" max="14849" width="7.22222222222222" style="158" customWidth="1"/>
    <col min="14850" max="14850" width="2.33333333333333" style="158" customWidth="1"/>
    <col min="14851" max="14851" width="6.33333333333333" style="158" customWidth="1"/>
    <col min="14852" max="14852" width="33.4444444444444" style="158" customWidth="1"/>
    <col min="14853" max="14853" width="18" style="158" customWidth="1"/>
    <col min="14854" max="14854" width="27.6666666666667" style="158" customWidth="1"/>
    <col min="14855" max="14855" width="28.8888888888889" style="158" bestFit="1" customWidth="1"/>
    <col min="14856" max="14856" width="3" style="158" customWidth="1"/>
    <col min="14857" max="14857" width="23.4444444444444" style="158" customWidth="1"/>
    <col min="14858" max="14858" width="8.88888888888889" style="158"/>
    <col min="14859" max="14859" width="17.8888888888889" style="158" bestFit="1" customWidth="1"/>
    <col min="14860" max="15104" width="8.88888888888889" style="158"/>
    <col min="15105" max="15105" width="7.22222222222222" style="158" customWidth="1"/>
    <col min="15106" max="15106" width="2.33333333333333" style="158" customWidth="1"/>
    <col min="15107" max="15107" width="6.33333333333333" style="158" customWidth="1"/>
    <col min="15108" max="15108" width="33.4444444444444" style="158" customWidth="1"/>
    <col min="15109" max="15109" width="18" style="158" customWidth="1"/>
    <col min="15110" max="15110" width="27.6666666666667" style="158" customWidth="1"/>
    <col min="15111" max="15111" width="28.8888888888889" style="158" bestFit="1" customWidth="1"/>
    <col min="15112" max="15112" width="3" style="158" customWidth="1"/>
    <col min="15113" max="15113" width="23.4444444444444" style="158" customWidth="1"/>
    <col min="15114" max="15114" width="8.88888888888889" style="158"/>
    <col min="15115" max="15115" width="17.8888888888889" style="158" bestFit="1" customWidth="1"/>
    <col min="15116" max="15360" width="8.88888888888889" style="158"/>
    <col min="15361" max="15361" width="7.22222222222222" style="158" customWidth="1"/>
    <col min="15362" max="15362" width="2.33333333333333" style="158" customWidth="1"/>
    <col min="15363" max="15363" width="6.33333333333333" style="158" customWidth="1"/>
    <col min="15364" max="15364" width="33.4444444444444" style="158" customWidth="1"/>
    <col min="15365" max="15365" width="18" style="158" customWidth="1"/>
    <col min="15366" max="15366" width="27.6666666666667" style="158" customWidth="1"/>
    <col min="15367" max="15367" width="28.8888888888889" style="158" bestFit="1" customWidth="1"/>
    <col min="15368" max="15368" width="3" style="158" customWidth="1"/>
    <col min="15369" max="15369" width="23.4444444444444" style="158" customWidth="1"/>
    <col min="15370" max="15370" width="8.88888888888889" style="158"/>
    <col min="15371" max="15371" width="17.8888888888889" style="158" bestFit="1" customWidth="1"/>
    <col min="15372" max="15616" width="8.88888888888889" style="158"/>
    <col min="15617" max="15617" width="7.22222222222222" style="158" customWidth="1"/>
    <col min="15618" max="15618" width="2.33333333333333" style="158" customWidth="1"/>
    <col min="15619" max="15619" width="6.33333333333333" style="158" customWidth="1"/>
    <col min="15620" max="15620" width="33.4444444444444" style="158" customWidth="1"/>
    <col min="15621" max="15621" width="18" style="158" customWidth="1"/>
    <col min="15622" max="15622" width="27.6666666666667" style="158" customWidth="1"/>
    <col min="15623" max="15623" width="28.8888888888889" style="158" bestFit="1" customWidth="1"/>
    <col min="15624" max="15624" width="3" style="158" customWidth="1"/>
    <col min="15625" max="15625" width="23.4444444444444" style="158" customWidth="1"/>
    <col min="15626" max="15626" width="8.88888888888889" style="158"/>
    <col min="15627" max="15627" width="17.8888888888889" style="158" bestFit="1" customWidth="1"/>
    <col min="15628" max="15872" width="8.88888888888889" style="158"/>
    <col min="15873" max="15873" width="7.22222222222222" style="158" customWidth="1"/>
    <col min="15874" max="15874" width="2.33333333333333" style="158" customWidth="1"/>
    <col min="15875" max="15875" width="6.33333333333333" style="158" customWidth="1"/>
    <col min="15876" max="15876" width="33.4444444444444" style="158" customWidth="1"/>
    <col min="15877" max="15877" width="18" style="158" customWidth="1"/>
    <col min="15878" max="15878" width="27.6666666666667" style="158" customWidth="1"/>
    <col min="15879" max="15879" width="28.8888888888889" style="158" bestFit="1" customWidth="1"/>
    <col min="15880" max="15880" width="3" style="158" customWidth="1"/>
    <col min="15881" max="15881" width="23.4444444444444" style="158" customWidth="1"/>
    <col min="15882" max="15882" width="8.88888888888889" style="158"/>
    <col min="15883" max="15883" width="17.8888888888889" style="158" bestFit="1" customWidth="1"/>
    <col min="15884" max="16128" width="8.88888888888889" style="158"/>
    <col min="16129" max="16129" width="7.22222222222222" style="158" customWidth="1"/>
    <col min="16130" max="16130" width="2.33333333333333" style="158" customWidth="1"/>
    <col min="16131" max="16131" width="6.33333333333333" style="158" customWidth="1"/>
    <col min="16132" max="16132" width="33.4444444444444" style="158" customWidth="1"/>
    <col min="16133" max="16133" width="18" style="158" customWidth="1"/>
    <col min="16134" max="16134" width="27.6666666666667" style="158" customWidth="1"/>
    <col min="16135" max="16135" width="28.8888888888889" style="158" bestFit="1" customWidth="1"/>
    <col min="16136" max="16136" width="3" style="158" customWidth="1"/>
    <col min="16137" max="16137" width="23.4444444444444" style="158" customWidth="1"/>
    <col min="16138" max="16138" width="8.88888888888889" style="158"/>
    <col min="16139" max="16139" width="17.8888888888889" style="158" bestFit="1" customWidth="1"/>
    <col min="16140" max="16384" width="8.88888888888889" style="158"/>
  </cols>
  <sheetData>
    <row r="1" spans="1:11" ht="18">
      <c r="A1" s="1183"/>
      <c r="B1" s="1184"/>
      <c r="C1" s="1184"/>
      <c r="D1" s="1184"/>
      <c r="E1" s="1184"/>
      <c r="F1" s="1184"/>
      <c r="G1" s="1184"/>
      <c r="H1" s="1184"/>
      <c r="I1" s="1184"/>
      <c r="K1" s="6" t="s">
        <v>673</v>
      </c>
    </row>
    <row r="2" spans="1:11" ht="18">
      <c r="A2" s="1185" t="s">
        <v>675</v>
      </c>
      <c r="B2" s="1185"/>
      <c r="C2" s="1185"/>
      <c r="D2" s="1185"/>
      <c r="E2" s="1185"/>
      <c r="F2" s="1185"/>
      <c r="G2" s="1185"/>
      <c r="H2" s="1185"/>
      <c r="I2" s="1185"/>
      <c r="J2" s="159"/>
      <c r="K2" s="6" t="s">
        <v>221</v>
      </c>
    </row>
    <row r="3" spans="1:11" ht="18">
      <c r="A3" s="259"/>
      <c r="B3" s="259"/>
      <c r="C3" s="259"/>
      <c r="D3" s="259"/>
      <c r="E3" s="259"/>
      <c r="F3" s="259"/>
      <c r="G3" s="259"/>
      <c r="H3" s="259"/>
      <c r="I3" s="259"/>
      <c r="K3" s="9" t="str">
        <f>'Attachment 1 - Sched 1A'!J3</f>
        <v>For the 12 months ended 12/31/2021</v>
      </c>
    </row>
    <row r="5" spans="1:2" s="160" customFormat="1" ht="15">
      <c r="A5" s="161"/>
      <c r="B5" s="161"/>
    </row>
    <row r="6" spans="1:11" s="160" customFormat="1" ht="15">
      <c r="A6" s="161"/>
      <c r="B6" s="161"/>
      <c r="G6" s="677"/>
      <c r="H6" s="164"/>
      <c r="I6" s="164"/>
      <c r="J6" s="164"/>
      <c r="K6" s="164"/>
    </row>
    <row r="7" spans="1:8" s="164" customFormat="1" ht="15">
      <c r="A7" s="161"/>
      <c r="B7" s="161"/>
      <c r="C7" s="160"/>
      <c r="D7" s="160"/>
      <c r="E7" s="160"/>
      <c r="F7" s="160"/>
      <c r="G7" s="160"/>
      <c r="H7" s="160"/>
    </row>
    <row r="8" spans="1:9" s="164" customFormat="1" ht="15.75">
      <c r="A8" s="165" t="s">
        <v>371</v>
      </c>
      <c r="B8" s="166"/>
      <c r="C8" s="166"/>
      <c r="D8" s="166"/>
      <c r="E8" s="166"/>
      <c r="F8" s="166"/>
      <c r="G8" s="166"/>
      <c r="H8" s="166"/>
      <c r="I8" s="166"/>
    </row>
    <row r="9" spans="1:7" s="164" customFormat="1" ht="15.75">
      <c r="A9" s="167"/>
      <c r="G9" s="168" t="s">
        <v>372</v>
      </c>
    </row>
    <row r="10" spans="1:10" s="160" customFormat="1" ht="15">
      <c r="A10" s="164"/>
      <c r="D10" s="164"/>
      <c r="E10" s="164"/>
      <c r="F10" s="164"/>
      <c r="G10" s="164"/>
      <c r="H10" s="164"/>
      <c r="I10" s="169"/>
      <c r="J10" s="164"/>
    </row>
    <row r="11" spans="1:10" s="160" customFormat="1" ht="15">
      <c r="A11" s="170">
        <v>1</v>
      </c>
      <c r="C11" s="171" t="s">
        <v>654</v>
      </c>
      <c r="D11" s="172"/>
      <c r="E11" s="164"/>
      <c r="F11" s="172"/>
      <c r="G11" s="173" t="s">
        <v>726</v>
      </c>
      <c r="H11" s="172"/>
      <c r="I11" s="163">
        <f>'Attachment H-28A MAIT '!I100</f>
        <v>1604409618.4188285</v>
      </c>
      <c r="J11" s="164"/>
    </row>
    <row r="12" spans="1:9" s="160" customFormat="1" ht="15">
      <c r="A12" s="164"/>
      <c r="G12" s="171"/>
      <c r="I12" s="174"/>
    </row>
    <row r="13" spans="1:9" s="160" customFormat="1" ht="15">
      <c r="A13" s="175"/>
      <c r="B13" s="171"/>
      <c r="C13" s="176"/>
      <c r="D13" s="176"/>
      <c r="E13" s="177"/>
      <c r="F13" s="178"/>
      <c r="G13" s="171"/>
      <c r="H13" s="178"/>
      <c r="I13" s="179"/>
    </row>
    <row r="14" spans="1:9" s="160" customFormat="1" ht="15.75">
      <c r="A14" s="175">
        <f>A11+1</f>
        <v>2</v>
      </c>
      <c r="B14" s="171"/>
      <c r="C14" s="171" t="s">
        <v>655</v>
      </c>
      <c r="D14" s="180"/>
      <c r="F14" s="177" t="s">
        <v>656</v>
      </c>
      <c r="G14" s="173" t="s">
        <v>727</v>
      </c>
      <c r="H14" s="178"/>
      <c r="I14" s="162">
        <f>'Attachment H-28A MAIT '!I244</f>
        <v>0</v>
      </c>
    </row>
    <row r="15" spans="1:9" s="160" customFormat="1" ht="15">
      <c r="A15" s="175"/>
      <c r="B15" s="171"/>
      <c r="C15" s="176"/>
      <c r="D15" s="176"/>
      <c r="E15" s="177"/>
      <c r="F15" s="181"/>
      <c r="G15" s="182"/>
      <c r="H15" s="178"/>
      <c r="I15" s="179"/>
    </row>
    <row r="16" spans="1:9" s="160" customFormat="1" ht="15.75">
      <c r="A16" s="175"/>
      <c r="B16" s="171"/>
      <c r="C16" s="176" t="s">
        <v>107</v>
      </c>
      <c r="D16" s="183"/>
      <c r="E16" s="177"/>
      <c r="F16" s="177"/>
      <c r="G16" s="182"/>
      <c r="H16" s="178"/>
      <c r="I16" s="179"/>
    </row>
    <row r="17" spans="1:9" s="160" customFormat="1" ht="15">
      <c r="A17" s="175">
        <f>A14+1</f>
        <v>3</v>
      </c>
      <c r="B17" s="171"/>
      <c r="C17" s="171"/>
      <c r="D17" s="176" t="s">
        <v>657</v>
      </c>
      <c r="E17" s="178"/>
      <c r="F17" s="179"/>
      <c r="G17" s="173" t="s">
        <v>710</v>
      </c>
      <c r="H17" s="178"/>
      <c r="I17" s="162">
        <f>'Attachment 8 - Cap Structure'!E23</f>
        <v>1356592769.9230769</v>
      </c>
    </row>
    <row r="18" spans="1:9" s="160" customFormat="1" ht="15">
      <c r="A18" s="175">
        <f>A17+1</f>
        <v>4</v>
      </c>
      <c r="B18" s="172"/>
      <c r="C18" s="172"/>
      <c r="D18" s="188" t="s">
        <v>383</v>
      </c>
      <c r="E18" s="179"/>
      <c r="F18" s="179"/>
      <c r="G18" s="237" t="s">
        <v>711</v>
      </c>
      <c r="H18" s="179"/>
      <c r="I18" s="162">
        <f>'Attachment 8 - Cap Structure'!F23</f>
        <v>0</v>
      </c>
    </row>
    <row r="19" spans="1:9" s="164" customFormat="1" ht="15">
      <c r="A19" s="175">
        <f>A18+1</f>
        <v>5</v>
      </c>
      <c r="B19" s="172"/>
      <c r="C19" s="172"/>
      <c r="D19" s="188" t="s">
        <v>384</v>
      </c>
      <c r="E19" s="179"/>
      <c r="F19" s="179"/>
      <c r="G19" s="237" t="s">
        <v>714</v>
      </c>
      <c r="H19" s="179"/>
      <c r="I19" s="162">
        <f>'Attachment 8 - Cap Structure'!H23</f>
        <v>0</v>
      </c>
    </row>
    <row r="20" spans="1:9" s="160" customFormat="1" ht="15">
      <c r="A20" s="175">
        <f>+A19+1</f>
        <v>6</v>
      </c>
      <c r="B20" s="171"/>
      <c r="C20" s="176"/>
      <c r="D20" s="184" t="s">
        <v>709</v>
      </c>
      <c r="E20" s="185"/>
      <c r="F20" s="186"/>
      <c r="G20" s="187" t="s">
        <v>713</v>
      </c>
      <c r="H20" s="185"/>
      <c r="I20" s="186">
        <f>'Attachment 8 - Cap Structure'!G23+'Attachment 8 - Cap Structure'!I23</f>
        <v>223591970</v>
      </c>
    </row>
    <row r="21" spans="1:9" s="160" customFormat="1" ht="15">
      <c r="A21" s="175">
        <f>A20+1</f>
        <v>7</v>
      </c>
      <c r="B21" s="171"/>
      <c r="C21" s="176"/>
      <c r="D21" s="176" t="s">
        <v>107</v>
      </c>
      <c r="E21" s="178"/>
      <c r="F21" s="179"/>
      <c r="G21" s="173" t="s">
        <v>712</v>
      </c>
      <c r="H21" s="178"/>
      <c r="I21" s="162">
        <f>'Attachment 8 - Cap Structure'!J23</f>
        <v>1133000799.9230769</v>
      </c>
    </row>
    <row r="22" spans="1:9" s="160" customFormat="1" ht="15">
      <c r="A22" s="175"/>
      <c r="B22" s="171"/>
      <c r="C22" s="176"/>
      <c r="D22" s="176"/>
      <c r="E22" s="178"/>
      <c r="F22" s="179"/>
      <c r="G22" s="173"/>
      <c r="H22" s="178"/>
      <c r="I22" s="162"/>
    </row>
    <row r="23" spans="1:9" s="160" customFormat="1" ht="15">
      <c r="A23" s="175"/>
      <c r="B23" s="171"/>
      <c r="C23" s="176"/>
      <c r="D23" s="176"/>
      <c r="E23" s="178"/>
      <c r="F23" s="179"/>
      <c r="G23" s="173"/>
      <c r="H23" s="178"/>
      <c r="I23" s="162"/>
    </row>
    <row r="24" spans="1:9" s="160" customFormat="1" ht="15.75">
      <c r="A24" s="175"/>
      <c r="B24" s="171"/>
      <c r="C24" s="176" t="s">
        <v>658</v>
      </c>
      <c r="D24" s="183"/>
      <c r="F24" s="177"/>
      <c r="G24" s="182"/>
      <c r="H24" s="177"/>
      <c r="I24" s="179"/>
    </row>
    <row r="25" spans="1:9" s="160" customFormat="1" ht="15">
      <c r="A25" s="175">
        <f>+A21+1</f>
        <v>8</v>
      </c>
      <c r="B25" s="171"/>
      <c r="C25" s="171"/>
      <c r="D25" s="176" t="s">
        <v>287</v>
      </c>
      <c r="F25" s="177"/>
      <c r="G25" s="173" t="s">
        <v>715</v>
      </c>
      <c r="H25" s="177"/>
      <c r="I25" s="162">
        <f>'Attachment H-28A MAIT '!D249</f>
        <v>800659727.73307681</v>
      </c>
    </row>
    <row r="26" spans="1:9" s="160" customFormat="1" ht="15">
      <c r="A26" s="175">
        <f>A25+1</f>
        <v>9</v>
      </c>
      <c r="B26" s="172"/>
      <c r="C26" s="172"/>
      <c r="D26" s="188" t="s">
        <v>285</v>
      </c>
      <c r="E26" s="189"/>
      <c r="F26" s="190"/>
      <c r="G26" s="173" t="s">
        <v>716</v>
      </c>
      <c r="H26" s="189"/>
      <c r="I26" s="162">
        <f>'Attachment H-28A MAIT '!D250</f>
        <v>0</v>
      </c>
    </row>
    <row r="27" spans="1:9" s="160" customFormat="1" ht="15">
      <c r="A27" s="175">
        <f t="shared" si="0" ref="A27:A28">A26+1</f>
        <v>10</v>
      </c>
      <c r="B27" s="171"/>
      <c r="C27" s="171"/>
      <c r="D27" s="176" t="s">
        <v>107</v>
      </c>
      <c r="E27" s="177"/>
      <c r="F27" s="181"/>
      <c r="G27" s="187" t="s">
        <v>717</v>
      </c>
      <c r="H27" s="177"/>
      <c r="I27" s="162">
        <f>'Attachment H-28A MAIT '!D251</f>
        <v>1133000799.9230769</v>
      </c>
    </row>
    <row r="28" spans="1:9" s="160" customFormat="1" ht="15.75">
      <c r="A28" s="175">
        <f t="shared" si="0"/>
        <v>11</v>
      </c>
      <c r="B28" s="171"/>
      <c r="C28" s="171"/>
      <c r="D28" s="176" t="s">
        <v>659</v>
      </c>
      <c r="E28" s="191"/>
      <c r="F28" s="192"/>
      <c r="G28" s="173" t="s">
        <v>718</v>
      </c>
      <c r="H28" s="193"/>
      <c r="I28" s="194">
        <f>'Attachment H-28A MAIT '!D252</f>
        <v>1933660527.6561537</v>
      </c>
    </row>
    <row r="29" spans="1:9" s="160" customFormat="1" ht="15">
      <c r="A29" s="175"/>
      <c r="B29" s="171"/>
      <c r="C29" s="171"/>
      <c r="D29" s="176"/>
      <c r="E29" s="177"/>
      <c r="F29" s="181"/>
      <c r="G29" s="171"/>
      <c r="H29" s="178"/>
      <c r="I29" s="195"/>
    </row>
    <row r="30" spans="1:11" s="160" customFormat="1" ht="15">
      <c r="A30" s="175">
        <f>A28+1</f>
        <v>12</v>
      </c>
      <c r="B30" s="171"/>
      <c r="C30" s="171"/>
      <c r="D30" s="176" t="s">
        <v>660</v>
      </c>
      <c r="E30" s="196"/>
      <c r="F30" s="184" t="s">
        <v>661</v>
      </c>
      <c r="G30" s="173" t="s">
        <v>719</v>
      </c>
      <c r="H30" s="178"/>
      <c r="I30" s="197">
        <f>'Attachment H-28A MAIT '!E249</f>
        <v>0.41406426633923166</v>
      </c>
      <c r="J30" s="164"/>
      <c r="K30" s="164"/>
    </row>
    <row r="31" spans="1:10" s="160" customFormat="1" ht="15">
      <c r="A31" s="175">
        <f>A30+1</f>
        <v>13</v>
      </c>
      <c r="B31" s="171"/>
      <c r="C31" s="171"/>
      <c r="D31" s="176" t="s">
        <v>662</v>
      </c>
      <c r="E31" s="181"/>
      <c r="F31" s="184" t="s">
        <v>285</v>
      </c>
      <c r="G31" s="173" t="s">
        <v>720</v>
      </c>
      <c r="H31" s="178"/>
      <c r="I31" s="197">
        <f>'Attachment H-28A MAIT '!E250</f>
        <v>0</v>
      </c>
      <c r="J31" s="164"/>
    </row>
    <row r="32" spans="1:11" s="160" customFormat="1" ht="15">
      <c r="A32" s="175">
        <f>A31+1</f>
        <v>14</v>
      </c>
      <c r="B32" s="171"/>
      <c r="C32" s="171"/>
      <c r="D32" s="176" t="s">
        <v>663</v>
      </c>
      <c r="E32" s="181"/>
      <c r="F32" s="184" t="s">
        <v>107</v>
      </c>
      <c r="G32" s="173" t="s">
        <v>721</v>
      </c>
      <c r="H32" s="178"/>
      <c r="I32" s="197">
        <f>'Attachment H-28A MAIT '!E251</f>
        <v>0.58593573366076834</v>
      </c>
      <c r="J32" s="164"/>
      <c r="K32" s="164"/>
    </row>
    <row r="33" spans="1:9" s="160" customFormat="1" ht="15">
      <c r="A33" s="175"/>
      <c r="B33" s="171"/>
      <c r="C33" s="171"/>
      <c r="D33" s="176"/>
      <c r="E33" s="177"/>
      <c r="F33" s="182"/>
      <c r="G33" s="171"/>
      <c r="H33" s="178"/>
      <c r="I33" s="195"/>
    </row>
    <row r="34" spans="1:11" s="160" customFormat="1" ht="15">
      <c r="A34" s="175">
        <f>A32+1</f>
        <v>15</v>
      </c>
      <c r="B34" s="171"/>
      <c r="C34" s="171"/>
      <c r="D34" s="176" t="s">
        <v>470</v>
      </c>
      <c r="E34" s="196"/>
      <c r="F34" s="182" t="s">
        <v>661</v>
      </c>
      <c r="G34" s="173" t="s">
        <v>788</v>
      </c>
      <c r="H34" s="178"/>
      <c r="I34" s="198">
        <f>'Attachment H-28A MAIT '!G249</f>
        <v>0.038699999999999998</v>
      </c>
      <c r="J34" s="199"/>
      <c r="K34" s="200"/>
    </row>
    <row r="35" spans="1:10" s="160" customFormat="1" ht="15">
      <c r="A35" s="175">
        <f>A34+1</f>
        <v>16</v>
      </c>
      <c r="B35" s="171"/>
      <c r="C35" s="171"/>
      <c r="D35" s="176" t="s">
        <v>664</v>
      </c>
      <c r="E35" s="181"/>
      <c r="F35" s="182" t="s">
        <v>285</v>
      </c>
      <c r="G35" s="173" t="s">
        <v>789</v>
      </c>
      <c r="H35" s="178"/>
      <c r="I35" s="198">
        <f>'Attachment H-28A MAIT '!G250</f>
        <v>0</v>
      </c>
      <c r="J35" s="199"/>
    </row>
    <row r="36" spans="1:11" s="160" customFormat="1" ht="15">
      <c r="A36" s="175">
        <f>A35+1</f>
        <v>17</v>
      </c>
      <c r="B36" s="171"/>
      <c r="C36" s="171"/>
      <c r="D36" s="176" t="s">
        <v>665</v>
      </c>
      <c r="F36" s="201" t="s">
        <v>107</v>
      </c>
      <c r="G36" s="202">
        <v>0.10299999999999999</v>
      </c>
      <c r="H36" s="178"/>
      <c r="I36" s="203">
        <v>0.10299999999999999</v>
      </c>
      <c r="J36" s="199"/>
      <c r="K36" s="200"/>
    </row>
    <row r="37" spans="1:9" s="160" customFormat="1" ht="15">
      <c r="A37" s="175"/>
      <c r="B37" s="171"/>
      <c r="C37" s="171"/>
      <c r="D37" s="176"/>
      <c r="E37" s="177"/>
      <c r="F37" s="182"/>
      <c r="G37" s="171"/>
      <c r="H37" s="178"/>
      <c r="I37" s="177"/>
    </row>
    <row r="38" spans="1:9" s="160" customFormat="1" ht="15">
      <c r="A38" s="175">
        <f>A36+1</f>
        <v>18</v>
      </c>
      <c r="B38" s="171"/>
      <c r="C38" s="171"/>
      <c r="D38" s="176" t="s">
        <v>666</v>
      </c>
      <c r="E38" s="196"/>
      <c r="F38" s="184" t="s">
        <v>667</v>
      </c>
      <c r="G38" s="171" t="s">
        <v>429</v>
      </c>
      <c r="H38" s="204"/>
      <c r="I38" s="205">
        <f>(I34*I30)</f>
        <v>0.016024287107328266</v>
      </c>
    </row>
    <row r="39" spans="1:9" s="160" customFormat="1" ht="15">
      <c r="A39" s="175">
        <f>A38+1</f>
        <v>19</v>
      </c>
      <c r="B39" s="171"/>
      <c r="C39" s="171"/>
      <c r="D39" s="176" t="s">
        <v>668</v>
      </c>
      <c r="E39" s="181"/>
      <c r="F39" s="184" t="s">
        <v>285</v>
      </c>
      <c r="G39" s="171" t="s">
        <v>430</v>
      </c>
      <c r="H39" s="206"/>
      <c r="I39" s="205">
        <f>I35*I31</f>
        <v>0</v>
      </c>
    </row>
    <row r="40" spans="1:9" s="160" customFormat="1" ht="15">
      <c r="A40" s="175">
        <f>A39+1</f>
        <v>20</v>
      </c>
      <c r="B40" s="171"/>
      <c r="C40" s="171"/>
      <c r="D40" s="207" t="s">
        <v>669</v>
      </c>
      <c r="E40" s="208"/>
      <c r="F40" s="207" t="s">
        <v>107</v>
      </c>
      <c r="G40" s="209" t="s">
        <v>431</v>
      </c>
      <c r="H40" s="210"/>
      <c r="I40" s="211">
        <f>(I36*I32)</f>
        <v>0.060351380567059139</v>
      </c>
    </row>
    <row r="41" spans="1:9" s="160" customFormat="1" ht="15.75">
      <c r="A41" s="175">
        <f>A40+1</f>
        <v>21</v>
      </c>
      <c r="B41" s="171"/>
      <c r="C41" s="171" t="s">
        <v>670</v>
      </c>
      <c r="D41" s="171"/>
      <c r="E41" s="212"/>
      <c r="F41" s="213"/>
      <c r="G41" s="171" t="str">
        <f>"(Sum Lines "&amp;A38&amp;" to "&amp;A40&amp;")"</f>
        <v>(Sum Lines 18 to 20)</v>
      </c>
      <c r="H41" s="214"/>
      <c r="I41" s="215">
        <f>SUM(I38:I40)</f>
        <v>0.076375667674387401</v>
      </c>
    </row>
    <row r="42" spans="1:9" s="160" customFormat="1" ht="15.75">
      <c r="A42" s="216"/>
      <c r="B42" s="171"/>
      <c r="C42" s="171"/>
      <c r="D42" s="171"/>
      <c r="E42" s="212"/>
      <c r="F42" s="213"/>
      <c r="G42" s="217"/>
      <c r="H42" s="214"/>
      <c r="I42" s="215"/>
    </row>
    <row r="43" spans="1:9" s="160" customFormat="1" ht="16.5" thickBot="1">
      <c r="A43" s="175">
        <f>A41+1</f>
        <v>22</v>
      </c>
      <c r="B43" s="171"/>
      <c r="C43" s="171" t="s">
        <v>671</v>
      </c>
      <c r="D43" s="171"/>
      <c r="E43" s="218"/>
      <c r="F43" s="219"/>
      <c r="G43" s="220" t="str">
        <f>"(Line "&amp;A11&amp;" * Line "&amp;A41&amp;")"</f>
        <v>(Line 1 * Line 21)</v>
      </c>
      <c r="H43" s="221"/>
      <c r="I43" s="222">
        <f>+I41*I11</f>
        <v>122537855.82994714</v>
      </c>
    </row>
    <row r="44" spans="1:9" s="160" customFormat="1" ht="15.75" thickTop="1">
      <c r="A44" s="175"/>
      <c r="B44" s="223"/>
      <c r="C44" s="223"/>
      <c r="D44" s="181"/>
      <c r="E44" s="177"/>
      <c r="F44" s="161"/>
      <c r="G44" s="178"/>
      <c r="H44" s="178"/>
      <c r="I44" s="205"/>
    </row>
    <row r="45" spans="1:9" s="160" customFormat="1" ht="15.75">
      <c r="A45" s="224" t="s">
        <v>385</v>
      </c>
      <c r="B45" s="225"/>
      <c r="C45" s="226"/>
      <c r="D45" s="227"/>
      <c r="E45" s="228"/>
      <c r="F45" s="229"/>
      <c r="G45" s="166"/>
      <c r="H45" s="166"/>
      <c r="I45" s="230"/>
    </row>
    <row r="46" spans="1:11" s="160" customFormat="1" ht="15.75">
      <c r="A46" s="188"/>
      <c r="B46" s="188"/>
      <c r="C46" s="223"/>
      <c r="D46" s="231"/>
      <c r="E46" s="189"/>
      <c r="F46" s="232"/>
      <c r="G46" s="177"/>
      <c r="H46" s="177"/>
      <c r="I46" s="233"/>
      <c r="K46" s="234"/>
    </row>
    <row r="47" spans="1:9" s="160" customFormat="1" ht="15.75">
      <c r="A47" s="175" t="s">
        <v>3</v>
      </c>
      <c r="B47" s="223"/>
      <c r="C47" s="235" t="s">
        <v>373</v>
      </c>
      <c r="D47" s="177"/>
      <c r="E47" s="177"/>
      <c r="F47" s="232"/>
      <c r="G47" s="178"/>
      <c r="H47" s="236"/>
      <c r="I47" s="177"/>
    </row>
    <row r="48" spans="1:9" s="160" customFormat="1" ht="15">
      <c r="A48" s="175">
        <f>+A43+1</f>
        <v>23</v>
      </c>
      <c r="B48" s="170"/>
      <c r="C48" s="175"/>
      <c r="D48" s="312" t="s">
        <v>75</v>
      </c>
      <c r="E48" s="189"/>
      <c r="F48" s="170"/>
      <c r="G48" s="237" t="s">
        <v>745</v>
      </c>
      <c r="H48" s="238"/>
      <c r="I48" s="239">
        <f>'Attachment H-28A MAIT '!D165</f>
        <v>0.28892099999999998</v>
      </c>
    </row>
    <row r="49" spans="1:9" s="160" customFormat="1" ht="15">
      <c r="A49" s="175">
        <f>+A48+1</f>
        <v>24</v>
      </c>
      <c r="B49" s="170"/>
      <c r="C49" s="175"/>
      <c r="D49" s="313" t="s">
        <v>76</v>
      </c>
      <c r="E49" s="240"/>
      <c r="F49" s="170"/>
      <c r="G49" s="237" t="s">
        <v>391</v>
      </c>
      <c r="H49" s="238"/>
      <c r="I49" s="263">
        <f>(I48/(1-I48)*(1-I38/I41))</f>
        <v>0.32106535558650623</v>
      </c>
    </row>
    <row r="50" spans="1:9" s="160" customFormat="1" ht="15">
      <c r="A50" s="175"/>
      <c r="B50" s="170"/>
      <c r="C50" s="175"/>
      <c r="D50" s="314"/>
      <c r="E50" s="238"/>
      <c r="F50" s="170"/>
      <c r="G50" s="237"/>
      <c r="H50" s="238"/>
      <c r="I50" s="241"/>
    </row>
    <row r="51" spans="1:9" s="160" customFormat="1" ht="15">
      <c r="A51" s="175"/>
      <c r="B51" s="170"/>
      <c r="C51" s="175"/>
      <c r="D51" s="314"/>
      <c r="E51" s="242"/>
      <c r="F51" s="170"/>
      <c r="G51" s="237"/>
      <c r="H51" s="238"/>
      <c r="I51" s="239"/>
    </row>
    <row r="52" spans="1:11" s="160" customFormat="1" ht="30.75">
      <c r="A52" s="175">
        <v>25</v>
      </c>
      <c r="B52" s="161"/>
      <c r="C52" s="223"/>
      <c r="D52" s="312" t="s">
        <v>392</v>
      </c>
      <c r="E52" s="243"/>
      <c r="F52" s="161"/>
      <c r="G52" s="741" t="s">
        <v>896</v>
      </c>
      <c r="H52" s="238"/>
      <c r="I52" s="129">
        <f>'Attachment H-28A MAIT '!D169</f>
        <v>1.4063135038441579</v>
      </c>
      <c r="K52" s="244"/>
    </row>
    <row r="53" spans="1:9" s="160" customFormat="1" ht="15">
      <c r="A53" s="175">
        <v>26</v>
      </c>
      <c r="B53" s="223"/>
      <c r="C53" s="223"/>
      <c r="D53" s="314" t="s">
        <v>312</v>
      </c>
      <c r="E53" s="177"/>
      <c r="F53" s="245"/>
      <c r="G53" s="237" t="s">
        <v>746</v>
      </c>
      <c r="H53" s="236"/>
      <c r="I53" s="261">
        <f>'Attachment H-28A MAIT '!D170</f>
        <v>-99685</v>
      </c>
    </row>
    <row r="54" spans="1:9" s="160" customFormat="1" ht="15">
      <c r="A54" s="175">
        <v>27</v>
      </c>
      <c r="B54" s="223"/>
      <c r="C54" s="223"/>
      <c r="D54" s="315" t="s">
        <v>382</v>
      </c>
      <c r="E54" s="177"/>
      <c r="F54" s="245"/>
      <c r="G54" s="237" t="s">
        <v>722</v>
      </c>
      <c r="H54" s="236"/>
      <c r="I54" s="261">
        <f>'Attachment H-28A MAIT '!D171</f>
        <v>422110</v>
      </c>
    </row>
    <row r="55" spans="1:9" s="160" customFormat="1" ht="15">
      <c r="A55" s="175">
        <v>28</v>
      </c>
      <c r="B55" s="223"/>
      <c r="C55" s="223"/>
      <c r="D55" s="315" t="s">
        <v>389</v>
      </c>
      <c r="E55" s="177"/>
      <c r="F55" s="245"/>
      <c r="G55" s="237" t="s">
        <v>723</v>
      </c>
      <c r="H55" s="236"/>
      <c r="I55" s="261">
        <f>'Attachment H-28A MAIT '!D172</f>
        <v>-1123581.22</v>
      </c>
    </row>
    <row r="56" spans="1:9" s="160" customFormat="1" ht="15">
      <c r="A56" s="175">
        <v>29</v>
      </c>
      <c r="B56" s="223"/>
      <c r="C56" s="223"/>
      <c r="D56" s="316" t="s">
        <v>386</v>
      </c>
      <c r="E56" s="177"/>
      <c r="F56" s="245"/>
      <c r="G56" s="246" t="s">
        <v>433</v>
      </c>
      <c r="H56" s="236"/>
      <c r="I56" s="261">
        <f>I49*I43</f>
        <v>39342660.254850015</v>
      </c>
    </row>
    <row r="57" spans="1:9" s="160" customFormat="1" ht="15">
      <c r="A57" s="175">
        <v>30</v>
      </c>
      <c r="B57" s="223"/>
      <c r="C57" s="223"/>
      <c r="D57" s="317" t="s">
        <v>387</v>
      </c>
      <c r="E57" s="177"/>
      <c r="F57" s="245"/>
      <c r="G57" s="246" t="s">
        <v>393</v>
      </c>
      <c r="H57" s="236"/>
      <c r="I57" s="261">
        <f>I52*I53</f>
        <v>-140188.36163070487</v>
      </c>
    </row>
    <row r="58" spans="1:9" s="160" customFormat="1" ht="15">
      <c r="A58" s="175">
        <v>31</v>
      </c>
      <c r="B58" s="223"/>
      <c r="C58" s="223"/>
      <c r="D58" s="317" t="s">
        <v>388</v>
      </c>
      <c r="E58" s="177"/>
      <c r="F58" s="245"/>
      <c r="G58" s="237" t="s">
        <v>747</v>
      </c>
      <c r="H58" s="236"/>
      <c r="I58" s="261">
        <f>'Attachment H-28A MAIT '!D175</f>
        <v>593618.99310765753</v>
      </c>
    </row>
    <row r="59" spans="1:9" s="160" customFormat="1" ht="15.75" thickBot="1">
      <c r="A59" s="175">
        <v>32</v>
      </c>
      <c r="B59" s="223"/>
      <c r="C59" s="223"/>
      <c r="D59" s="317" t="s">
        <v>390</v>
      </c>
      <c r="E59" s="177"/>
      <c r="F59" s="245"/>
      <c r="G59" s="237" t="s">
        <v>724</v>
      </c>
      <c r="H59" s="236"/>
      <c r="I59" s="262">
        <f>'Attachment H-28A MAIT '!D176</f>
        <v>-1580107.4423516935</v>
      </c>
    </row>
    <row r="60" spans="1:9" s="160" customFormat="1" ht="15">
      <c r="A60" s="175">
        <v>33</v>
      </c>
      <c r="B60" s="175"/>
      <c r="C60" s="175"/>
      <c r="D60" s="316" t="s">
        <v>78</v>
      </c>
      <c r="E60" s="189"/>
      <c r="F60" s="309"/>
      <c r="G60" s="242" t="s">
        <v>432</v>
      </c>
      <c r="H60" s="310"/>
      <c r="I60" s="311">
        <f>SUM(I56:I59)</f>
        <v>38215983.44397527</v>
      </c>
    </row>
    <row r="61" spans="1:9" s="160" customFormat="1" ht="15">
      <c r="A61" s="175"/>
      <c r="B61" s="223"/>
      <c r="C61" s="223"/>
      <c r="D61" s="177"/>
      <c r="E61" s="177"/>
      <c r="F61" s="245"/>
      <c r="G61" s="246"/>
      <c r="H61" s="236"/>
      <c r="I61" s="247"/>
    </row>
    <row r="62" spans="1:9" s="160" customFormat="1" ht="15.75">
      <c r="A62" s="224" t="s">
        <v>404</v>
      </c>
      <c r="B62" s="225"/>
      <c r="C62" s="226"/>
      <c r="D62" s="227"/>
      <c r="E62" s="228"/>
      <c r="F62" s="229"/>
      <c r="G62" s="166"/>
      <c r="H62" s="166"/>
      <c r="I62" s="230"/>
    </row>
    <row r="63" spans="1:9" s="160" customFormat="1" ht="15.75">
      <c r="A63" s="284"/>
      <c r="B63" s="285"/>
      <c r="C63" s="286"/>
      <c r="D63" s="287"/>
      <c r="E63" s="189"/>
      <c r="F63" s="288"/>
      <c r="G63" s="164"/>
      <c r="H63" s="164"/>
      <c r="I63" s="289"/>
    </row>
    <row r="64" spans="1:9" s="160" customFormat="1" ht="15">
      <c r="A64" s="175">
        <v>34</v>
      </c>
      <c r="B64" s="223"/>
      <c r="C64" s="223"/>
      <c r="D64" s="177" t="s">
        <v>845</v>
      </c>
      <c r="E64" s="177"/>
      <c r="F64" s="245"/>
      <c r="G64" s="246" t="s">
        <v>434</v>
      </c>
      <c r="H64" s="236"/>
      <c r="I64" s="261">
        <f>I43+I60</f>
        <v>160753839.27392241</v>
      </c>
    </row>
    <row r="65" spans="1:9" s="160" customFormat="1" ht="15">
      <c r="A65" s="175"/>
      <c r="B65" s="223"/>
      <c r="C65" s="223"/>
      <c r="D65" s="177"/>
      <c r="E65" s="177"/>
      <c r="F65" s="245"/>
      <c r="G65" s="246"/>
      <c r="H65" s="236"/>
      <c r="I65" s="261"/>
    </row>
    <row r="66" spans="1:9" s="160" customFormat="1" ht="15">
      <c r="A66" s="175">
        <v>35</v>
      </c>
      <c r="B66" s="223"/>
      <c r="C66" s="223"/>
      <c r="D66" s="177" t="s">
        <v>436</v>
      </c>
      <c r="E66" s="177"/>
      <c r="F66" s="245"/>
      <c r="G66" s="246" t="s">
        <v>725</v>
      </c>
      <c r="H66" s="236"/>
      <c r="I66" s="261">
        <f>'Attachment H-28A MAIT '!I179</f>
        <v>122537855.82994714</v>
      </c>
    </row>
    <row r="67" spans="1:9" s="160" customFormat="1" ht="15">
      <c r="A67" s="175">
        <v>36</v>
      </c>
      <c r="B67" s="223"/>
      <c r="C67" s="223"/>
      <c r="D67" s="177" t="s">
        <v>437</v>
      </c>
      <c r="E67" s="177"/>
      <c r="F67" s="245"/>
      <c r="G67" s="246" t="s">
        <v>748</v>
      </c>
      <c r="H67" s="236"/>
      <c r="I67" s="261">
        <f>'Attachment H-28A MAIT '!I177</f>
        <v>38215983.44397527</v>
      </c>
    </row>
    <row r="68" spans="1:9" s="160" customFormat="1" ht="15">
      <c r="A68" s="175">
        <v>37</v>
      </c>
      <c r="B68" s="223"/>
      <c r="C68" s="223"/>
      <c r="D68" s="177" t="s">
        <v>846</v>
      </c>
      <c r="E68" s="177"/>
      <c r="F68" s="245"/>
      <c r="G68" s="246" t="s">
        <v>455</v>
      </c>
      <c r="H68" s="236"/>
      <c r="I68" s="261">
        <f>I66+I67</f>
        <v>160753839.27392241</v>
      </c>
    </row>
    <row r="69" spans="1:9" s="160" customFormat="1" ht="15">
      <c r="A69" s="175">
        <v>38</v>
      </c>
      <c r="B69" s="223"/>
      <c r="C69" s="223"/>
      <c r="D69" s="177" t="s">
        <v>845</v>
      </c>
      <c r="E69" s="177"/>
      <c r="F69" s="245"/>
      <c r="G69" s="246" t="s">
        <v>435</v>
      </c>
      <c r="H69" s="236"/>
      <c r="I69" s="261">
        <f>I64</f>
        <v>160753839.27392241</v>
      </c>
    </row>
    <row r="70" spans="1:10" s="160" customFormat="1" ht="15">
      <c r="A70" s="175">
        <v>39</v>
      </c>
      <c r="B70" s="223"/>
      <c r="C70" s="223"/>
      <c r="D70" s="177" t="s">
        <v>847</v>
      </c>
      <c r="E70" s="177"/>
      <c r="F70" s="245"/>
      <c r="G70" s="246" t="s">
        <v>456</v>
      </c>
      <c r="H70" s="236"/>
      <c r="I70" s="261">
        <f>I69-I68</f>
        <v>0</v>
      </c>
      <c r="J70" s="318"/>
    </row>
    <row r="71" spans="1:9" s="160" customFormat="1" ht="15">
      <c r="A71" s="175">
        <v>40</v>
      </c>
      <c r="B71" s="223"/>
      <c r="C71" s="223"/>
      <c r="D71" s="177" t="s">
        <v>439</v>
      </c>
      <c r="E71" s="177"/>
      <c r="F71" s="245"/>
      <c r="G71" s="246" t="s">
        <v>438</v>
      </c>
      <c r="H71" s="236"/>
      <c r="I71" s="261">
        <f>I11</f>
        <v>1604409618.4188285</v>
      </c>
    </row>
    <row r="72" spans="1:10" s="160" customFormat="1" ht="15">
      <c r="A72" s="175">
        <v>41</v>
      </c>
      <c r="B72" s="223"/>
      <c r="C72" s="223"/>
      <c r="D72" s="177" t="s">
        <v>848</v>
      </c>
      <c r="E72" s="177"/>
      <c r="F72" s="245"/>
      <c r="G72" s="246" t="s">
        <v>457</v>
      </c>
      <c r="H72" s="236"/>
      <c r="I72" s="281">
        <f>I70/I71</f>
        <v>0</v>
      </c>
      <c r="J72" s="318"/>
    </row>
    <row r="73" spans="1:9" s="160" customFormat="1" ht="15">
      <c r="A73" s="175"/>
      <c r="B73" s="223"/>
      <c r="C73" s="223"/>
      <c r="D73" s="177"/>
      <c r="E73" s="177"/>
      <c r="F73" s="245"/>
      <c r="G73" s="246"/>
      <c r="H73" s="236"/>
      <c r="I73" s="261"/>
    </row>
    <row r="74" spans="1:9" s="160" customFormat="1" ht="15">
      <c r="A74" s="175"/>
      <c r="B74" s="223"/>
      <c r="C74" s="223"/>
      <c r="D74" s="177"/>
      <c r="E74" s="177"/>
      <c r="F74" s="245"/>
      <c r="G74" s="246"/>
      <c r="H74" s="236"/>
      <c r="I74" s="247"/>
    </row>
    <row r="75" spans="1:9" s="160" customFormat="1" ht="15.75">
      <c r="A75" s="175" t="s">
        <v>261</v>
      </c>
      <c r="B75" s="223"/>
      <c r="C75" s="223"/>
      <c r="D75" s="177"/>
      <c r="E75" s="177"/>
      <c r="F75" s="245"/>
      <c r="G75" s="246"/>
      <c r="H75" s="236"/>
      <c r="I75" s="248"/>
    </row>
    <row r="76" spans="1:11" s="160" customFormat="1" ht="31.5" customHeight="1">
      <c r="A76" s="175"/>
      <c r="B76" s="1186" t="s">
        <v>849</v>
      </c>
      <c r="C76" s="1186"/>
      <c r="D76" s="1186"/>
      <c r="E76" s="1186"/>
      <c r="F76" s="1186"/>
      <c r="G76" s="1186"/>
      <c r="H76" s="1186"/>
      <c r="I76" s="1186"/>
      <c r="J76" s="1186"/>
      <c r="K76" s="1186"/>
    </row>
    <row r="77" spans="1:10" s="160" customFormat="1" ht="15.75">
      <c r="A77" s="175"/>
      <c r="B77" s="223"/>
      <c r="C77" s="264"/>
      <c r="D77" s="184"/>
      <c r="E77" s="250"/>
      <c r="F77" s="251"/>
      <c r="G77" s="249"/>
      <c r="H77" s="252"/>
      <c r="I77" s="253"/>
      <c r="J77" s="199"/>
    </row>
    <row r="78" spans="1:12" s="160" customFormat="1" ht="36" customHeight="1">
      <c r="A78" s="175"/>
      <c r="B78" s="1102"/>
      <c r="C78" s="1187"/>
      <c r="D78" s="1187"/>
      <c r="E78" s="1187"/>
      <c r="F78" s="1187"/>
      <c r="G78" s="1187"/>
      <c r="H78" s="1187"/>
      <c r="I78" s="1187"/>
      <c r="J78" s="1187"/>
      <c r="K78" s="1187"/>
      <c r="L78" s="1107"/>
    </row>
    <row r="79" spans="1:9" s="160" customFormat="1" ht="15">
      <c r="A79" s="175"/>
      <c r="B79" s="223"/>
      <c r="C79" s="223"/>
      <c r="D79" s="246"/>
      <c r="E79" s="177"/>
      <c r="F79" s="161"/>
      <c r="G79" s="254"/>
      <c r="H79" s="255"/>
      <c r="I79" s="256"/>
    </row>
    <row r="80" spans="1:1" s="160" customFormat="1" ht="15">
      <c r="A80" s="164"/>
    </row>
    <row r="81" spans="1:1" ht="12.75">
      <c r="A81" s="257"/>
    </row>
    <row r="82" spans="1:1" ht="12.75">
      <c r="A82" s="257"/>
    </row>
    <row r="83" spans="1:1" ht="12.75">
      <c r="A83" s="257"/>
    </row>
    <row r="84" spans="1:1" ht="12.75">
      <c r="A84" s="257"/>
    </row>
    <row r="85" spans="1:1" ht="12.75">
      <c r="A85" s="257"/>
    </row>
    <row r="86" spans="1:1" ht="12.75">
      <c r="A86" s="257"/>
    </row>
    <row r="87" spans="1:1" ht="12.75">
      <c r="A87" s="257"/>
    </row>
    <row r="88" spans="1:1" ht="12.75">
      <c r="A88" s="257"/>
    </row>
    <row r="89" spans="1:1" ht="12.75">
      <c r="A89" s="257"/>
    </row>
    <row r="90" spans="1:1" ht="12.75">
      <c r="A90" s="257"/>
    </row>
    <row r="91" spans="1:1" ht="12.75">
      <c r="A91" s="257"/>
    </row>
    <row r="92" spans="1:1" ht="12.75">
      <c r="A92" s="257"/>
    </row>
    <row r="93" spans="1:1" ht="12.75">
      <c r="A93" s="257"/>
    </row>
    <row r="94" spans="1:1" ht="12.75">
      <c r="A94" s="257"/>
    </row>
    <row r="95" spans="1:1" ht="12.75">
      <c r="A95" s="257"/>
    </row>
    <row r="96" spans="1:1" ht="12.75">
      <c r="A96" s="257"/>
    </row>
    <row r="97" spans="1:1" ht="12.75">
      <c r="A97" s="257"/>
    </row>
    <row r="98" spans="1:1" ht="12.75">
      <c r="A98" s="257"/>
    </row>
    <row r="99" spans="1:1" ht="12.75">
      <c r="A99" s="257"/>
    </row>
    <row r="100" spans="1:1" ht="12.75">
      <c r="A100" s="257"/>
    </row>
    <row r="101" spans="1:1" ht="12.75">
      <c r="A101" s="257"/>
    </row>
    <row r="102" spans="1:1" ht="12.75">
      <c r="A102" s="257"/>
    </row>
    <row r="103" spans="1:1" ht="12.75">
      <c r="A103" s="257"/>
    </row>
    <row r="104" spans="1:1" ht="12.75">
      <c r="A104" s="257"/>
    </row>
    <row r="105" spans="1:1" ht="12.75">
      <c r="A105" s="257"/>
    </row>
    <row r="106" spans="1:1" ht="12.75">
      <c r="A106" s="257"/>
    </row>
    <row r="107" spans="1:1" ht="12.75">
      <c r="A107" s="257"/>
    </row>
    <row r="108" spans="1:1" ht="12.75">
      <c r="A108" s="257"/>
    </row>
    <row r="109" spans="1:1" ht="12.75">
      <c r="A109" s="257"/>
    </row>
    <row r="110" spans="1:1" ht="12.75">
      <c r="A110" s="257"/>
    </row>
    <row r="111" spans="1:1" ht="12.75">
      <c r="A111" s="257"/>
    </row>
    <row r="112" spans="1:1" ht="12.75">
      <c r="A112" s="257"/>
    </row>
    <row r="113" spans="1:1" ht="12.75">
      <c r="A113" s="257"/>
    </row>
    <row r="114" spans="1:1" ht="12.75">
      <c r="A114" s="257"/>
    </row>
    <row r="115" spans="1:1" ht="12.75">
      <c r="A115" s="257"/>
    </row>
    <row r="116" spans="1:1" ht="12.75">
      <c r="A116" s="257"/>
    </row>
    <row r="117" spans="1:1" ht="12.75">
      <c r="A117" s="257"/>
    </row>
    <row r="118" spans="1:1" ht="12.75">
      <c r="A118" s="257"/>
    </row>
    <row r="119" spans="1:1" ht="12.75">
      <c r="A119" s="257"/>
    </row>
    <row r="120" spans="1:1" ht="12.75">
      <c r="A120" s="257"/>
    </row>
    <row r="121" spans="1:1" ht="12.75">
      <c r="A121" s="257"/>
    </row>
    <row r="122" spans="1:1" ht="12.75">
      <c r="A122" s="257"/>
    </row>
    <row r="123" spans="1:1" ht="12.75">
      <c r="A123" s="257"/>
    </row>
    <row r="124" spans="1:1" ht="12.75">
      <c r="A124" s="257"/>
    </row>
    <row r="125" spans="1:1" ht="12.75">
      <c r="A125" s="257"/>
    </row>
    <row r="126" spans="1:1" ht="12.75">
      <c r="A126" s="257"/>
    </row>
    <row r="127" spans="1:1" ht="12.75">
      <c r="A127" s="257"/>
    </row>
    <row r="128" spans="1:1" ht="12.75">
      <c r="A128" s="257"/>
    </row>
    <row r="129" spans="1:1" ht="12.75">
      <c r="A129" s="257"/>
    </row>
    <row r="130" spans="1:1" ht="12.75">
      <c r="A130" s="257"/>
    </row>
    <row r="131" spans="1:1" ht="12.75">
      <c r="A131" s="257"/>
    </row>
    <row r="132" spans="1:1" ht="12.75">
      <c r="A132" s="257"/>
    </row>
    <row r="133" spans="1:1" ht="12.75">
      <c r="A133" s="257"/>
    </row>
    <row r="134" spans="1:1" ht="12.75">
      <c r="A134" s="257"/>
    </row>
    <row r="135" spans="1:1" ht="12.75">
      <c r="A135" s="257"/>
    </row>
    <row r="136" spans="1:1" ht="12.75">
      <c r="A136" s="257"/>
    </row>
    <row r="137" spans="1:1" ht="12.75">
      <c r="A137" s="257"/>
    </row>
    <row r="138" spans="1:1" ht="12.75">
      <c r="A138" s="257"/>
    </row>
    <row r="139" spans="1:1" ht="12.75">
      <c r="A139" s="257"/>
    </row>
    <row r="140" spans="1:1" ht="12.75">
      <c r="A140" s="257"/>
    </row>
    <row r="141" spans="1:1" ht="12.75">
      <c r="A141" s="257"/>
    </row>
    <row r="142" spans="1:1" ht="12.75">
      <c r="A142" s="257"/>
    </row>
    <row r="143" spans="1:1" ht="12.75">
      <c r="A143" s="257"/>
    </row>
    <row r="144" spans="1:1" ht="12.75">
      <c r="A144" s="257"/>
    </row>
    <row r="145" spans="1:1" ht="12.75">
      <c r="A145" s="257"/>
    </row>
    <row r="146" spans="1:1" ht="12.75">
      <c r="A146" s="257"/>
    </row>
    <row r="147" spans="1:1" ht="12.75">
      <c r="A147" s="257"/>
    </row>
    <row r="148" spans="1:1" ht="12.75">
      <c r="A148" s="257"/>
    </row>
    <row r="149" spans="1:1" ht="12.75">
      <c r="A149" s="257"/>
    </row>
    <row r="150" spans="1:1" ht="12.75">
      <c r="A150" s="257"/>
    </row>
    <row r="151" spans="1:1" ht="12.75">
      <c r="A151" s="257"/>
    </row>
    <row r="152" spans="1:1" ht="12.75">
      <c r="A152" s="257"/>
    </row>
    <row r="153" spans="1:1" ht="12.75">
      <c r="A153" s="257"/>
    </row>
    <row r="154" spans="1:1" ht="12.75">
      <c r="A154" s="257"/>
    </row>
    <row r="155" spans="1:1" ht="12.75">
      <c r="A155" s="257"/>
    </row>
    <row r="156" spans="1:1" ht="12.75">
      <c r="A156" s="257"/>
    </row>
    <row r="157" spans="1:1" ht="12.75">
      <c r="A157" s="257"/>
    </row>
    <row r="158" spans="1:1" ht="12.75">
      <c r="A158" s="257"/>
    </row>
    <row r="159" spans="1:1" ht="12.75">
      <c r="A159" s="257"/>
    </row>
    <row r="160" spans="1:1" ht="12.75">
      <c r="A160" s="257"/>
    </row>
    <row r="161" spans="1:1" ht="12.75">
      <c r="A161" s="257"/>
    </row>
    <row r="162" spans="1:1" ht="12.75">
      <c r="A162" s="257"/>
    </row>
    <row r="163" spans="1:1" ht="12.75">
      <c r="A163" s="257"/>
    </row>
    <row r="164" spans="1:1" ht="12.75">
      <c r="A164" s="257"/>
    </row>
    <row r="165" spans="1:1" ht="12.75">
      <c r="A165" s="257"/>
    </row>
    <row r="166" spans="1:1" ht="12.75">
      <c r="A166" s="257"/>
    </row>
    <row r="167" spans="1:1" ht="12.75">
      <c r="A167" s="257"/>
    </row>
    <row r="168" spans="1:1" ht="12.75">
      <c r="A168" s="257"/>
    </row>
    <row r="169" spans="1:1" ht="12.75">
      <c r="A169" s="257"/>
    </row>
    <row r="170" spans="1:1" ht="12.75">
      <c r="A170" s="257"/>
    </row>
    <row r="171" spans="1:1" ht="12.75">
      <c r="A171" s="257"/>
    </row>
    <row r="172" spans="1:1" ht="12.75">
      <c r="A172" s="257"/>
    </row>
    <row r="173" spans="1:1" ht="12.75">
      <c r="A173" s="257"/>
    </row>
    <row r="174" spans="1:1" ht="12.75">
      <c r="A174" s="257"/>
    </row>
    <row r="175" spans="1:1" ht="12.75">
      <c r="A175" s="257"/>
    </row>
    <row r="176" spans="1:1" ht="12.75">
      <c r="A176" s="257"/>
    </row>
    <row r="177" spans="1:1" ht="12.75">
      <c r="A177" s="257"/>
    </row>
    <row r="178" spans="1:1" ht="12.75">
      <c r="A178" s="257"/>
    </row>
    <row r="179" spans="1:1" ht="12.75">
      <c r="A179" s="257"/>
    </row>
    <row r="180" spans="1:1" ht="12.75">
      <c r="A180" s="257"/>
    </row>
    <row r="181" spans="1:1" ht="12.75">
      <c r="A181" s="257"/>
    </row>
    <row r="182" spans="1:1" ht="12.75">
      <c r="A182" s="257"/>
    </row>
    <row r="183" spans="1:1" ht="12.75">
      <c r="A183" s="257"/>
    </row>
    <row r="184" spans="1:1" ht="12.75">
      <c r="A184" s="257"/>
    </row>
    <row r="185" spans="1:1" ht="12.75">
      <c r="A185" s="257"/>
    </row>
    <row r="186" spans="1:1" ht="12.75">
      <c r="A186" s="257"/>
    </row>
    <row r="187" spans="1:1" ht="12.75">
      <c r="A187" s="257"/>
    </row>
    <row r="188" spans="1:1" ht="12.75">
      <c r="A188" s="257"/>
    </row>
    <row r="189" spans="1:1" ht="12.75">
      <c r="A189" s="257"/>
    </row>
    <row r="190" spans="1:1" ht="12.75">
      <c r="A190" s="257"/>
    </row>
    <row r="191" spans="1:1" ht="12.75">
      <c r="A191" s="257"/>
    </row>
    <row r="192" spans="1:1" ht="12.75">
      <c r="A192" s="257"/>
    </row>
    <row r="193" spans="1:1" ht="12.75">
      <c r="A193" s="257"/>
    </row>
    <row r="194" spans="1:1" ht="12.75">
      <c r="A194" s="257"/>
    </row>
    <row r="195" spans="1:1" ht="12.75">
      <c r="A195" s="257"/>
    </row>
    <row r="196" spans="1:1" ht="12.75">
      <c r="A196" s="257"/>
    </row>
    <row r="197" spans="1:1" ht="12.75">
      <c r="A197" s="257"/>
    </row>
    <row r="198" spans="1:1" ht="12.75">
      <c r="A198" s="257"/>
    </row>
    <row r="199" spans="1:1" ht="12.75">
      <c r="A199" s="257"/>
    </row>
    <row r="200" spans="1:1" ht="12.75">
      <c r="A200" s="257"/>
    </row>
    <row r="201" spans="1:1" ht="12.75">
      <c r="A201" s="257"/>
    </row>
    <row r="202" spans="1:1" ht="12.75">
      <c r="A202" s="257"/>
    </row>
    <row r="203" spans="1:1" ht="12.75">
      <c r="A203" s="257"/>
    </row>
    <row r="204" spans="1:1" ht="12.75">
      <c r="A204" s="257"/>
    </row>
    <row r="205" spans="1:1" ht="12.75">
      <c r="A205" s="257"/>
    </row>
    <row r="206" spans="1:1" ht="12.75">
      <c r="A206" s="257"/>
    </row>
    <row r="207" spans="1:1" ht="12.75">
      <c r="A207" s="257"/>
    </row>
    <row r="208" spans="1:1" ht="12.75">
      <c r="A208" s="257"/>
    </row>
    <row r="209" spans="1:1" ht="12.75">
      <c r="A209" s="257"/>
    </row>
    <row r="210" spans="1:1" ht="12.75">
      <c r="A210" s="257"/>
    </row>
    <row r="211" spans="1:1" ht="12.75">
      <c r="A211" s="257"/>
    </row>
    <row r="212" spans="1:1" ht="12.75">
      <c r="A212" s="257"/>
    </row>
    <row r="213" spans="1:1" ht="12.75">
      <c r="A213" s="257"/>
    </row>
    <row r="214" spans="1:1" ht="12.75">
      <c r="A214" s="257"/>
    </row>
    <row r="215" spans="1:1" ht="12.75">
      <c r="A215" s="257"/>
    </row>
    <row r="216" spans="1:1" ht="12.75">
      <c r="A216" s="257"/>
    </row>
    <row r="217" spans="1:1" ht="12.75">
      <c r="A217" s="257"/>
    </row>
    <row r="218" spans="1:1" ht="12.75">
      <c r="A218" s="257"/>
    </row>
    <row r="219" spans="1:1" ht="12.75">
      <c r="A219" s="257"/>
    </row>
    <row r="220" spans="1:1" ht="12.75">
      <c r="A220" s="257"/>
    </row>
    <row r="221" spans="1:1" ht="12.75">
      <c r="A221" s="257"/>
    </row>
    <row r="222" spans="1:1" ht="12.75">
      <c r="A222" s="257"/>
    </row>
    <row r="223" spans="1:1" ht="12.75">
      <c r="A223" s="257"/>
    </row>
    <row r="224" spans="1:1" ht="12.75">
      <c r="A224" s="257"/>
    </row>
    <row r="225" spans="1:1" ht="12.75">
      <c r="A225" s="257"/>
    </row>
    <row r="226" spans="1:1" ht="12.75">
      <c r="A226" s="257"/>
    </row>
    <row r="227" spans="1:1" ht="12.75">
      <c r="A227" s="257"/>
    </row>
    <row r="228" spans="1:1" ht="12.75">
      <c r="A228" s="257"/>
    </row>
    <row r="229" spans="1:1" ht="12.75">
      <c r="A229" s="257"/>
    </row>
    <row r="230" spans="1:1" ht="12.75">
      <c r="A230" s="257"/>
    </row>
    <row r="231" spans="1:1" ht="12.75">
      <c r="A231" s="257"/>
    </row>
    <row r="232" spans="1:1" ht="12.75">
      <c r="A232" s="257"/>
    </row>
    <row r="233" spans="1:1" ht="12.75">
      <c r="A233" s="257"/>
    </row>
    <row r="234" spans="1:1" ht="12.75">
      <c r="A234" s="257"/>
    </row>
    <row r="235" spans="1:1" ht="12.75">
      <c r="A235" s="257"/>
    </row>
    <row r="236" spans="1:1" ht="12.75">
      <c r="A236" s="257"/>
    </row>
    <row r="237" spans="1:1" ht="12.75">
      <c r="A237" s="257"/>
    </row>
    <row r="238" spans="1:1" ht="12.75">
      <c r="A238" s="257"/>
    </row>
    <row r="239" spans="1:1" ht="12.75">
      <c r="A239" s="257"/>
    </row>
    <row r="240" spans="1:1" ht="12.75">
      <c r="A240" s="257"/>
    </row>
    <row r="241" spans="1:1" ht="12.75">
      <c r="A241" s="257"/>
    </row>
    <row r="242" spans="1:1" ht="12.75">
      <c r="A242" s="257"/>
    </row>
    <row r="243" spans="1:1" ht="12.75">
      <c r="A243" s="257"/>
    </row>
    <row r="244" spans="1:1" ht="12.75">
      <c r="A244" s="257"/>
    </row>
    <row r="245" spans="1:1" ht="12.75">
      <c r="A245" s="257"/>
    </row>
    <row r="246" spans="1:1" ht="12.75">
      <c r="A246" s="257"/>
    </row>
    <row r="247" spans="1:1" ht="12.75">
      <c r="A247" s="257"/>
    </row>
    <row r="248" spans="1:1" ht="12.75">
      <c r="A248" s="257"/>
    </row>
    <row r="249" spans="1:1" ht="12.75">
      <c r="A249" s="257"/>
    </row>
    <row r="250" spans="1:1" ht="12.75">
      <c r="A250" s="257"/>
    </row>
    <row r="251" spans="1:1" ht="12.75">
      <c r="A251" s="257"/>
    </row>
    <row r="252" spans="1:1" ht="12.75">
      <c r="A252" s="257"/>
    </row>
    <row r="253" spans="1:1" ht="12.75">
      <c r="A253" s="257"/>
    </row>
    <row r="254" spans="1:1" ht="12.75">
      <c r="A254" s="257"/>
    </row>
    <row r="255" spans="1:1" ht="12.75">
      <c r="A255" s="257"/>
    </row>
    <row r="256" spans="1:1" ht="12.75">
      <c r="A256" s="257"/>
    </row>
    <row r="257" spans="1:1" ht="12.75">
      <c r="A257" s="257"/>
    </row>
    <row r="258" spans="1:1" ht="12.75">
      <c r="A258" s="257"/>
    </row>
    <row r="259" spans="1:1" ht="12.75">
      <c r="A259" s="257"/>
    </row>
    <row r="260" spans="1:1" ht="12.75">
      <c r="A260" s="257"/>
    </row>
    <row r="261" spans="1:1" ht="12.75">
      <c r="A261" s="257"/>
    </row>
    <row r="262" spans="1:1" ht="12.75">
      <c r="A262" s="257"/>
    </row>
    <row r="263" spans="1:1" ht="12.75">
      <c r="A263" s="257"/>
    </row>
    <row r="264" spans="1:1" ht="12.75">
      <c r="A264" s="257"/>
    </row>
    <row r="265" spans="1:1" ht="12.75">
      <c r="A265" s="257"/>
    </row>
    <row r="266" spans="1:1" ht="12.75">
      <c r="A266" s="257"/>
    </row>
    <row r="267" spans="1:1" ht="12.75">
      <c r="A267" s="257"/>
    </row>
    <row r="268" spans="1:1" ht="12.75">
      <c r="A268" s="257"/>
    </row>
    <row r="269" spans="1:1" ht="12.75">
      <c r="A269" s="257"/>
    </row>
    <row r="270" spans="1:1" ht="12.75">
      <c r="A270" s="257"/>
    </row>
    <row r="271" spans="1:1" ht="12.75">
      <c r="A271" s="257"/>
    </row>
    <row r="272" spans="1:1" ht="12.75">
      <c r="A272" s="257"/>
    </row>
    <row r="273" spans="1:1" ht="12.75">
      <c r="A273" s="257"/>
    </row>
    <row r="274" spans="1:1" ht="12.75">
      <c r="A274" s="257"/>
    </row>
    <row r="275" spans="1:1" ht="12.75">
      <c r="A275" s="257"/>
    </row>
    <row r="276" spans="1:1" ht="12.75">
      <c r="A276" s="257"/>
    </row>
    <row r="277" spans="1:1" ht="12.75">
      <c r="A277" s="257"/>
    </row>
    <row r="278" spans="1:1" ht="12.75">
      <c r="A278" s="257"/>
    </row>
    <row r="279" spans="1:1" ht="12.75">
      <c r="A279" s="257"/>
    </row>
    <row r="280" spans="1:1" ht="12.75">
      <c r="A280" s="257"/>
    </row>
    <row r="281" spans="1:1" ht="12.75">
      <c r="A281" s="257"/>
    </row>
    <row r="282" spans="1:1" ht="12.75">
      <c r="A282" s="257"/>
    </row>
    <row r="283" spans="1:1" ht="12.75">
      <c r="A283" s="257"/>
    </row>
    <row r="284" spans="1:1" ht="12.75">
      <c r="A284" s="257"/>
    </row>
    <row r="285" spans="1:1" ht="12.75">
      <c r="A285" s="257"/>
    </row>
    <row r="286" spans="1:1" ht="12.75">
      <c r="A286" s="257"/>
    </row>
    <row r="287" spans="1:1" ht="12.75">
      <c r="A287" s="257"/>
    </row>
    <row r="288" spans="1:1" ht="12.75">
      <c r="A288" s="257"/>
    </row>
    <row r="289" spans="1:1" ht="12.75">
      <c r="A289" s="257"/>
    </row>
    <row r="290" spans="1:1" ht="12.75">
      <c r="A290" s="257"/>
    </row>
    <row r="291" spans="1:1" ht="12.75">
      <c r="A291" s="257"/>
    </row>
    <row r="292" spans="1:1" ht="12.75">
      <c r="A292" s="257"/>
    </row>
    <row r="293" spans="1:1" ht="12.75">
      <c r="A293" s="257"/>
    </row>
    <row r="294" spans="1:1" ht="12.75">
      <c r="A294" s="257"/>
    </row>
    <row r="295" spans="1:1" ht="12.75">
      <c r="A295" s="257"/>
    </row>
    <row r="296" spans="1:1" ht="12.75">
      <c r="A296" s="257"/>
    </row>
    <row r="297" spans="1:1" ht="12.75">
      <c r="A297" s="257"/>
    </row>
    <row r="298" spans="1:1" ht="12.75">
      <c r="A298" s="257"/>
    </row>
    <row r="299" spans="1:1" ht="12.75">
      <c r="A299" s="257"/>
    </row>
    <row r="300" spans="1:1" ht="12.75">
      <c r="A300" s="257"/>
    </row>
    <row r="301" spans="1:1" ht="12.75">
      <c r="A301" s="257"/>
    </row>
    <row r="302" spans="1:1" ht="12.75">
      <c r="A302" s="257"/>
    </row>
    <row r="303" spans="1:1" ht="12.75">
      <c r="A303" s="257"/>
    </row>
    <row r="304" spans="1:1" ht="12.75">
      <c r="A304" s="257"/>
    </row>
    <row r="305" spans="1:1" ht="12.75">
      <c r="A305" s="257"/>
    </row>
    <row r="306" spans="1:1" ht="12.75">
      <c r="A306" s="257"/>
    </row>
    <row r="307" spans="1:1" ht="12.75">
      <c r="A307" s="257"/>
    </row>
    <row r="308" spans="1:1" ht="12.75">
      <c r="A308" s="257"/>
    </row>
    <row r="309" spans="1:6" ht="12.75">
      <c r="A309" s="258"/>
      <c r="B309" s="258"/>
      <c r="C309" s="258"/>
      <c r="D309" s="258"/>
      <c r="E309" s="258"/>
      <c r="F309" s="258"/>
    </row>
    <row r="310" spans="1:6" ht="12.75">
      <c r="A310" s="258"/>
      <c r="B310" s="258"/>
      <c r="C310" s="258"/>
      <c r="D310" s="258"/>
      <c r="E310" s="258"/>
      <c r="F310" s="258"/>
    </row>
    <row r="311" spans="1:6" ht="12.75">
      <c r="A311" s="258"/>
      <c r="B311" s="258"/>
      <c r="C311" s="258"/>
      <c r="D311" s="258"/>
      <c r="E311" s="258"/>
      <c r="F311" s="258"/>
    </row>
    <row r="312" spans="1:6" ht="12.75">
      <c r="A312" s="258"/>
      <c r="B312" s="258"/>
      <c r="C312" s="258"/>
      <c r="D312" s="258"/>
      <c r="E312" s="258"/>
      <c r="F312" s="258"/>
    </row>
    <row r="313" spans="1:6" ht="12.75">
      <c r="A313" s="258"/>
      <c r="B313" s="258"/>
      <c r="C313" s="258"/>
      <c r="D313" s="258"/>
      <c r="E313" s="258"/>
      <c r="F313" s="258"/>
    </row>
    <row r="314" spans="1:6" ht="12.75">
      <c r="A314" s="258"/>
      <c r="B314" s="258"/>
      <c r="C314" s="258"/>
      <c r="D314" s="258"/>
      <c r="E314" s="258"/>
      <c r="F314" s="258"/>
    </row>
    <row r="315" spans="1:6" ht="12.75">
      <c r="A315" s="258"/>
      <c r="B315" s="258"/>
      <c r="C315" s="258"/>
      <c r="D315" s="258"/>
      <c r="E315" s="258"/>
      <c r="F315" s="258"/>
    </row>
    <row r="316" spans="1:6" ht="12.75">
      <c r="A316" s="258"/>
      <c r="B316" s="258"/>
      <c r="C316" s="258"/>
      <c r="D316" s="258"/>
      <c r="E316" s="258"/>
      <c r="F316" s="258"/>
    </row>
    <row r="317" spans="1:6" ht="12.75">
      <c r="A317" s="258"/>
      <c r="B317" s="258"/>
      <c r="C317" s="258"/>
      <c r="D317" s="258"/>
      <c r="E317" s="258"/>
      <c r="F317" s="258"/>
    </row>
    <row r="318" spans="1:1" ht="12.75">
      <c r="A318" s="257"/>
    </row>
    <row r="319" spans="1:1" ht="12.75">
      <c r="A319" s="257"/>
    </row>
    <row r="320" spans="1:1" ht="12.75">
      <c r="A320" s="257"/>
    </row>
    <row r="321" spans="1:1" ht="12.75">
      <c r="A321" s="257"/>
    </row>
    <row r="322" spans="1:1" ht="12.75">
      <c r="A322" s="257"/>
    </row>
    <row r="323" spans="1:1" ht="12.75">
      <c r="A323" s="257"/>
    </row>
    <row r="324" spans="1:1" ht="12.75">
      <c r="A324" s="257"/>
    </row>
    <row r="325" spans="1:1" ht="12.75">
      <c r="A325" s="257"/>
    </row>
    <row r="326" spans="1:1" ht="12.75">
      <c r="A326" s="257"/>
    </row>
    <row r="327" spans="1:1" ht="12.75">
      <c r="A327" s="257"/>
    </row>
    <row r="328" spans="1:1" ht="12.75">
      <c r="A328" s="257"/>
    </row>
    <row r="329" spans="1:1" ht="12.75">
      <c r="A329" s="257"/>
    </row>
    <row r="330" spans="1:1" ht="12.75">
      <c r="A330" s="257"/>
    </row>
    <row r="331" spans="1:1" ht="12.75">
      <c r="A331" s="257"/>
    </row>
    <row r="332" spans="1:1" ht="12.75">
      <c r="A332" s="257"/>
    </row>
    <row r="333" spans="1:1" ht="12.75">
      <c r="A333" s="257"/>
    </row>
    <row r="334" spans="1:1" ht="12.75">
      <c r="A334" s="257"/>
    </row>
    <row r="335" spans="1:1" ht="12.75">
      <c r="A335" s="257"/>
    </row>
    <row r="336" spans="1:1" ht="12.75">
      <c r="A336" s="257"/>
    </row>
    <row r="337" spans="1:1" ht="12.75">
      <c r="A337" s="257"/>
    </row>
    <row r="338" spans="1:1" ht="12.75">
      <c r="A338" s="257"/>
    </row>
    <row r="339" spans="1:1" ht="12.75">
      <c r="A339" s="257"/>
    </row>
    <row r="340" spans="1:1" ht="12.75">
      <c r="A340" s="257"/>
    </row>
    <row r="341" spans="1:1" ht="12.75">
      <c r="A341" s="257"/>
    </row>
    <row r="342" spans="1:1" ht="12.75">
      <c r="A342" s="257"/>
    </row>
    <row r="343" spans="1:1" ht="12.75">
      <c r="A343" s="257"/>
    </row>
    <row r="344" spans="1:1" ht="12.75">
      <c r="A344" s="257"/>
    </row>
    <row r="345" spans="1:1" ht="12.75">
      <c r="A345" s="257"/>
    </row>
    <row r="346" spans="1:1" ht="12.75">
      <c r="A346" s="257"/>
    </row>
    <row r="347" spans="1:1" ht="12.75">
      <c r="A347" s="257"/>
    </row>
    <row r="348" spans="1:1" ht="12.75">
      <c r="A348" s="257"/>
    </row>
    <row r="349" spans="1:1" ht="12.75">
      <c r="A349" s="257"/>
    </row>
    <row r="350" spans="1:1" ht="12.75">
      <c r="A350" s="257"/>
    </row>
    <row r="351" spans="1:1" ht="12.75">
      <c r="A351" s="257"/>
    </row>
    <row r="352" spans="1:1" ht="12.75">
      <c r="A352" s="257"/>
    </row>
    <row r="353" spans="1:1" ht="12.75">
      <c r="A353" s="257"/>
    </row>
    <row r="354" spans="1:1" ht="12.75">
      <c r="A354" s="257"/>
    </row>
    <row r="355" spans="1:1" ht="12.75">
      <c r="A355" s="257"/>
    </row>
    <row r="356" spans="1:1" ht="12.75">
      <c r="A356" s="257"/>
    </row>
    <row r="357" spans="1:1" ht="12.75">
      <c r="A357" s="257"/>
    </row>
    <row r="358" spans="1:1" ht="12.75">
      <c r="A358" s="257"/>
    </row>
    <row r="359" spans="1:1" ht="12.75">
      <c r="A359" s="257"/>
    </row>
    <row r="360" spans="1:1" ht="12.75">
      <c r="A360" s="257"/>
    </row>
    <row r="361" spans="1:1" ht="12.75">
      <c r="A361" s="257"/>
    </row>
    <row r="362" spans="1:1" ht="12.75">
      <c r="A362" s="257"/>
    </row>
    <row r="363" spans="1:1" ht="12.75">
      <c r="A363" s="257"/>
    </row>
    <row r="364" spans="1:1" ht="12.75">
      <c r="A364" s="257"/>
    </row>
    <row r="365" spans="1:1" ht="12.75">
      <c r="A365" s="257"/>
    </row>
    <row r="366" spans="1:1" ht="12.75">
      <c r="A366" s="257"/>
    </row>
    <row r="367" spans="1:1" ht="12.75">
      <c r="A367" s="257"/>
    </row>
    <row r="368" spans="1:1" ht="12.75">
      <c r="A368" s="257"/>
    </row>
    <row r="369" spans="1:1" ht="12.75">
      <c r="A369" s="257"/>
    </row>
    <row r="370" spans="1:1" ht="12.75">
      <c r="A370" s="257"/>
    </row>
    <row r="371" spans="1:1" ht="12.75">
      <c r="A371" s="257"/>
    </row>
    <row r="372" spans="1:1" ht="12.75">
      <c r="A372" s="257"/>
    </row>
    <row r="373" spans="1:1" ht="12.75">
      <c r="A373" s="257"/>
    </row>
    <row r="374" spans="1:1" ht="12.75">
      <c r="A374" s="257"/>
    </row>
    <row r="375" spans="1:1" ht="12.75">
      <c r="A375" s="257"/>
    </row>
    <row r="376" spans="1:1" ht="12.75">
      <c r="A376" s="257"/>
    </row>
    <row r="377" spans="1:1" ht="12.75">
      <c r="A377" s="257"/>
    </row>
    <row r="378" spans="1:1" ht="12.75">
      <c r="A378" s="257"/>
    </row>
    <row r="379" spans="1:1" ht="12.75">
      <c r="A379" s="257"/>
    </row>
    <row r="380" spans="1:1" ht="12.75">
      <c r="A380" s="257"/>
    </row>
    <row r="381" spans="1:1" ht="12.75">
      <c r="A381" s="257"/>
    </row>
    <row r="382" spans="1:1" ht="12.75">
      <c r="A382" s="257"/>
    </row>
    <row r="383" spans="1:1" ht="12.75">
      <c r="A383" s="257"/>
    </row>
    <row r="384" spans="1:1" ht="12.75">
      <c r="A384" s="257"/>
    </row>
    <row r="385" spans="1:1" ht="12.75">
      <c r="A385" s="257"/>
    </row>
    <row r="386" spans="1:1" ht="12.75">
      <c r="A386" s="257"/>
    </row>
    <row r="387" spans="1:1" ht="12.75">
      <c r="A387" s="257"/>
    </row>
    <row r="388" spans="1:1" ht="12.75">
      <c r="A388" s="257"/>
    </row>
    <row r="389" spans="1:1" ht="12.75">
      <c r="A389" s="257"/>
    </row>
    <row r="390" spans="1:1" ht="12.75">
      <c r="A390" s="257"/>
    </row>
    <row r="391" spans="1:1" ht="12.75">
      <c r="A391" s="257"/>
    </row>
    <row r="392" spans="1:1" ht="12.75">
      <c r="A392" s="257"/>
    </row>
    <row r="393" spans="1:1" ht="12.75">
      <c r="A393" s="257"/>
    </row>
    <row r="394" spans="1:1" ht="12.75">
      <c r="A394" s="257"/>
    </row>
    <row r="395" spans="1:1" ht="12.75">
      <c r="A395" s="257"/>
    </row>
    <row r="396" spans="1:1" ht="12.75">
      <c r="A396" s="257"/>
    </row>
    <row r="397" spans="1:1" ht="12.75">
      <c r="A397" s="257"/>
    </row>
    <row r="398" spans="1:1" ht="12.75">
      <c r="A398" s="257"/>
    </row>
    <row r="399" spans="1:1" ht="12.75">
      <c r="A399" s="257"/>
    </row>
    <row r="400" spans="1:1" ht="12.75">
      <c r="A400" s="257"/>
    </row>
    <row r="401" spans="1:1" ht="12.75">
      <c r="A401" s="257"/>
    </row>
    <row r="402" spans="1:1" ht="12.75">
      <c r="A402" s="257"/>
    </row>
    <row r="403" spans="1:1" ht="12.75">
      <c r="A403" s="257"/>
    </row>
    <row r="404" spans="1:1" ht="12.75">
      <c r="A404" s="257"/>
    </row>
    <row r="405" spans="1:1" ht="12.75">
      <c r="A405" s="257"/>
    </row>
    <row r="406" spans="1:1" ht="12.75">
      <c r="A406" s="257"/>
    </row>
    <row r="407" spans="1:1" ht="12.75">
      <c r="A407" s="257"/>
    </row>
    <row r="408" spans="1:1" ht="12.75">
      <c r="A408" s="257"/>
    </row>
    <row r="409" spans="1:1" ht="12.75">
      <c r="A409" s="257"/>
    </row>
    <row r="410" spans="1:1" ht="12.75">
      <c r="A410" s="257"/>
    </row>
    <row r="411" spans="1:1" ht="12.75">
      <c r="A411" s="257"/>
    </row>
    <row r="412" spans="1:1" ht="12.75">
      <c r="A412" s="257"/>
    </row>
    <row r="413" spans="1:1" ht="12.75">
      <c r="A413" s="257"/>
    </row>
    <row r="414" spans="1:1" ht="12.75">
      <c r="A414" s="257"/>
    </row>
    <row r="415" spans="1:1" ht="12.75">
      <c r="A415" s="257"/>
    </row>
    <row r="416" spans="1:1" ht="12.75">
      <c r="A416" s="257"/>
    </row>
    <row r="417" spans="1:1" ht="12.75">
      <c r="A417" s="257"/>
    </row>
    <row r="418" spans="1:1" ht="12.75">
      <c r="A418" s="257"/>
    </row>
    <row r="419" spans="1:1" ht="12.75">
      <c r="A419" s="257"/>
    </row>
    <row r="420" spans="1:1" ht="12.75">
      <c r="A420" s="257"/>
    </row>
    <row r="421" spans="1:1" ht="12.75">
      <c r="A421" s="257"/>
    </row>
    <row r="422" spans="1:1" ht="12.75">
      <c r="A422" s="257"/>
    </row>
    <row r="423" spans="1:1" ht="12.75">
      <c r="A423" s="257"/>
    </row>
    <row r="424" spans="1:1" ht="12.75">
      <c r="A424" s="257"/>
    </row>
    <row r="425" spans="1:1" ht="12.75">
      <c r="A425" s="257"/>
    </row>
    <row r="426" spans="1:1" ht="12.75">
      <c r="A426" s="257"/>
    </row>
    <row r="427" spans="1:1" ht="12.75">
      <c r="A427" s="257"/>
    </row>
    <row r="428" spans="1:1" ht="12.75">
      <c r="A428" s="257"/>
    </row>
    <row r="429" spans="1:1" ht="12.75">
      <c r="A429" s="257"/>
    </row>
    <row r="430" spans="1:1" ht="12.75">
      <c r="A430" s="257"/>
    </row>
    <row r="431" spans="1:1" ht="12.75">
      <c r="A431" s="257"/>
    </row>
    <row r="432" spans="1:1" ht="12.75">
      <c r="A432" s="257"/>
    </row>
    <row r="433" spans="1:1" ht="12.75">
      <c r="A433" s="257"/>
    </row>
    <row r="434" spans="1:1" ht="12.75">
      <c r="A434" s="257"/>
    </row>
    <row r="435" spans="1:1" ht="12.75">
      <c r="A435" s="257"/>
    </row>
    <row r="436" spans="1:1" ht="12.75">
      <c r="A436" s="257"/>
    </row>
    <row r="437" spans="1:1" ht="12.75">
      <c r="A437" s="257"/>
    </row>
    <row r="438" spans="1:1" ht="12.75">
      <c r="A438" s="257"/>
    </row>
    <row r="439" spans="1:1" ht="12.75">
      <c r="A439" s="257"/>
    </row>
    <row r="440" spans="1:1" ht="12.75">
      <c r="A440" s="257"/>
    </row>
    <row r="441" spans="1:1" ht="12.75">
      <c r="A441" s="257"/>
    </row>
    <row r="442" spans="1:1" ht="12.75">
      <c r="A442" s="257"/>
    </row>
    <row r="443" spans="1:1" ht="12.75">
      <c r="A443" s="257"/>
    </row>
    <row r="444" spans="1:1" ht="12.75">
      <c r="A444" s="257"/>
    </row>
    <row r="445" spans="1:1" ht="12.75">
      <c r="A445" s="257"/>
    </row>
    <row r="446" spans="1:1" ht="12.75">
      <c r="A446" s="257"/>
    </row>
    <row r="447" spans="1:1" ht="12.75">
      <c r="A447" s="257"/>
    </row>
    <row r="448" spans="1:1" ht="12.75">
      <c r="A448" s="257"/>
    </row>
    <row r="449" spans="1:1" ht="12.75">
      <c r="A449" s="257"/>
    </row>
    <row r="450" spans="1:1" ht="12.75">
      <c r="A450" s="257"/>
    </row>
    <row r="451" spans="1:1" ht="12.75">
      <c r="A451" s="257"/>
    </row>
    <row r="452" spans="1:1" ht="12.75">
      <c r="A452" s="257"/>
    </row>
    <row r="453" spans="1:1" ht="12.75">
      <c r="A453" s="257"/>
    </row>
    <row r="454" spans="1:1" ht="12.75">
      <c r="A454" s="257"/>
    </row>
    <row r="455" spans="1:1" ht="12.75">
      <c r="A455" s="257"/>
    </row>
    <row r="456" spans="1:1" ht="12.75">
      <c r="A456" s="257"/>
    </row>
    <row r="457" spans="1:1" ht="12.75">
      <c r="A457" s="257"/>
    </row>
    <row r="458" spans="1:1" ht="12.75">
      <c r="A458" s="257"/>
    </row>
    <row r="459" spans="1:1" ht="12.75">
      <c r="A459" s="257"/>
    </row>
    <row r="460" spans="1:1" ht="12.75">
      <c r="A460" s="257"/>
    </row>
    <row r="461" spans="1:1" ht="12.75">
      <c r="A461" s="257"/>
    </row>
    <row r="462" spans="1:1" ht="12.75">
      <c r="A462" s="257"/>
    </row>
    <row r="463" spans="1:1" ht="12.75">
      <c r="A463" s="257"/>
    </row>
    <row r="464" spans="1:1" ht="12.75">
      <c r="A464" s="257"/>
    </row>
    <row r="465" spans="1:1" ht="12.75">
      <c r="A465" s="257"/>
    </row>
    <row r="466" spans="1:1" ht="12.75">
      <c r="A466" s="257"/>
    </row>
    <row r="467" spans="1:1" ht="12.75">
      <c r="A467" s="257"/>
    </row>
    <row r="468" spans="1:1" ht="12.75">
      <c r="A468" s="257"/>
    </row>
    <row r="469" spans="1:1" ht="12.75">
      <c r="A469" s="257"/>
    </row>
    <row r="470" spans="1:1" ht="12.75">
      <c r="A470" s="257"/>
    </row>
    <row r="471" spans="1:1" ht="12.75">
      <c r="A471" s="257"/>
    </row>
    <row r="472" spans="1:1" ht="12.75">
      <c r="A472" s="257"/>
    </row>
    <row r="473" spans="1:1" ht="12.75">
      <c r="A473" s="257"/>
    </row>
    <row r="474" spans="1:1" ht="12.75">
      <c r="A474" s="257"/>
    </row>
    <row r="475" spans="1:1" ht="12.75">
      <c r="A475" s="257"/>
    </row>
    <row r="476" spans="1:1" ht="12.75">
      <c r="A476" s="257"/>
    </row>
    <row r="477" spans="1:1" ht="12.75">
      <c r="A477" s="257"/>
    </row>
    <row r="478" spans="1:1" ht="12.75">
      <c r="A478" s="257"/>
    </row>
    <row r="479" spans="1:1" ht="12.75">
      <c r="A479" s="257"/>
    </row>
    <row r="480" spans="1:1" ht="12.75">
      <c r="A480" s="257"/>
    </row>
    <row r="481" spans="1:1" ht="12.75">
      <c r="A481" s="257"/>
    </row>
    <row r="482" spans="1:1" ht="12.75">
      <c r="A482" s="257"/>
    </row>
    <row r="483" spans="1:1" ht="12.75">
      <c r="A483" s="257"/>
    </row>
    <row r="484" spans="1:1" ht="12.75">
      <c r="A484" s="257"/>
    </row>
    <row r="485" spans="1:1" ht="12.75">
      <c r="A485" s="257"/>
    </row>
    <row r="486" spans="1:1" ht="12.75">
      <c r="A486" s="257"/>
    </row>
    <row r="487" spans="1:1" ht="12.75">
      <c r="A487" s="257"/>
    </row>
    <row r="488" spans="1:1" ht="12.75">
      <c r="A488" s="257"/>
    </row>
    <row r="489" spans="1:1" ht="12.75">
      <c r="A489" s="257"/>
    </row>
    <row r="490" spans="1:1" ht="12.75">
      <c r="A490" s="257"/>
    </row>
    <row r="491" spans="1:1" ht="12.75">
      <c r="A491" s="257"/>
    </row>
    <row r="492" spans="1:1" ht="12.75">
      <c r="A492" s="257"/>
    </row>
    <row r="493" spans="1:1" ht="12.75">
      <c r="A493" s="257"/>
    </row>
    <row r="494" spans="1:1" ht="12.75">
      <c r="A494" s="257"/>
    </row>
    <row r="495" spans="1:1" ht="12.75">
      <c r="A495" s="257"/>
    </row>
    <row r="496" spans="1:1" ht="12.75">
      <c r="A496" s="257"/>
    </row>
    <row r="497" spans="1:1" ht="12.75">
      <c r="A497" s="257"/>
    </row>
    <row r="498" spans="1:1" ht="12.75">
      <c r="A498" s="257"/>
    </row>
    <row r="499" spans="1:1" ht="12.75">
      <c r="A499" s="257"/>
    </row>
    <row r="500" spans="1:1" ht="12.75">
      <c r="A500" s="257"/>
    </row>
    <row r="501" spans="1:1" ht="12.75">
      <c r="A501" s="257"/>
    </row>
    <row r="502" spans="1:1" ht="12.75">
      <c r="A502" s="257"/>
    </row>
    <row r="503" spans="1:1" ht="12.75">
      <c r="A503" s="257"/>
    </row>
    <row r="504" spans="1:1" ht="12.75">
      <c r="A504" s="257"/>
    </row>
    <row r="505" spans="1:1" ht="12.75">
      <c r="A505" s="257"/>
    </row>
    <row r="506" spans="1:1" ht="12.75">
      <c r="A506" s="257"/>
    </row>
    <row r="507" spans="1:1" ht="12.75">
      <c r="A507" s="257"/>
    </row>
    <row r="508" spans="1:1" ht="12.75">
      <c r="A508" s="257"/>
    </row>
    <row r="509" spans="1:1" ht="12.75">
      <c r="A509" s="257"/>
    </row>
    <row r="510" spans="1:1" ht="12.75">
      <c r="A510" s="257"/>
    </row>
    <row r="511" spans="1:1" ht="12.75">
      <c r="A511" s="257"/>
    </row>
    <row r="512" spans="1:1" ht="12.75">
      <c r="A512" s="257"/>
    </row>
    <row r="513" spans="1:1" ht="12.75">
      <c r="A513" s="257"/>
    </row>
    <row r="514" spans="1:1" ht="12.75">
      <c r="A514" s="257"/>
    </row>
    <row r="515" spans="1:1" ht="12.75">
      <c r="A515" s="257"/>
    </row>
    <row r="516" spans="1:1" ht="12.75">
      <c r="A516" s="257"/>
    </row>
    <row r="517" spans="1:1" ht="12.75">
      <c r="A517" s="257"/>
    </row>
    <row r="518" spans="1:1" ht="12.75">
      <c r="A518" s="257"/>
    </row>
    <row r="519" spans="1:1" ht="12.75">
      <c r="A519" s="257"/>
    </row>
    <row r="520" spans="1:1" ht="12.75">
      <c r="A520" s="257"/>
    </row>
    <row r="521" spans="1:1" ht="12.75">
      <c r="A521" s="257"/>
    </row>
    <row r="522" spans="1:1" ht="12.75">
      <c r="A522" s="257"/>
    </row>
    <row r="523" spans="1:1" ht="12.75">
      <c r="A523" s="257"/>
    </row>
    <row r="524" spans="1:1" ht="12.75">
      <c r="A524" s="257"/>
    </row>
    <row r="525" spans="1:1" ht="12.75">
      <c r="A525" s="257"/>
    </row>
    <row r="526" spans="1:1" ht="12.75">
      <c r="A526" s="257"/>
    </row>
    <row r="527" spans="1:1" ht="12.75">
      <c r="A527" s="257"/>
    </row>
    <row r="528" spans="1:1" ht="12.75">
      <c r="A528" s="257"/>
    </row>
    <row r="529" spans="1:1" ht="12.75">
      <c r="A529" s="257"/>
    </row>
    <row r="530" spans="1:1" ht="12.75">
      <c r="A530" s="257"/>
    </row>
    <row r="531" spans="1:1" ht="12.75">
      <c r="A531" s="257"/>
    </row>
    <row r="532" spans="1:1" ht="12.75">
      <c r="A532" s="257"/>
    </row>
    <row r="533" spans="1:1" ht="12.75">
      <c r="A533" s="257"/>
    </row>
    <row r="534" spans="1:1" ht="12.75">
      <c r="A534" s="257"/>
    </row>
    <row r="535" spans="1:1" ht="12.75">
      <c r="A535" s="257"/>
    </row>
    <row r="536" spans="1:1" ht="12.75">
      <c r="A536" s="257"/>
    </row>
    <row r="537" spans="1:1" ht="12.75">
      <c r="A537" s="257"/>
    </row>
    <row r="538" spans="1:1" ht="12.75">
      <c r="A538" s="257"/>
    </row>
    <row r="539" spans="1:1" ht="12.75">
      <c r="A539" s="257"/>
    </row>
    <row r="540" spans="1:1" ht="12.75">
      <c r="A540" s="257"/>
    </row>
    <row r="541" spans="1:1" ht="12.75">
      <c r="A541" s="257"/>
    </row>
    <row r="542" spans="1:1" ht="12.75">
      <c r="A542" s="257"/>
    </row>
    <row r="543" spans="1:1" ht="12.75">
      <c r="A543" s="257"/>
    </row>
    <row r="544" spans="1:1" ht="12.75">
      <c r="A544" s="257"/>
    </row>
    <row r="545" spans="1:1" ht="12.75">
      <c r="A545" s="257"/>
    </row>
    <row r="546" spans="1:1" ht="12.75">
      <c r="A546" s="257"/>
    </row>
    <row r="547" spans="1:1" ht="12.75">
      <c r="A547" s="257"/>
    </row>
    <row r="548" spans="1:1" ht="12.75">
      <c r="A548" s="257"/>
    </row>
    <row r="549" spans="1:1" ht="12.75">
      <c r="A549" s="257"/>
    </row>
    <row r="550" spans="1:1" ht="12.75">
      <c r="A550" s="257"/>
    </row>
    <row r="551" spans="1:1" ht="12.75">
      <c r="A551" s="257"/>
    </row>
    <row r="552" spans="1:1" ht="12.75">
      <c r="A552" s="257"/>
    </row>
    <row r="553" spans="1:1" ht="12.75">
      <c r="A553" s="257"/>
    </row>
    <row r="554" spans="1:1" ht="12.75">
      <c r="A554" s="257"/>
    </row>
    <row r="555" spans="1:1" ht="12.75">
      <c r="A555" s="257"/>
    </row>
    <row r="556" spans="1:1" ht="12.75">
      <c r="A556" s="257"/>
    </row>
    <row r="557" spans="1:1" ht="12.75">
      <c r="A557" s="257"/>
    </row>
    <row r="558" spans="1:1" ht="12.75">
      <c r="A558" s="257"/>
    </row>
    <row r="559" spans="1:1" ht="12.75">
      <c r="A559" s="257"/>
    </row>
    <row r="560" spans="1:1" ht="12.75">
      <c r="A560" s="257"/>
    </row>
    <row r="561" spans="1:1" ht="12.75">
      <c r="A561" s="257"/>
    </row>
    <row r="562" spans="1:1" ht="12.75">
      <c r="A562" s="257"/>
    </row>
    <row r="563" spans="1:1" ht="12.75">
      <c r="A563" s="257"/>
    </row>
    <row r="564" spans="1:1" ht="12.75">
      <c r="A564" s="257"/>
    </row>
    <row r="565" spans="1:1" ht="12.75">
      <c r="A565" s="257"/>
    </row>
    <row r="566" spans="1:1" ht="12.75">
      <c r="A566" s="257"/>
    </row>
    <row r="567" spans="1:1" ht="12.75">
      <c r="A567" s="257"/>
    </row>
    <row r="568" spans="1:1" ht="12.75">
      <c r="A568" s="257"/>
    </row>
    <row r="569" spans="1:1" ht="12.75">
      <c r="A569" s="257"/>
    </row>
    <row r="570" spans="1:1" ht="12.75">
      <c r="A570" s="257"/>
    </row>
    <row r="571" spans="1:1" ht="12.75">
      <c r="A571" s="257"/>
    </row>
    <row r="572" spans="1:1" ht="12.75">
      <c r="A572" s="257"/>
    </row>
    <row r="573" spans="1:1" ht="12.75">
      <c r="A573" s="257"/>
    </row>
    <row r="574" spans="1:1" ht="12.75">
      <c r="A574" s="257"/>
    </row>
    <row r="575" spans="1:1" ht="12.75">
      <c r="A575" s="257"/>
    </row>
    <row r="576" spans="1:1" ht="12.75">
      <c r="A576" s="257"/>
    </row>
    <row r="577" spans="1:1" ht="12.75">
      <c r="A577" s="257"/>
    </row>
    <row r="578" spans="1:1" ht="12.75">
      <c r="A578" s="257"/>
    </row>
    <row r="579" spans="1:1" ht="12.75">
      <c r="A579" s="257"/>
    </row>
    <row r="580" spans="1:1" ht="12.75">
      <c r="A580" s="257"/>
    </row>
    <row r="581" spans="1:1" ht="12.75">
      <c r="A581" s="257"/>
    </row>
    <row r="582" spans="1:1" ht="12.75">
      <c r="A582" s="257"/>
    </row>
    <row r="583" spans="1:1" ht="12.75">
      <c r="A583" s="257"/>
    </row>
    <row r="584" spans="1:1" ht="12.75">
      <c r="A584" s="257"/>
    </row>
    <row r="585" spans="1:1" ht="12.75">
      <c r="A585" s="257"/>
    </row>
    <row r="586" spans="1:1" ht="12.75">
      <c r="A586" s="257"/>
    </row>
    <row r="587" spans="1:1" ht="12.75">
      <c r="A587" s="257"/>
    </row>
    <row r="588" spans="1:1" ht="12.75">
      <c r="A588" s="257"/>
    </row>
    <row r="589" spans="1:1" ht="12.75">
      <c r="A589" s="257"/>
    </row>
    <row r="590" spans="1:1" ht="12.75">
      <c r="A590" s="257"/>
    </row>
    <row r="591" spans="1:1" ht="12.75">
      <c r="A591" s="257"/>
    </row>
    <row r="592" spans="1:1" ht="12.75">
      <c r="A592" s="257"/>
    </row>
    <row r="593" spans="1:1" ht="12.75">
      <c r="A593" s="257"/>
    </row>
    <row r="594" spans="1:1" ht="12.75">
      <c r="A594" s="257"/>
    </row>
    <row r="595" spans="1:1" ht="12.75">
      <c r="A595" s="257"/>
    </row>
    <row r="596" spans="1:1" ht="12.75">
      <c r="A596" s="257"/>
    </row>
    <row r="597" spans="1:1" ht="12.75">
      <c r="A597" s="257"/>
    </row>
    <row r="598" spans="1:1" ht="12.75">
      <c r="A598" s="257"/>
    </row>
    <row r="599" spans="1:1" ht="12.75">
      <c r="A599" s="257"/>
    </row>
    <row r="600" spans="1:1" ht="12.75">
      <c r="A600" s="257"/>
    </row>
    <row r="601" spans="1:1" ht="12.75">
      <c r="A601" s="257"/>
    </row>
    <row r="602" spans="1:1" ht="12.75">
      <c r="A602" s="257"/>
    </row>
    <row r="603" spans="1:1" ht="12.75">
      <c r="A603" s="257"/>
    </row>
    <row r="604" spans="1:1" ht="12.75">
      <c r="A604" s="257"/>
    </row>
    <row r="605" spans="1:1" ht="12.75">
      <c r="A605" s="257"/>
    </row>
    <row r="606" spans="1:1" ht="12.75">
      <c r="A606" s="257"/>
    </row>
    <row r="607" spans="1:1" ht="12.75">
      <c r="A607" s="257"/>
    </row>
    <row r="608" spans="1:1" ht="12.75">
      <c r="A608" s="257"/>
    </row>
    <row r="609" spans="1:1" ht="12.75">
      <c r="A609" s="257"/>
    </row>
    <row r="610" spans="1:1" ht="12.75">
      <c r="A610" s="257"/>
    </row>
    <row r="611" spans="1:1" ht="12.75">
      <c r="A611" s="257"/>
    </row>
    <row r="612" spans="1:1" ht="12.75">
      <c r="A612" s="257"/>
    </row>
    <row r="613" spans="1:1" ht="12.75">
      <c r="A613" s="257"/>
    </row>
    <row r="614" spans="1:1" ht="12.75">
      <c r="A614" s="257"/>
    </row>
    <row r="615" spans="1:1" ht="12.75">
      <c r="A615" s="257"/>
    </row>
    <row r="616" spans="1:1" ht="12.75">
      <c r="A616" s="257"/>
    </row>
    <row r="617" spans="1:1" ht="12.75">
      <c r="A617" s="257"/>
    </row>
    <row r="618" spans="1:1" ht="12.75">
      <c r="A618" s="257"/>
    </row>
    <row r="619" spans="1:1" ht="12.75">
      <c r="A619" s="257"/>
    </row>
    <row r="620" spans="1:1" ht="12.75">
      <c r="A620" s="257"/>
    </row>
    <row r="621" spans="1:1" ht="12.75">
      <c r="A621" s="257"/>
    </row>
    <row r="622" spans="1:1" ht="12.75">
      <c r="A622" s="257"/>
    </row>
    <row r="623" spans="1:1" ht="12.75">
      <c r="A623" s="257"/>
    </row>
    <row r="624" spans="1:1" ht="12.75">
      <c r="A624" s="257"/>
    </row>
    <row r="625" spans="1:1" ht="12.75">
      <c r="A625" s="257"/>
    </row>
    <row r="626" spans="1:1" ht="12.75">
      <c r="A626" s="257"/>
    </row>
    <row r="627" spans="1:1" ht="12.75">
      <c r="A627" s="257"/>
    </row>
    <row r="628" spans="1:1" ht="12.75">
      <c r="A628" s="257"/>
    </row>
    <row r="629" spans="1:1" ht="12.75">
      <c r="A629" s="257"/>
    </row>
    <row r="630" spans="1:1" ht="12.75">
      <c r="A630" s="257"/>
    </row>
    <row r="631" spans="1:1" ht="12.75">
      <c r="A631" s="257"/>
    </row>
    <row r="632" spans="1:1" ht="12.75">
      <c r="A632" s="257"/>
    </row>
    <row r="633" spans="1:1" ht="12.75">
      <c r="A633" s="257"/>
    </row>
    <row r="634" spans="1:1" ht="12.75">
      <c r="A634" s="257"/>
    </row>
    <row r="635" spans="1:1" ht="12.75">
      <c r="A635" s="257"/>
    </row>
    <row r="636" spans="1:1" ht="12.75">
      <c r="A636" s="257"/>
    </row>
    <row r="637" spans="1:1" ht="12.75">
      <c r="A637" s="257"/>
    </row>
    <row r="638" spans="1:1" ht="12.75">
      <c r="A638" s="257"/>
    </row>
    <row r="639" spans="1:1" ht="12.75">
      <c r="A639" s="257"/>
    </row>
    <row r="640" spans="1:1" ht="12.75">
      <c r="A640" s="257"/>
    </row>
    <row r="641" spans="1:1" ht="12.75">
      <c r="A641" s="257"/>
    </row>
    <row r="642" spans="1:1" ht="12.75">
      <c r="A642" s="257"/>
    </row>
    <row r="643" spans="1:1" ht="12.75">
      <c r="A643" s="257"/>
    </row>
    <row r="644" spans="1:1" ht="12.75">
      <c r="A644" s="257"/>
    </row>
    <row r="645" spans="1:1" ht="12.75">
      <c r="A645" s="257"/>
    </row>
    <row r="646" spans="1:1" ht="12.75">
      <c r="A646" s="257"/>
    </row>
    <row r="647" spans="1:1" ht="12.75">
      <c r="A647" s="257"/>
    </row>
    <row r="648" spans="1:1" ht="12.75">
      <c r="A648" s="257"/>
    </row>
    <row r="649" spans="1:1" ht="12.75">
      <c r="A649" s="257"/>
    </row>
    <row r="650" spans="1:1" ht="12.75">
      <c r="A650" s="257"/>
    </row>
    <row r="651" spans="1:1" ht="12.75">
      <c r="A651" s="257"/>
    </row>
    <row r="652" spans="1:1" ht="12.75">
      <c r="A652" s="257"/>
    </row>
    <row r="653" spans="1:1" ht="12.75">
      <c r="A653" s="257"/>
    </row>
    <row r="654" spans="1:1" ht="12.75">
      <c r="A654" s="257"/>
    </row>
    <row r="655" spans="1:1" ht="12.75">
      <c r="A655" s="257"/>
    </row>
    <row r="656" spans="1:1" ht="12.75">
      <c r="A656" s="257"/>
    </row>
    <row r="657" spans="1:1" ht="12.75">
      <c r="A657" s="257"/>
    </row>
    <row r="658" spans="1:1" ht="12.75">
      <c r="A658" s="257"/>
    </row>
    <row r="659" spans="1:1" ht="12.75">
      <c r="A659" s="257"/>
    </row>
    <row r="660" spans="1:1" ht="12.75">
      <c r="A660" s="257"/>
    </row>
    <row r="661" spans="1:1" ht="12.75">
      <c r="A661" s="257"/>
    </row>
    <row r="662" spans="1:1" ht="12.75">
      <c r="A662" s="257"/>
    </row>
    <row r="663" spans="1:1" ht="12.75">
      <c r="A663" s="257"/>
    </row>
    <row r="664" spans="1:1" ht="12.75">
      <c r="A664" s="257"/>
    </row>
    <row r="665" spans="1:1" ht="12.75">
      <c r="A665" s="257"/>
    </row>
    <row r="666" spans="1:1" ht="12.75">
      <c r="A666" s="257"/>
    </row>
    <row r="667" spans="1:1" ht="12.75">
      <c r="A667" s="257"/>
    </row>
    <row r="668" spans="1:1" ht="12.75">
      <c r="A668" s="257"/>
    </row>
    <row r="669" spans="1:1" ht="12.75">
      <c r="A669" s="257"/>
    </row>
    <row r="670" spans="1:1" ht="12.75">
      <c r="A670" s="257"/>
    </row>
    <row r="671" spans="1:1" ht="12.75">
      <c r="A671" s="257"/>
    </row>
    <row r="672" spans="1:1" ht="12.75">
      <c r="A672" s="257"/>
    </row>
    <row r="673" spans="1:1" ht="12.75">
      <c r="A673" s="257"/>
    </row>
    <row r="674" spans="1:1" ht="12.75">
      <c r="A674" s="257"/>
    </row>
    <row r="675" spans="1:1" ht="12.75">
      <c r="A675" s="257"/>
    </row>
    <row r="676" spans="1:1" ht="12.75">
      <c r="A676" s="257"/>
    </row>
    <row r="677" spans="1:1" ht="12.75">
      <c r="A677" s="257"/>
    </row>
    <row r="678" spans="1:1" ht="12.75">
      <c r="A678" s="257"/>
    </row>
    <row r="679" spans="1:1" ht="12.75">
      <c r="A679" s="257"/>
    </row>
    <row r="680" spans="1:1" ht="12.75">
      <c r="A680" s="257"/>
    </row>
    <row r="681" spans="1:1" ht="12.75">
      <c r="A681" s="257"/>
    </row>
    <row r="682" spans="1:1" ht="12.75">
      <c r="A682" s="257"/>
    </row>
    <row r="683" spans="1:1" ht="12.75">
      <c r="A683" s="257"/>
    </row>
    <row r="684" spans="1:1" ht="12.75">
      <c r="A684" s="257"/>
    </row>
    <row r="685" spans="1:1" ht="12.75">
      <c r="A685" s="257"/>
    </row>
    <row r="686" spans="1:1" ht="12.75">
      <c r="A686" s="257"/>
    </row>
    <row r="687" spans="1:1" ht="12.75">
      <c r="A687" s="257"/>
    </row>
    <row r="688" spans="1:1" ht="12.75">
      <c r="A688" s="257"/>
    </row>
    <row r="689" spans="1:1" ht="12.75">
      <c r="A689" s="257"/>
    </row>
    <row r="690" spans="1:1" ht="12.75">
      <c r="A690" s="257"/>
    </row>
    <row r="691" spans="1:1" ht="12.75">
      <c r="A691" s="257"/>
    </row>
    <row r="692" spans="1:1" ht="12.75">
      <c r="A692" s="257"/>
    </row>
    <row r="693" spans="1:1" ht="12.75">
      <c r="A693" s="257"/>
    </row>
    <row r="694" spans="1:1" ht="12.75">
      <c r="A694" s="257"/>
    </row>
    <row r="695" spans="1:1" ht="12.75">
      <c r="A695" s="257"/>
    </row>
    <row r="696" spans="1:1" ht="12.75">
      <c r="A696" s="257"/>
    </row>
    <row r="697" spans="1:1" ht="12.75">
      <c r="A697" s="257"/>
    </row>
    <row r="698" spans="1:1" ht="12.75">
      <c r="A698" s="257"/>
    </row>
    <row r="699" spans="1:1" ht="12.75">
      <c r="A699" s="257"/>
    </row>
    <row r="700" spans="1:1" ht="12.75">
      <c r="A700" s="257"/>
    </row>
    <row r="701" spans="1:1" ht="12.75">
      <c r="A701" s="257"/>
    </row>
    <row r="702" spans="1:1" ht="12.75">
      <c r="A702" s="257"/>
    </row>
    <row r="703" spans="1:1" ht="12.75">
      <c r="A703" s="257"/>
    </row>
    <row r="704" spans="1:1" ht="12.75">
      <c r="A704" s="257"/>
    </row>
    <row r="705" spans="1:1" ht="12.75">
      <c r="A705" s="257"/>
    </row>
    <row r="706" spans="1:1" ht="12.75">
      <c r="A706" s="257"/>
    </row>
    <row r="707" spans="1:1" ht="12.75">
      <c r="A707" s="257"/>
    </row>
    <row r="708" spans="1:1" ht="12.75">
      <c r="A708" s="257"/>
    </row>
    <row r="709" spans="1:1" ht="12.75">
      <c r="A709" s="257"/>
    </row>
    <row r="710" spans="1:1" ht="12.75">
      <c r="A710" s="257"/>
    </row>
    <row r="711" spans="1:1" ht="12.75">
      <c r="A711" s="257"/>
    </row>
    <row r="712" spans="1:1" ht="12.75">
      <c r="A712" s="257"/>
    </row>
    <row r="713" spans="1:1" ht="12.75">
      <c r="A713" s="257"/>
    </row>
    <row r="714" spans="1:1" ht="12.75">
      <c r="A714" s="257"/>
    </row>
    <row r="715" spans="1:1" ht="12.75">
      <c r="A715" s="257"/>
    </row>
    <row r="716" spans="1:1" ht="12.75">
      <c r="A716" s="257"/>
    </row>
    <row r="717" spans="1:1" ht="12.75">
      <c r="A717" s="257"/>
    </row>
    <row r="718" spans="1:1" ht="12.75">
      <c r="A718" s="257"/>
    </row>
    <row r="719" spans="1:1" ht="12.75">
      <c r="A719" s="257"/>
    </row>
    <row r="720" spans="1:1" ht="12.75">
      <c r="A720" s="257"/>
    </row>
    <row r="721" spans="1:1" ht="12.75">
      <c r="A721" s="257"/>
    </row>
    <row r="722" spans="1:1" ht="12.75">
      <c r="A722" s="257"/>
    </row>
    <row r="723" spans="1:1" ht="12.75">
      <c r="A723" s="257"/>
    </row>
    <row r="724" spans="1:1" ht="12.75">
      <c r="A724" s="257"/>
    </row>
    <row r="725" spans="1:1" ht="12.75">
      <c r="A725" s="257"/>
    </row>
    <row r="726" spans="1:1" ht="12.75">
      <c r="A726" s="257"/>
    </row>
    <row r="727" spans="1:1" ht="12.75">
      <c r="A727" s="257"/>
    </row>
    <row r="728" spans="1:1" ht="12.75">
      <c r="A728" s="257"/>
    </row>
    <row r="729" spans="1:1" ht="12.75">
      <c r="A729" s="257"/>
    </row>
    <row r="730" spans="1:1" ht="12.75">
      <c r="A730" s="257"/>
    </row>
    <row r="731" spans="1:1" ht="12.75">
      <c r="A731" s="257"/>
    </row>
    <row r="732" spans="1:1" ht="12.75">
      <c r="A732" s="257"/>
    </row>
    <row r="733" spans="1:1" ht="12.75">
      <c r="A733" s="257"/>
    </row>
    <row r="734" spans="1:1" ht="12.75">
      <c r="A734" s="257"/>
    </row>
    <row r="735" spans="1:1" ht="12.75">
      <c r="A735" s="257"/>
    </row>
    <row r="736" spans="1:1" ht="12.75">
      <c r="A736" s="257"/>
    </row>
    <row r="737" spans="1:1" ht="12.75">
      <c r="A737" s="257"/>
    </row>
    <row r="738" spans="1:1" ht="12.75">
      <c r="A738" s="257"/>
    </row>
    <row r="739" spans="1:1" ht="12.75">
      <c r="A739" s="257"/>
    </row>
    <row r="740" spans="1:1" ht="12.75">
      <c r="A740" s="257"/>
    </row>
    <row r="741" spans="1:1" ht="12.75">
      <c r="A741" s="257"/>
    </row>
    <row r="742" spans="1:1" ht="12.75">
      <c r="A742" s="257"/>
    </row>
    <row r="743" spans="1:1" ht="12.75">
      <c r="A743" s="257"/>
    </row>
    <row r="744" spans="1:1" ht="12.75">
      <c r="A744" s="257"/>
    </row>
    <row r="745" spans="1:1" ht="12.75">
      <c r="A745" s="257"/>
    </row>
    <row r="746" spans="1:1" ht="12.75">
      <c r="A746" s="257"/>
    </row>
    <row r="747" spans="1:1" ht="12.75">
      <c r="A747" s="257"/>
    </row>
    <row r="748" spans="1:1" ht="12.75">
      <c r="A748" s="257"/>
    </row>
    <row r="749" spans="1:1" ht="12.75">
      <c r="A749" s="257"/>
    </row>
    <row r="750" spans="1:1" ht="12.75">
      <c r="A750" s="257"/>
    </row>
    <row r="751" spans="1:1" ht="12.75">
      <c r="A751" s="257"/>
    </row>
    <row r="752" spans="1:1" ht="12.75">
      <c r="A752" s="257"/>
    </row>
    <row r="753" spans="1:1" ht="12.75">
      <c r="A753" s="257"/>
    </row>
    <row r="754" spans="1:1" ht="12.75">
      <c r="A754" s="257"/>
    </row>
    <row r="755" spans="1:1" ht="12.75">
      <c r="A755" s="257"/>
    </row>
    <row r="756" spans="1:1" ht="12.75">
      <c r="A756" s="257"/>
    </row>
    <row r="757" spans="1:1" ht="12.75">
      <c r="A757" s="257"/>
    </row>
    <row r="758" spans="1:1" ht="12.75">
      <c r="A758" s="257"/>
    </row>
    <row r="759" spans="1:1" ht="12.75">
      <c r="A759" s="257"/>
    </row>
    <row r="760" spans="1:1" ht="12.75">
      <c r="A760" s="257"/>
    </row>
    <row r="761" spans="1:1" ht="12.75">
      <c r="A761" s="257"/>
    </row>
    <row r="762" spans="1:1" ht="12.75">
      <c r="A762" s="257"/>
    </row>
    <row r="763" spans="1:1" ht="12.75">
      <c r="A763" s="257"/>
    </row>
    <row r="764" spans="1:1" ht="12.75">
      <c r="A764" s="257"/>
    </row>
    <row r="765" spans="1:1" ht="12.75">
      <c r="A765" s="257"/>
    </row>
    <row r="766" spans="1:1" ht="12.75">
      <c r="A766" s="257"/>
    </row>
    <row r="767" spans="1:1" ht="12.75">
      <c r="A767" s="257"/>
    </row>
    <row r="768" spans="1:1" ht="12.75">
      <c r="A768" s="257"/>
    </row>
    <row r="769" spans="1:1" ht="12.75">
      <c r="A769" s="257"/>
    </row>
    <row r="770" spans="1:1" ht="12.75">
      <c r="A770" s="257"/>
    </row>
    <row r="771" spans="1:1" ht="12.75">
      <c r="A771" s="257"/>
    </row>
    <row r="772" spans="1:1" ht="12.75">
      <c r="A772" s="257"/>
    </row>
    <row r="773" spans="1:1" ht="12.75">
      <c r="A773" s="257"/>
    </row>
    <row r="774" spans="1:1" ht="12.75">
      <c r="A774" s="257"/>
    </row>
    <row r="775" spans="1:1" ht="12.75">
      <c r="A775" s="257"/>
    </row>
    <row r="776" spans="1:1" ht="12.75">
      <c r="A776" s="257"/>
    </row>
    <row r="777" spans="1:1" ht="12.75">
      <c r="A777" s="257"/>
    </row>
    <row r="778" spans="1:1" ht="12.75">
      <c r="A778" s="257"/>
    </row>
    <row r="779" spans="1:1" ht="12.75">
      <c r="A779" s="257"/>
    </row>
    <row r="780" spans="1:1" ht="12.75">
      <c r="A780" s="257"/>
    </row>
    <row r="781" spans="1:1" ht="12.75">
      <c r="A781" s="257"/>
    </row>
    <row r="782" spans="1:1" ht="12.75">
      <c r="A782" s="257"/>
    </row>
    <row r="783" spans="1:1" ht="12.75">
      <c r="A783" s="257"/>
    </row>
    <row r="784" spans="1:1" ht="12.75">
      <c r="A784" s="257"/>
    </row>
    <row r="785" spans="1:1" ht="12.75">
      <c r="A785" s="257"/>
    </row>
    <row r="786" spans="1:1" ht="12.75">
      <c r="A786" s="257"/>
    </row>
    <row r="787" spans="1:1" ht="12.75">
      <c r="A787" s="257"/>
    </row>
    <row r="788" spans="1:1" ht="12.75">
      <c r="A788" s="257"/>
    </row>
    <row r="789" spans="1:1" ht="12.75">
      <c r="A789" s="257"/>
    </row>
    <row r="790" spans="1:1" ht="12.75">
      <c r="A790" s="257"/>
    </row>
    <row r="791" spans="1:1" ht="12.75">
      <c r="A791" s="257"/>
    </row>
    <row r="792" spans="1:1" ht="12.75">
      <c r="A792" s="257"/>
    </row>
    <row r="793" spans="1:1" ht="12.75">
      <c r="A793" s="257"/>
    </row>
    <row r="794" spans="1:1" ht="12.75">
      <c r="A794" s="257"/>
    </row>
    <row r="795" spans="1:1" ht="12.75">
      <c r="A795" s="257"/>
    </row>
    <row r="796" spans="1:1" ht="12.75">
      <c r="A796" s="257"/>
    </row>
    <row r="797" spans="1:1" ht="12.75">
      <c r="A797" s="257"/>
    </row>
    <row r="798" spans="1:1" ht="12.75">
      <c r="A798" s="257"/>
    </row>
    <row r="799" spans="1:1" ht="12.75">
      <c r="A799" s="257"/>
    </row>
    <row r="800" spans="1:1" ht="12.75">
      <c r="A800" s="257"/>
    </row>
    <row r="801" spans="1:1" ht="12.75">
      <c r="A801" s="257"/>
    </row>
    <row r="802" spans="1:1" ht="12.75">
      <c r="A802" s="257"/>
    </row>
    <row r="803" spans="1:1" ht="12.75">
      <c r="A803" s="257"/>
    </row>
    <row r="804" spans="1:1" ht="12.75">
      <c r="A804" s="257"/>
    </row>
    <row r="805" spans="1:1" ht="12.75">
      <c r="A805" s="257"/>
    </row>
    <row r="806" spans="1:1" ht="12.75">
      <c r="A806" s="257"/>
    </row>
    <row r="807" spans="1:1" ht="12.75">
      <c r="A807" s="257"/>
    </row>
    <row r="808" spans="1:1" ht="12.75">
      <c r="A808" s="257"/>
    </row>
    <row r="809" spans="1:1" ht="12.75">
      <c r="A809" s="257"/>
    </row>
    <row r="810" spans="1:1" ht="12.75">
      <c r="A810" s="257"/>
    </row>
    <row r="811" spans="1:1" ht="12.75">
      <c r="A811" s="257"/>
    </row>
    <row r="812" spans="1:1" ht="12.75">
      <c r="A812" s="257"/>
    </row>
    <row r="813" spans="1:1" ht="12.75">
      <c r="A813" s="257"/>
    </row>
    <row r="814" spans="1:1" ht="12.75">
      <c r="A814" s="257"/>
    </row>
    <row r="815" spans="1:1" ht="12.75">
      <c r="A815" s="257"/>
    </row>
    <row r="816" spans="1:1" ht="12.75">
      <c r="A816" s="257"/>
    </row>
    <row r="817" spans="1:1" ht="12.75">
      <c r="A817" s="257"/>
    </row>
    <row r="818" spans="1:1" ht="12.75">
      <c r="A818" s="257"/>
    </row>
    <row r="819" spans="1:1" ht="12.75">
      <c r="A819" s="257"/>
    </row>
    <row r="820" spans="1:1" ht="12.75">
      <c r="A820" s="257"/>
    </row>
    <row r="821" spans="1:1" ht="12.75">
      <c r="A821" s="257"/>
    </row>
    <row r="822" spans="1:1" ht="12.75">
      <c r="A822" s="257"/>
    </row>
    <row r="823" spans="1:1" ht="12.75">
      <c r="A823" s="257"/>
    </row>
    <row r="824" spans="1:1" ht="12.75">
      <c r="A824" s="257"/>
    </row>
    <row r="825" spans="1:1" ht="12.75">
      <c r="A825" s="257"/>
    </row>
    <row r="826" spans="1:1" ht="12.75">
      <c r="A826" s="257"/>
    </row>
    <row r="827" spans="1:1" ht="12.75">
      <c r="A827" s="257"/>
    </row>
    <row r="828" spans="1:1" ht="12.75">
      <c r="A828" s="257"/>
    </row>
    <row r="829" spans="1:1" ht="12.75">
      <c r="A829" s="257"/>
    </row>
    <row r="830" spans="1:1" ht="12.75">
      <c r="A830" s="257"/>
    </row>
    <row r="831" spans="1:1" ht="12.75">
      <c r="A831" s="257"/>
    </row>
    <row r="832" spans="1:1" ht="12.75">
      <c r="A832" s="257"/>
    </row>
    <row r="833" spans="1:1" ht="12.75">
      <c r="A833" s="257"/>
    </row>
    <row r="834" spans="1:1" ht="12.75">
      <c r="A834" s="257"/>
    </row>
    <row r="835" spans="1:1" ht="12.75">
      <c r="A835" s="257"/>
    </row>
    <row r="836" spans="1:1" ht="12.75">
      <c r="A836" s="257"/>
    </row>
    <row r="837" spans="1:1" ht="12.75">
      <c r="A837" s="257"/>
    </row>
    <row r="838" spans="1:1" ht="12.75">
      <c r="A838" s="257"/>
    </row>
    <row r="839" spans="1:1" ht="12.75">
      <c r="A839" s="257"/>
    </row>
    <row r="840" spans="1:1" ht="12.75">
      <c r="A840" s="257"/>
    </row>
    <row r="841" spans="1:1" ht="12.75">
      <c r="A841" s="257"/>
    </row>
    <row r="842" spans="1:1" ht="12.75">
      <c r="A842" s="257"/>
    </row>
    <row r="843" spans="1:1" ht="12.75">
      <c r="A843" s="257"/>
    </row>
    <row r="844" spans="1:1" ht="12.75">
      <c r="A844" s="257"/>
    </row>
    <row r="845" spans="1:1" ht="12.75">
      <c r="A845" s="257"/>
    </row>
    <row r="846" spans="1:1" ht="12.75">
      <c r="A846" s="257"/>
    </row>
    <row r="847" spans="1:1" ht="12.75">
      <c r="A847" s="257"/>
    </row>
    <row r="848" spans="1:1" ht="12.75">
      <c r="A848" s="257"/>
    </row>
    <row r="849" spans="1:1" ht="12.75">
      <c r="A849" s="257"/>
    </row>
    <row r="850" spans="1:1" ht="12.75">
      <c r="A850" s="257"/>
    </row>
    <row r="851" spans="1:1" ht="12.75">
      <c r="A851" s="257"/>
    </row>
    <row r="852" spans="1:1" ht="12.75">
      <c r="A852" s="257"/>
    </row>
    <row r="853" spans="1:1" ht="12.75">
      <c r="A853" s="257"/>
    </row>
    <row r="854" spans="1:1" ht="12.75">
      <c r="A854" s="257"/>
    </row>
    <row r="855" spans="1:1" ht="12.75">
      <c r="A855" s="257"/>
    </row>
    <row r="856" spans="1:1" ht="12.75">
      <c r="A856" s="257"/>
    </row>
    <row r="857" spans="1:1" ht="12.75">
      <c r="A857" s="257"/>
    </row>
    <row r="858" spans="1:1" ht="12.75">
      <c r="A858" s="257"/>
    </row>
    <row r="859" spans="1:1" ht="12.75">
      <c r="A859" s="257"/>
    </row>
    <row r="860" spans="1:1" ht="12.75">
      <c r="A860" s="257"/>
    </row>
    <row r="861" spans="1:1" ht="12.75">
      <c r="A861" s="257"/>
    </row>
    <row r="862" spans="1:1" ht="12.75">
      <c r="A862" s="257"/>
    </row>
    <row r="863" spans="1:1" ht="12.75">
      <c r="A863" s="257"/>
    </row>
    <row r="864" spans="1:1" ht="12.75">
      <c r="A864" s="257"/>
    </row>
    <row r="865" spans="1:1" ht="12.75">
      <c r="A865" s="257"/>
    </row>
    <row r="866" spans="1:1" ht="12.75">
      <c r="A866" s="257"/>
    </row>
    <row r="867" spans="1:1" ht="12.75">
      <c r="A867" s="257"/>
    </row>
    <row r="868" spans="1:1" ht="12.75">
      <c r="A868" s="257"/>
    </row>
    <row r="869" spans="1:1" ht="12.75">
      <c r="A869" s="257"/>
    </row>
    <row r="870" spans="1:1" ht="12.75">
      <c r="A870" s="257"/>
    </row>
    <row r="871" spans="1:1" ht="12.75">
      <c r="A871" s="257"/>
    </row>
    <row r="872" spans="1:1" ht="12.75">
      <c r="A872" s="257"/>
    </row>
    <row r="873" spans="1:1" ht="12.75">
      <c r="A873" s="257"/>
    </row>
    <row r="874" spans="1:1" ht="12.75">
      <c r="A874" s="257"/>
    </row>
    <row r="875" spans="1:1" ht="12.75">
      <c r="A875" s="257"/>
    </row>
    <row r="876" spans="1:1" ht="12.75">
      <c r="A876" s="257"/>
    </row>
    <row r="877" spans="1:1" ht="12.75">
      <c r="A877" s="257"/>
    </row>
    <row r="878" spans="1:1" ht="12.75">
      <c r="A878" s="257"/>
    </row>
    <row r="879" spans="1:1" ht="12.75">
      <c r="A879" s="257"/>
    </row>
    <row r="880" spans="1:1" ht="12.75">
      <c r="A880" s="257"/>
    </row>
    <row r="881" spans="1:1" ht="12.75">
      <c r="A881" s="257"/>
    </row>
    <row r="882" spans="1:1" ht="12.75">
      <c r="A882" s="257"/>
    </row>
    <row r="883" spans="1:1" ht="12.75">
      <c r="A883" s="257"/>
    </row>
    <row r="884" spans="1:1" ht="12.75">
      <c r="A884" s="257"/>
    </row>
    <row r="885" spans="1:1" ht="12.75">
      <c r="A885" s="257"/>
    </row>
    <row r="886" spans="1:1" ht="12.75">
      <c r="A886" s="257"/>
    </row>
    <row r="887" spans="1:1" ht="12.75">
      <c r="A887" s="257"/>
    </row>
    <row r="888" spans="1:1" ht="12.75">
      <c r="A888" s="257"/>
    </row>
    <row r="889" spans="1:1" ht="12.75">
      <c r="A889" s="257"/>
    </row>
    <row r="890" spans="1:1" ht="12.75">
      <c r="A890" s="257"/>
    </row>
    <row r="891" spans="1:1" ht="12.75">
      <c r="A891" s="257"/>
    </row>
    <row r="892" spans="1:1" ht="12.75">
      <c r="A892" s="257"/>
    </row>
    <row r="893" spans="1:1" ht="12.75">
      <c r="A893" s="257"/>
    </row>
    <row r="894" spans="1:1" ht="12.75">
      <c r="A894" s="257"/>
    </row>
    <row r="895" spans="1:1" ht="12.75">
      <c r="A895" s="257"/>
    </row>
    <row r="896" spans="1:1" ht="12.75">
      <c r="A896" s="257"/>
    </row>
    <row r="897" spans="1:1" ht="12.75">
      <c r="A897" s="257"/>
    </row>
    <row r="898" spans="1:1" ht="12.75">
      <c r="A898" s="257"/>
    </row>
    <row r="899" spans="1:1" ht="12.75">
      <c r="A899" s="257"/>
    </row>
    <row r="900" spans="1:1" ht="12.75">
      <c r="A900" s="257"/>
    </row>
    <row r="901" spans="1:1" ht="12.75">
      <c r="A901" s="257"/>
    </row>
    <row r="902" spans="1:1" ht="12.75">
      <c r="A902" s="257"/>
    </row>
    <row r="903" spans="1:1" ht="12.75">
      <c r="A903" s="257"/>
    </row>
    <row r="904" spans="1:1" ht="12.75">
      <c r="A904" s="257"/>
    </row>
    <row r="905" spans="1:1" ht="12.75">
      <c r="A905" s="257"/>
    </row>
    <row r="906" spans="1:1" ht="12.75">
      <c r="A906" s="257"/>
    </row>
    <row r="907" spans="1:1" ht="12.75">
      <c r="A907" s="257"/>
    </row>
    <row r="908" spans="1:1" ht="12.75">
      <c r="A908" s="257"/>
    </row>
    <row r="909" spans="1:1" ht="12.75">
      <c r="A909" s="257"/>
    </row>
    <row r="910" spans="1:1" ht="12.75">
      <c r="A910" s="257"/>
    </row>
    <row r="911" spans="1:1" ht="12.75">
      <c r="A911" s="257"/>
    </row>
    <row r="912" spans="1:1" ht="12.75">
      <c r="A912" s="257"/>
    </row>
    <row r="913" spans="1:1" ht="12.75">
      <c r="A913" s="257"/>
    </row>
    <row r="914" spans="1:1" ht="12.75">
      <c r="A914" s="257"/>
    </row>
    <row r="915" spans="1:1" ht="12.75">
      <c r="A915" s="257"/>
    </row>
    <row r="916" spans="1:1" ht="12.75">
      <c r="A916" s="257"/>
    </row>
    <row r="917" spans="1:1" ht="12.75">
      <c r="A917" s="257"/>
    </row>
    <row r="918" spans="1:1" ht="12.75">
      <c r="A918" s="257"/>
    </row>
    <row r="919" spans="1:1" ht="12.75">
      <c r="A919" s="257"/>
    </row>
    <row r="920" spans="1:1" ht="12.75">
      <c r="A920" s="257"/>
    </row>
    <row r="921" spans="1:1" ht="12.75">
      <c r="A921" s="257"/>
    </row>
    <row r="922" spans="1:1" ht="12.75">
      <c r="A922" s="257"/>
    </row>
    <row r="923" spans="1:1" ht="12.75">
      <c r="A923" s="257"/>
    </row>
    <row r="924" spans="1:1" ht="12.75">
      <c r="A924" s="257"/>
    </row>
    <row r="925" spans="1:1" ht="12.75">
      <c r="A925" s="257"/>
    </row>
    <row r="926" spans="1:1" ht="12.75">
      <c r="A926" s="257"/>
    </row>
    <row r="927" spans="1:1" ht="12.75">
      <c r="A927" s="257"/>
    </row>
    <row r="928" spans="1:1" ht="12.75">
      <c r="A928" s="257"/>
    </row>
    <row r="929" spans="1:1" ht="12.75">
      <c r="A929" s="257"/>
    </row>
    <row r="930" spans="1:1" ht="12.75">
      <c r="A930" s="257"/>
    </row>
    <row r="931" spans="1:1" ht="12.75">
      <c r="A931" s="257"/>
    </row>
    <row r="932" spans="1:1" ht="12.75">
      <c r="A932" s="257"/>
    </row>
    <row r="933" spans="1:1" ht="12.75">
      <c r="A933" s="257"/>
    </row>
    <row r="934" spans="1:1" ht="12.75">
      <c r="A934" s="257"/>
    </row>
    <row r="935" spans="1:1" ht="12.75">
      <c r="A935" s="257"/>
    </row>
    <row r="936" spans="1:1" ht="12.75">
      <c r="A936" s="257"/>
    </row>
    <row r="937" spans="1:1" ht="12.75">
      <c r="A937" s="257"/>
    </row>
    <row r="938" spans="1:1" ht="12.75">
      <c r="A938" s="257"/>
    </row>
    <row r="939" spans="1:1" ht="12.75">
      <c r="A939" s="257"/>
    </row>
    <row r="940" spans="1:1" ht="12.75">
      <c r="A940" s="257"/>
    </row>
    <row r="941" spans="1:1" ht="12.75">
      <c r="A941" s="257"/>
    </row>
    <row r="942" spans="1:1" ht="12.75">
      <c r="A942" s="257"/>
    </row>
    <row r="943" spans="1:1" ht="12.75">
      <c r="A943" s="257"/>
    </row>
    <row r="944" spans="1:1" ht="12.75">
      <c r="A944" s="257"/>
    </row>
    <row r="945" spans="1:1" ht="12.75">
      <c r="A945" s="257"/>
    </row>
    <row r="946" spans="1:1" ht="12.75">
      <c r="A946" s="257"/>
    </row>
    <row r="947" spans="1:1" ht="12.75">
      <c r="A947" s="257"/>
    </row>
    <row r="948" spans="1:1" ht="12.75">
      <c r="A948" s="257"/>
    </row>
    <row r="949" spans="1:1" ht="12.75">
      <c r="A949" s="257"/>
    </row>
    <row r="950" spans="1:1" ht="12.75">
      <c r="A950" s="257"/>
    </row>
    <row r="951" spans="1:1" ht="12.75">
      <c r="A951" s="257"/>
    </row>
    <row r="952" spans="1:1" ht="12.75">
      <c r="A952" s="257"/>
    </row>
    <row r="953" spans="1:1" ht="12.75">
      <c r="A953" s="257"/>
    </row>
    <row r="954" spans="1:1" ht="12.75">
      <c r="A954" s="257"/>
    </row>
    <row r="955" spans="1:1" ht="12.75">
      <c r="A955" s="257"/>
    </row>
    <row r="956" spans="1:1" ht="12.75">
      <c r="A956" s="257"/>
    </row>
    <row r="957" spans="1:1" ht="12.75">
      <c r="A957" s="257"/>
    </row>
    <row r="958" spans="1:1" ht="12.75">
      <c r="A958" s="257"/>
    </row>
    <row r="959" spans="1:1" ht="12.75">
      <c r="A959" s="257"/>
    </row>
    <row r="960" spans="1:1" ht="12.75">
      <c r="A960" s="257"/>
    </row>
    <row r="961" spans="1:1" ht="12.75">
      <c r="A961" s="257"/>
    </row>
    <row r="962" spans="1:1" ht="12.75">
      <c r="A962" s="257"/>
    </row>
    <row r="963" spans="1:1" ht="12.75">
      <c r="A963" s="257"/>
    </row>
    <row r="964" spans="1:1" ht="12.75">
      <c r="A964" s="257"/>
    </row>
    <row r="965" spans="1:1" ht="12.75">
      <c r="A965" s="257"/>
    </row>
    <row r="966" spans="1:1" ht="12.75">
      <c r="A966" s="257"/>
    </row>
    <row r="967" spans="1:1" ht="12.75">
      <c r="A967" s="257"/>
    </row>
    <row r="968" spans="1:1" ht="12.75">
      <c r="A968" s="257"/>
    </row>
    <row r="969" spans="1:1" ht="12.75">
      <c r="A969" s="257"/>
    </row>
    <row r="970" spans="1:1" ht="12.75">
      <c r="A970" s="257"/>
    </row>
    <row r="971" spans="1:1" ht="12.75">
      <c r="A971" s="257"/>
    </row>
    <row r="972" spans="1:1" ht="12.75">
      <c r="A972" s="257"/>
    </row>
    <row r="973" spans="1:1" ht="12.75">
      <c r="A973" s="257"/>
    </row>
    <row r="974" spans="1:1" ht="12.75">
      <c r="A974" s="257"/>
    </row>
    <row r="975" spans="1:1" ht="12.75">
      <c r="A975" s="257"/>
    </row>
    <row r="976" spans="1:1" ht="12.75">
      <c r="A976" s="257"/>
    </row>
    <row r="977" spans="1:1" ht="12.75">
      <c r="A977" s="257"/>
    </row>
    <row r="978" spans="1:1" ht="12.75">
      <c r="A978" s="257"/>
    </row>
    <row r="979" spans="1:1" ht="12.75">
      <c r="A979" s="257"/>
    </row>
    <row r="980" spans="1:1" ht="12.75">
      <c r="A980" s="257"/>
    </row>
    <row r="981" spans="1:1" ht="12.75">
      <c r="A981" s="257"/>
    </row>
    <row r="982" spans="1:1" ht="12.75">
      <c r="A982" s="257"/>
    </row>
    <row r="983" spans="1:1" ht="12.75">
      <c r="A983" s="257"/>
    </row>
    <row r="984" spans="1:1" ht="12.75">
      <c r="A984" s="257"/>
    </row>
    <row r="985" spans="1:1" ht="12.75">
      <c r="A985" s="257"/>
    </row>
    <row r="986" spans="1:1" ht="12.75">
      <c r="A986" s="257"/>
    </row>
    <row r="987" spans="1:1" ht="12.75">
      <c r="A987" s="257"/>
    </row>
    <row r="988" spans="1:1" ht="12.75">
      <c r="A988" s="257"/>
    </row>
    <row r="989" spans="1:1" ht="12.75">
      <c r="A989" s="257"/>
    </row>
    <row r="990" spans="1:1" ht="12.75">
      <c r="A990" s="257"/>
    </row>
    <row r="991" spans="1:1" ht="12.75">
      <c r="A991" s="257"/>
    </row>
    <row r="992" spans="1:1" ht="12.75">
      <c r="A992" s="257"/>
    </row>
    <row r="993" spans="1:1" ht="12.75">
      <c r="A993" s="257"/>
    </row>
    <row r="994" spans="1:1" ht="12.75">
      <c r="A994" s="257"/>
    </row>
    <row r="995" spans="1:1" ht="12.75">
      <c r="A995" s="257"/>
    </row>
    <row r="996" spans="1:1" ht="12.75">
      <c r="A996" s="257"/>
    </row>
    <row r="997" spans="1:1" ht="12.75">
      <c r="A997" s="257"/>
    </row>
    <row r="998" spans="1:1" ht="12.75">
      <c r="A998" s="257"/>
    </row>
    <row r="999" spans="1:1" ht="12.75">
      <c r="A999" s="257"/>
    </row>
    <row r="1000" spans="1:1" ht="12.75">
      <c r="A1000" s="257"/>
    </row>
    <row r="1001" spans="1:1" ht="12.75">
      <c r="A1001" s="257"/>
    </row>
    <row r="1002" spans="1:1" ht="12.75">
      <c r="A1002" s="257"/>
    </row>
    <row r="1003" spans="1:1" ht="12.75">
      <c r="A1003" s="257"/>
    </row>
    <row r="1004" spans="1:1" ht="12.75">
      <c r="A1004" s="257"/>
    </row>
    <row r="1005" spans="1:1" ht="12.75">
      <c r="A1005" s="257"/>
    </row>
    <row r="1006" spans="1:1" ht="12.75">
      <c r="A1006" s="257"/>
    </row>
    <row r="1007" spans="1:1" ht="12.75">
      <c r="A1007" s="257"/>
    </row>
    <row r="1008" spans="1:1" ht="12.75">
      <c r="A1008" s="257"/>
    </row>
    <row r="1009" spans="1:1" ht="12.75">
      <c r="A1009" s="257"/>
    </row>
    <row r="1010" spans="1:1" ht="12.75">
      <c r="A1010" s="257"/>
    </row>
    <row r="1011" spans="1:1" ht="12.75">
      <c r="A1011" s="257"/>
    </row>
    <row r="1012" spans="1:1" ht="12.75">
      <c r="A1012" s="257"/>
    </row>
    <row r="1013" spans="1:1" ht="12.75">
      <c r="A1013" s="257"/>
    </row>
    <row r="1014" spans="1:1" ht="12.75">
      <c r="A1014" s="257"/>
    </row>
    <row r="1015" spans="1:1" ht="12.75">
      <c r="A1015" s="257"/>
    </row>
    <row r="1016" spans="1:1" ht="12.75">
      <c r="A1016" s="257"/>
    </row>
    <row r="1017" spans="1:1" ht="12.75">
      <c r="A1017" s="257"/>
    </row>
    <row r="1018" spans="1:1" ht="12.75">
      <c r="A1018" s="257"/>
    </row>
    <row r="1019" spans="1:1" ht="12.75">
      <c r="A1019" s="257"/>
    </row>
    <row r="1020" spans="1:1" ht="12.75">
      <c r="A1020" s="257"/>
    </row>
    <row r="1021" spans="1:1" ht="12.75">
      <c r="A1021" s="257"/>
    </row>
    <row r="1022" spans="1:1" ht="12.75">
      <c r="A1022" s="257"/>
    </row>
    <row r="1023" spans="1:1" ht="12.75">
      <c r="A1023" s="257"/>
    </row>
    <row r="1024" spans="1:1" ht="12.75">
      <c r="A1024" s="257"/>
    </row>
    <row r="1025" spans="1:1" ht="12.75">
      <c r="A1025" s="257"/>
    </row>
    <row r="1026" spans="1:1" ht="12.75">
      <c r="A1026" s="257"/>
    </row>
    <row r="1027" spans="1:1" ht="12.75">
      <c r="A1027" s="257"/>
    </row>
    <row r="1028" spans="1:1" ht="12.75">
      <c r="A1028" s="257"/>
    </row>
    <row r="1029" spans="1:1" ht="12.75">
      <c r="A1029" s="257"/>
    </row>
    <row r="1030" spans="1:1" ht="12.75">
      <c r="A1030" s="257"/>
    </row>
    <row r="1031" spans="1:1" ht="12.75">
      <c r="A1031" s="257"/>
    </row>
    <row r="1032" spans="1:1" ht="12.75">
      <c r="A1032" s="257"/>
    </row>
    <row r="1033" spans="1:1" ht="12.75">
      <c r="A1033" s="257"/>
    </row>
    <row r="1034" spans="1:1" ht="12.75">
      <c r="A1034" s="257"/>
    </row>
    <row r="1035" spans="1:1" ht="12.75">
      <c r="A1035" s="257"/>
    </row>
    <row r="1036" spans="1:1" ht="12.75">
      <c r="A1036" s="257"/>
    </row>
    <row r="1037" spans="1:1" ht="12.75">
      <c r="A1037" s="257"/>
    </row>
    <row r="1038" spans="1:1" ht="12.75">
      <c r="A1038" s="257"/>
    </row>
    <row r="1039" spans="1:1" ht="12.75">
      <c r="A1039" s="257"/>
    </row>
    <row r="1040" spans="1:1" ht="12.75">
      <c r="A1040" s="257"/>
    </row>
    <row r="1041" spans="1:1" ht="12.75">
      <c r="A1041" s="257"/>
    </row>
    <row r="1042" spans="1:1" ht="12.75">
      <c r="A1042" s="257"/>
    </row>
    <row r="1043" spans="1:1" ht="12.75">
      <c r="A1043" s="257"/>
    </row>
    <row r="1044" spans="1:1" ht="12.75">
      <c r="A1044" s="257"/>
    </row>
    <row r="1045" spans="1:1" ht="12.75">
      <c r="A1045" s="257"/>
    </row>
    <row r="1046" spans="1:1" ht="12.75">
      <c r="A1046" s="257"/>
    </row>
    <row r="1047" spans="1:1" ht="12.75">
      <c r="A1047" s="257"/>
    </row>
    <row r="1048" spans="1:1" ht="12.75">
      <c r="A1048" s="257"/>
    </row>
    <row r="1049" spans="1:1" ht="12.75">
      <c r="A1049" s="257"/>
    </row>
    <row r="1050" spans="1:1" ht="12.75">
      <c r="A1050" s="257"/>
    </row>
    <row r="1051" spans="1:1" ht="12.75">
      <c r="A1051" s="257"/>
    </row>
    <row r="1052" spans="1:1" ht="12.75">
      <c r="A1052" s="257"/>
    </row>
    <row r="1053" spans="1:1" ht="12.75">
      <c r="A1053" s="257"/>
    </row>
    <row r="1054" spans="1:1" ht="12.75">
      <c r="A1054" s="257"/>
    </row>
    <row r="1055" spans="1:1" ht="12.75">
      <c r="A1055" s="257"/>
    </row>
    <row r="1056" spans="1:1" ht="12.75">
      <c r="A1056" s="257"/>
    </row>
    <row r="1057" spans="1:1" ht="12.75">
      <c r="A1057" s="257"/>
    </row>
    <row r="1058" spans="1:1" ht="12.75">
      <c r="A1058" s="257"/>
    </row>
    <row r="1059" spans="1:1" ht="12.75">
      <c r="A1059" s="257"/>
    </row>
    <row r="1060" spans="1:1" ht="12.75">
      <c r="A1060" s="257"/>
    </row>
    <row r="1061" spans="1:1" ht="12.75">
      <c r="A1061" s="257"/>
    </row>
    <row r="1062" spans="1:1" ht="12.75">
      <c r="A1062" s="257"/>
    </row>
    <row r="1063" spans="1:1" ht="12.75">
      <c r="A1063" s="257"/>
    </row>
    <row r="1064" spans="1:1" ht="12.75">
      <c r="A1064" s="257"/>
    </row>
    <row r="1065" spans="1:1" ht="12.75">
      <c r="A1065" s="257"/>
    </row>
    <row r="1066" spans="1:1" ht="12.75">
      <c r="A1066" s="257"/>
    </row>
    <row r="1067" spans="1:1" ht="12.75">
      <c r="A1067" s="257"/>
    </row>
    <row r="1068" spans="1:1" ht="12.75">
      <c r="A1068" s="257"/>
    </row>
    <row r="1069" spans="1:1" ht="12.75">
      <c r="A1069" s="257"/>
    </row>
    <row r="1070" spans="1:1" ht="12.75">
      <c r="A1070" s="257"/>
    </row>
    <row r="1071" spans="1:1" ht="12.75">
      <c r="A1071" s="257"/>
    </row>
    <row r="1072" spans="1:1" ht="12.75">
      <c r="A1072" s="257"/>
    </row>
    <row r="1073" spans="1:1" ht="12.75">
      <c r="A1073" s="257"/>
    </row>
    <row r="1074" spans="1:1" ht="12.75">
      <c r="A1074" s="257"/>
    </row>
    <row r="1075" spans="1:1" ht="12.75">
      <c r="A1075" s="257"/>
    </row>
    <row r="1076" spans="1:1" ht="12.75">
      <c r="A1076" s="257"/>
    </row>
    <row r="1077" spans="1:1" ht="12.75">
      <c r="A1077" s="257"/>
    </row>
    <row r="1078" spans="1:1" ht="12.75">
      <c r="A1078" s="257"/>
    </row>
    <row r="1079" spans="1:1" ht="12.75">
      <c r="A1079" s="257"/>
    </row>
    <row r="1080" spans="1:1" ht="12.75">
      <c r="A1080" s="257"/>
    </row>
    <row r="1081" spans="1:1" ht="12.75">
      <c r="A1081" s="257"/>
    </row>
    <row r="1082" spans="1:1" ht="12.75">
      <c r="A1082" s="257"/>
    </row>
    <row r="1083" spans="1:1" ht="12.75">
      <c r="A1083" s="257"/>
    </row>
    <row r="1084" spans="1:1" ht="12.75">
      <c r="A1084" s="257"/>
    </row>
    <row r="1085" spans="1:1" ht="12.75">
      <c r="A1085" s="257"/>
    </row>
    <row r="1086" spans="1:1" ht="12.75">
      <c r="A1086" s="257"/>
    </row>
    <row r="1087" spans="1:1" ht="12.75">
      <c r="A1087" s="257"/>
    </row>
    <row r="1088" spans="1:1" ht="12.75">
      <c r="A1088" s="257"/>
    </row>
    <row r="1089" spans="1:1" ht="12.75">
      <c r="A1089" s="257"/>
    </row>
    <row r="1090" spans="1:1" ht="12.75">
      <c r="A1090" s="257"/>
    </row>
    <row r="1091" spans="1:1" ht="12.75">
      <c r="A1091" s="257"/>
    </row>
    <row r="1092" spans="1:1" ht="12.75">
      <c r="A1092" s="257"/>
    </row>
    <row r="1093" spans="1:1" ht="12.75">
      <c r="A1093" s="257"/>
    </row>
    <row r="1094" spans="1:1" ht="12.75">
      <c r="A1094" s="257"/>
    </row>
    <row r="1095" spans="1:1" ht="12.75">
      <c r="A1095" s="257"/>
    </row>
    <row r="1096" spans="1:1" ht="12.75">
      <c r="A1096" s="257"/>
    </row>
    <row r="1097" spans="1:1" ht="12.75">
      <c r="A1097" s="257"/>
    </row>
    <row r="1098" spans="1:1" ht="12.75">
      <c r="A1098" s="257"/>
    </row>
    <row r="1099" spans="1:1" ht="12.75">
      <c r="A1099" s="257"/>
    </row>
    <row r="1100" spans="1:1" ht="12.75">
      <c r="A1100" s="257"/>
    </row>
    <row r="1101" spans="1:1" ht="12.75">
      <c r="A1101" s="257"/>
    </row>
    <row r="1102" spans="1:1" ht="12.75">
      <c r="A1102" s="257"/>
    </row>
    <row r="1103" spans="1:1" ht="12.75">
      <c r="A1103" s="257"/>
    </row>
    <row r="1104" spans="1:1" ht="12.75">
      <c r="A1104" s="257"/>
    </row>
    <row r="1105" spans="1:1" ht="12.75">
      <c r="A1105" s="257"/>
    </row>
    <row r="1106" spans="1:1" ht="12.75">
      <c r="A1106" s="257"/>
    </row>
    <row r="1107" spans="1:1" ht="12.75">
      <c r="A1107" s="257"/>
    </row>
    <row r="1108" spans="1:1" ht="12.75">
      <c r="A1108" s="257"/>
    </row>
    <row r="1109" spans="1:1" ht="12.75">
      <c r="A1109" s="257"/>
    </row>
    <row r="1110" spans="1:1" ht="12.75">
      <c r="A1110" s="257"/>
    </row>
    <row r="1111" spans="1:1" ht="12.75">
      <c r="A1111" s="257"/>
    </row>
    <row r="1112" spans="1:1" ht="12.75">
      <c r="A1112" s="257"/>
    </row>
    <row r="1113" spans="1:1" ht="12.75">
      <c r="A1113" s="257"/>
    </row>
    <row r="1114" spans="1:1" ht="12.75">
      <c r="A1114" s="257"/>
    </row>
    <row r="1115" spans="1:1" ht="12.75">
      <c r="A1115" s="257"/>
    </row>
    <row r="1116" spans="1:1" ht="12.75">
      <c r="A1116" s="257"/>
    </row>
    <row r="1117" spans="1:1" ht="12.75">
      <c r="A1117" s="257"/>
    </row>
    <row r="1118" spans="1:1" ht="12.75">
      <c r="A1118" s="257"/>
    </row>
    <row r="1119" spans="1:1" ht="12.75">
      <c r="A1119" s="257"/>
    </row>
    <row r="1120" spans="1:1" ht="12.75">
      <c r="A1120" s="257"/>
    </row>
    <row r="1121" spans="1:1" ht="12.75">
      <c r="A1121" s="257"/>
    </row>
    <row r="1122" spans="1:1" ht="12.75">
      <c r="A1122" s="257"/>
    </row>
    <row r="1123" spans="1:1" ht="12.75">
      <c r="A1123" s="257"/>
    </row>
    <row r="1124" spans="1:1" ht="12.75">
      <c r="A1124" s="257"/>
    </row>
    <row r="1125" spans="1:1" ht="12.75">
      <c r="A1125" s="257"/>
    </row>
    <row r="1126" spans="1:1" ht="12.75">
      <c r="A1126" s="257"/>
    </row>
    <row r="1127" spans="1:1" ht="12.75">
      <c r="A1127" s="257"/>
    </row>
    <row r="1128" spans="1:1" ht="12.75">
      <c r="A1128" s="257"/>
    </row>
    <row r="1129" spans="1:1" ht="12.75">
      <c r="A1129" s="257"/>
    </row>
    <row r="1130" spans="1:1" ht="12.75">
      <c r="A1130" s="257"/>
    </row>
    <row r="1131" spans="1:1" ht="12.75">
      <c r="A1131" s="257"/>
    </row>
    <row r="1132" spans="1:1" ht="12.75">
      <c r="A1132" s="257"/>
    </row>
    <row r="1133" spans="1:1" ht="12.75">
      <c r="A1133" s="257"/>
    </row>
    <row r="1134" spans="1:1" ht="12.75">
      <c r="A1134" s="257"/>
    </row>
    <row r="1135" spans="1:1" ht="12.75">
      <c r="A1135" s="257"/>
    </row>
    <row r="1136" spans="1:1" ht="12.75">
      <c r="A1136" s="257"/>
    </row>
    <row r="1137" spans="1:1" ht="12.75">
      <c r="A1137" s="257"/>
    </row>
    <row r="1138" spans="1:1" ht="12.75">
      <c r="A1138" s="257"/>
    </row>
    <row r="1139" spans="1:1" ht="12.75">
      <c r="A1139" s="257"/>
    </row>
    <row r="1140" spans="1:1" ht="12.75">
      <c r="A1140" s="257"/>
    </row>
    <row r="1141" spans="1:1" ht="12.75">
      <c r="A1141" s="257"/>
    </row>
    <row r="1142" spans="1:1" ht="12.75">
      <c r="A1142" s="257"/>
    </row>
    <row r="1143" spans="1:1" ht="12.75">
      <c r="A1143" s="257"/>
    </row>
    <row r="1144" spans="1:1" ht="12.75">
      <c r="A1144" s="257"/>
    </row>
    <row r="1145" spans="1:1" ht="12.75">
      <c r="A1145" s="257"/>
    </row>
    <row r="1146" spans="1:1" ht="12.75">
      <c r="A1146" s="257"/>
    </row>
    <row r="1147" spans="1:1" ht="12.75">
      <c r="A1147" s="257"/>
    </row>
    <row r="1148" spans="1:1" ht="12.75">
      <c r="A1148" s="257"/>
    </row>
    <row r="1149" spans="1:1" ht="12.75">
      <c r="A1149" s="257"/>
    </row>
    <row r="1150" spans="1:1" ht="12.75">
      <c r="A1150" s="257"/>
    </row>
    <row r="1151" spans="1:1" ht="12.75">
      <c r="A1151" s="257"/>
    </row>
    <row r="1152" spans="1:1" ht="12.75">
      <c r="A1152" s="257"/>
    </row>
    <row r="1153" spans="1:1" ht="12.75">
      <c r="A1153" s="257"/>
    </row>
    <row r="1154" spans="1:1" ht="12.75">
      <c r="A1154" s="257"/>
    </row>
    <row r="1155" spans="1:1" ht="12.75">
      <c r="A1155" s="257"/>
    </row>
    <row r="1156" spans="1:1" ht="12.75">
      <c r="A1156" s="257"/>
    </row>
    <row r="1157" spans="1:1" ht="12.75">
      <c r="A1157" s="257"/>
    </row>
    <row r="1158" spans="1:1" ht="12.75">
      <c r="A1158" s="257"/>
    </row>
    <row r="1159" spans="1:1" ht="12.75">
      <c r="A1159" s="257"/>
    </row>
    <row r="1160" spans="1:1" ht="12.75">
      <c r="A1160" s="257"/>
    </row>
    <row r="1161" spans="1:1" ht="12.75">
      <c r="A1161" s="257"/>
    </row>
    <row r="1162" spans="1:1" ht="12.75">
      <c r="A1162" s="257"/>
    </row>
    <row r="1163" spans="1:1" ht="12.75">
      <c r="A1163" s="257"/>
    </row>
    <row r="1164" spans="1:1" ht="12.75">
      <c r="A1164" s="257"/>
    </row>
    <row r="1165" spans="1:1" ht="12.75">
      <c r="A1165" s="257"/>
    </row>
    <row r="1166" spans="1:1" ht="12.75">
      <c r="A1166" s="257"/>
    </row>
    <row r="1167" spans="1:1" ht="12.75">
      <c r="A1167" s="257"/>
    </row>
    <row r="1168" spans="1:1" ht="12.75">
      <c r="A1168" s="257"/>
    </row>
    <row r="1169" spans="1:1" ht="12.75">
      <c r="A1169" s="257"/>
    </row>
    <row r="1170" spans="1:1" ht="12.75">
      <c r="A1170" s="257"/>
    </row>
    <row r="1171" spans="1:1" ht="12.75">
      <c r="A1171" s="257"/>
    </row>
    <row r="1172" spans="1:1" ht="12.75">
      <c r="A1172" s="257"/>
    </row>
    <row r="1173" spans="1:1" ht="12.75">
      <c r="A1173" s="257"/>
    </row>
    <row r="1174" spans="1:1" ht="12.75">
      <c r="A1174" s="257"/>
    </row>
    <row r="1175" spans="1:1" ht="12.75">
      <c r="A1175" s="257"/>
    </row>
    <row r="1176" spans="1:1" ht="12.75">
      <c r="A1176" s="257"/>
    </row>
    <row r="1177" spans="1:1" ht="12.75">
      <c r="A1177" s="257"/>
    </row>
    <row r="1178" spans="1:1" ht="12.75">
      <c r="A1178" s="257"/>
    </row>
    <row r="1179" spans="1:1" ht="12.75">
      <c r="A1179" s="257"/>
    </row>
    <row r="1180" spans="1:1" ht="12.75">
      <c r="A1180" s="257"/>
    </row>
    <row r="1181" spans="1:1" ht="12.75">
      <c r="A1181" s="257"/>
    </row>
    <row r="1182" spans="1:1" ht="12.75">
      <c r="A1182" s="257"/>
    </row>
    <row r="1183" spans="1:1" ht="12.75">
      <c r="A1183" s="257"/>
    </row>
    <row r="1184" spans="1:1" ht="12.75">
      <c r="A1184" s="257"/>
    </row>
    <row r="1185" spans="1:1" ht="12.75">
      <c r="A1185" s="257"/>
    </row>
    <row r="1186" spans="1:1" ht="12.75">
      <c r="A1186" s="257"/>
    </row>
    <row r="1187" spans="1:1" ht="12.75">
      <c r="A1187" s="257"/>
    </row>
    <row r="1188" spans="1:1" ht="12.75">
      <c r="A1188" s="257"/>
    </row>
    <row r="1189" spans="1:1" ht="12.75">
      <c r="A1189" s="257"/>
    </row>
    <row r="1190" spans="1:1" ht="12.75">
      <c r="A1190" s="257"/>
    </row>
    <row r="1191" spans="1:1" ht="12.75">
      <c r="A1191" s="257"/>
    </row>
    <row r="1192" spans="1:1" ht="12.75">
      <c r="A1192" s="257"/>
    </row>
    <row r="1193" spans="1:1" ht="12.75">
      <c r="A1193" s="257"/>
    </row>
    <row r="1194" spans="1:1" ht="12.75">
      <c r="A1194" s="257"/>
    </row>
    <row r="1195" spans="1:1" ht="12.75">
      <c r="A1195" s="257"/>
    </row>
    <row r="1196" spans="1:1" ht="12.75">
      <c r="A1196" s="257"/>
    </row>
    <row r="1197" spans="1:1" ht="12.75">
      <c r="A1197" s="257"/>
    </row>
    <row r="1198" spans="1:1" ht="12.75">
      <c r="A1198" s="257"/>
    </row>
    <row r="1199" spans="1:1" ht="12.75">
      <c r="A1199" s="257"/>
    </row>
    <row r="1200" spans="1:1" ht="12.75">
      <c r="A1200" s="257"/>
    </row>
    <row r="1201" spans="1:1" ht="12.75">
      <c r="A1201" s="257"/>
    </row>
    <row r="1202" spans="1:1" ht="12.75">
      <c r="A1202" s="257"/>
    </row>
    <row r="1203" spans="1:1" ht="12.75">
      <c r="A1203" s="257"/>
    </row>
    <row r="1204" spans="1:1" ht="12.75">
      <c r="A1204" s="257"/>
    </row>
    <row r="1205" spans="1:1" ht="12.75">
      <c r="A1205" s="257"/>
    </row>
    <row r="1206" spans="1:1" ht="12.75">
      <c r="A1206" s="257"/>
    </row>
    <row r="1207" spans="1:1" ht="12.75">
      <c r="A1207" s="257"/>
    </row>
    <row r="1208" spans="1:1" ht="12.75">
      <c r="A1208" s="257"/>
    </row>
    <row r="1209" spans="1:1" ht="12.75">
      <c r="A1209" s="257"/>
    </row>
    <row r="1210" spans="1:1" ht="12.75">
      <c r="A1210" s="257"/>
    </row>
    <row r="1211" spans="1:1" ht="12.75">
      <c r="A1211" s="257"/>
    </row>
    <row r="1212" spans="1:1" ht="12.75">
      <c r="A1212" s="257"/>
    </row>
    <row r="1213" spans="1:1" ht="12.75">
      <c r="A1213" s="257"/>
    </row>
    <row r="1214" spans="1:1" ht="12.75">
      <c r="A1214" s="257"/>
    </row>
    <row r="1215" spans="1:1" ht="12.75">
      <c r="A1215" s="257"/>
    </row>
    <row r="1216" spans="1:1" ht="12.75">
      <c r="A1216" s="257"/>
    </row>
    <row r="1217" spans="1:1" ht="12.75">
      <c r="A1217" s="257"/>
    </row>
    <row r="1218" spans="1:1" ht="12.75">
      <c r="A1218" s="257"/>
    </row>
    <row r="1219" spans="1:1" ht="12.75">
      <c r="A1219" s="257"/>
    </row>
    <row r="1220" spans="1:1" ht="12.75">
      <c r="A1220" s="257"/>
    </row>
    <row r="1221" spans="1:1" ht="12.75">
      <c r="A1221" s="257"/>
    </row>
    <row r="1222" spans="1:1" ht="12.75">
      <c r="A1222" s="257"/>
    </row>
    <row r="1223" spans="1:1" ht="12.75">
      <c r="A1223" s="257"/>
    </row>
    <row r="1224" spans="1:1" ht="12.75">
      <c r="A1224" s="257"/>
    </row>
    <row r="1225" spans="1:1" ht="12.75">
      <c r="A1225" s="257"/>
    </row>
    <row r="1226" spans="1:1" ht="12.75">
      <c r="A1226" s="257"/>
    </row>
    <row r="1227" spans="1:1" ht="12.75">
      <c r="A1227" s="257"/>
    </row>
    <row r="1228" spans="1:1" ht="12.75">
      <c r="A1228" s="257"/>
    </row>
    <row r="1229" spans="1:1" ht="12.75">
      <c r="A1229" s="257"/>
    </row>
    <row r="1230" spans="1:1" ht="12.75">
      <c r="A1230" s="257"/>
    </row>
    <row r="1231" spans="1:1" ht="12.75">
      <c r="A1231" s="257"/>
    </row>
    <row r="1232" spans="1:1" ht="12.75">
      <c r="A1232" s="257"/>
    </row>
    <row r="1233" spans="1:1" ht="12.75">
      <c r="A1233" s="257"/>
    </row>
    <row r="1234" spans="1:1" ht="12.75">
      <c r="A1234" s="257"/>
    </row>
    <row r="1235" spans="1:1" ht="12.75">
      <c r="A1235" s="257"/>
    </row>
    <row r="1236" spans="1:1" ht="12.75">
      <c r="A1236" s="257"/>
    </row>
    <row r="1237" spans="1:1" ht="12.75">
      <c r="A1237" s="257"/>
    </row>
    <row r="1238" spans="1:1" ht="12.75">
      <c r="A1238" s="257"/>
    </row>
    <row r="1239" spans="1:1" ht="12.75">
      <c r="A1239" s="257"/>
    </row>
    <row r="1240" spans="1:1" ht="12.75">
      <c r="A1240" s="257"/>
    </row>
    <row r="1241" spans="1:1" ht="12.75">
      <c r="A1241" s="257"/>
    </row>
    <row r="1242" spans="1:1" ht="12.75">
      <c r="A1242" s="257"/>
    </row>
    <row r="1243" spans="1:1" ht="12.75">
      <c r="A1243" s="257"/>
    </row>
    <row r="1244" spans="1:1" ht="12.75">
      <c r="A1244" s="257"/>
    </row>
    <row r="1245" spans="1:1" ht="12.75">
      <c r="A1245" s="257"/>
    </row>
    <row r="1246" spans="1:1" ht="12.75">
      <c r="A1246" s="257"/>
    </row>
    <row r="1247" spans="1:1" ht="12.75">
      <c r="A1247" s="257"/>
    </row>
    <row r="1248" spans="1:1" ht="12.75">
      <c r="A1248" s="257"/>
    </row>
    <row r="1249" spans="1:1" ht="12.75">
      <c r="A1249" s="257"/>
    </row>
    <row r="1250" spans="1:1" ht="12.75">
      <c r="A1250" s="257"/>
    </row>
    <row r="1251" spans="1:1" ht="12.75">
      <c r="A1251" s="257"/>
    </row>
    <row r="1252" spans="1:1" ht="12.75">
      <c r="A1252" s="257"/>
    </row>
    <row r="1253" spans="1:1" ht="12.75">
      <c r="A1253" s="257"/>
    </row>
    <row r="1254" spans="1:1" ht="12.75">
      <c r="A1254" s="257"/>
    </row>
    <row r="1255" spans="1:1" ht="12.75">
      <c r="A1255" s="257"/>
    </row>
    <row r="1256" spans="1:1" ht="12.75">
      <c r="A1256" s="257"/>
    </row>
    <row r="1257" spans="1:1" ht="12.75">
      <c r="A1257" s="257"/>
    </row>
    <row r="1258" spans="1:1" ht="12.75">
      <c r="A1258" s="257"/>
    </row>
    <row r="1259" spans="1:1" ht="12.75">
      <c r="A1259" s="257"/>
    </row>
    <row r="1260" spans="1:1" ht="12.75">
      <c r="A1260" s="257"/>
    </row>
    <row r="1261" spans="1:1" ht="12.75">
      <c r="A1261" s="257"/>
    </row>
    <row r="1262" spans="1:1" ht="12.75">
      <c r="A1262" s="257"/>
    </row>
    <row r="1263" spans="1:1" ht="12.75">
      <c r="A1263" s="257"/>
    </row>
    <row r="1264" spans="1:1" ht="12.75">
      <c r="A1264" s="257"/>
    </row>
    <row r="1265" spans="1:1" ht="12.75">
      <c r="A1265" s="257"/>
    </row>
    <row r="1266" spans="1:1" ht="12.75">
      <c r="A1266" s="257"/>
    </row>
    <row r="1267" spans="1:1" ht="12.75">
      <c r="A1267" s="257"/>
    </row>
    <row r="1268" spans="1:1" ht="12.75">
      <c r="A1268" s="257"/>
    </row>
    <row r="1269" spans="1:1" ht="12.75">
      <c r="A1269" s="257"/>
    </row>
    <row r="1270" spans="1:1" ht="12.75">
      <c r="A1270" s="257"/>
    </row>
    <row r="1271" spans="1:1" ht="12.75">
      <c r="A1271" s="257"/>
    </row>
    <row r="1272" spans="1:1" ht="12.75">
      <c r="A1272" s="257"/>
    </row>
    <row r="1273" spans="1:1" ht="12.75">
      <c r="A1273" s="257"/>
    </row>
    <row r="1274" spans="1:1" ht="12.75">
      <c r="A1274" s="257"/>
    </row>
    <row r="1275" spans="1:1" ht="12.75">
      <c r="A1275" s="257"/>
    </row>
    <row r="1276" spans="1:1" ht="12.75">
      <c r="A1276" s="257"/>
    </row>
    <row r="1277" spans="1:1" ht="12.75">
      <c r="A1277" s="257"/>
    </row>
    <row r="1278" spans="1:1" ht="12.75">
      <c r="A1278" s="257"/>
    </row>
    <row r="1279" spans="1:1" ht="12.75">
      <c r="A1279" s="257"/>
    </row>
    <row r="1280" spans="1:1" ht="12.75">
      <c r="A1280" s="257"/>
    </row>
    <row r="1281" spans="1:1" ht="12.75">
      <c r="A1281" s="257"/>
    </row>
    <row r="1282" spans="1:1" ht="12.75">
      <c r="A1282" s="257"/>
    </row>
    <row r="1283" spans="1:1" ht="12.75">
      <c r="A1283" s="257"/>
    </row>
    <row r="1284" spans="1:1" ht="12.75">
      <c r="A1284" s="257"/>
    </row>
    <row r="1285" spans="1:1" ht="12.75">
      <c r="A1285" s="257"/>
    </row>
    <row r="1286" spans="1:1" ht="12.75">
      <c r="A1286" s="257"/>
    </row>
    <row r="1287" spans="1:1" ht="12.75">
      <c r="A1287" s="257"/>
    </row>
    <row r="1288" spans="1:1" ht="12.75">
      <c r="A1288" s="257"/>
    </row>
    <row r="1289" spans="1:1" ht="12.75">
      <c r="A1289" s="257"/>
    </row>
    <row r="1290" spans="1:1" ht="12.75">
      <c r="A1290" s="257"/>
    </row>
    <row r="1291" spans="1:1" ht="12.75">
      <c r="A1291" s="257"/>
    </row>
    <row r="1292" spans="1:1" ht="12.75">
      <c r="A1292" s="257"/>
    </row>
    <row r="1293" spans="1:1" ht="12.75">
      <c r="A1293" s="257"/>
    </row>
    <row r="1294" spans="1:1" ht="12.75">
      <c r="A1294" s="257"/>
    </row>
    <row r="1295" spans="1:1" ht="12.75">
      <c r="A1295" s="257"/>
    </row>
    <row r="1296" spans="1:1" ht="12.75">
      <c r="A1296" s="257"/>
    </row>
    <row r="1297" spans="1:1" ht="12.75">
      <c r="A1297" s="257"/>
    </row>
    <row r="1298" spans="1:1" ht="12.75">
      <c r="A1298" s="257"/>
    </row>
    <row r="1299" spans="1:1" ht="12.75">
      <c r="A1299" s="257"/>
    </row>
    <row r="1300" spans="1:1" ht="12.75">
      <c r="A1300" s="257"/>
    </row>
    <row r="1301" spans="1:1" ht="12.75">
      <c r="A1301" s="257"/>
    </row>
    <row r="1302" spans="1:1" ht="12.75">
      <c r="A1302" s="257"/>
    </row>
    <row r="1303" spans="1:1" ht="12.75">
      <c r="A1303" s="257"/>
    </row>
    <row r="1304" spans="1:1" ht="12.75">
      <c r="A1304" s="257"/>
    </row>
    <row r="1305" spans="1:1" ht="12.75">
      <c r="A1305" s="257"/>
    </row>
    <row r="1306" spans="1:1" ht="12.75">
      <c r="A1306" s="257"/>
    </row>
    <row r="1307" spans="1:1" ht="12.75">
      <c r="A1307" s="257"/>
    </row>
    <row r="1308" spans="1:1" ht="12.75">
      <c r="A1308" s="257"/>
    </row>
    <row r="1309" spans="1:1" ht="12.75">
      <c r="A1309" s="257"/>
    </row>
    <row r="1310" spans="1:1" ht="12.75">
      <c r="A1310" s="257"/>
    </row>
    <row r="1311" spans="1:1" ht="12.75">
      <c r="A1311" s="257"/>
    </row>
    <row r="1312" spans="1:1" ht="12.75">
      <c r="A1312" s="257"/>
    </row>
    <row r="1313" spans="1:1" ht="12.75">
      <c r="A1313" s="257"/>
    </row>
    <row r="1314" spans="1:1" ht="12.75">
      <c r="A1314" s="257"/>
    </row>
    <row r="1315" spans="1:1" ht="12.75">
      <c r="A1315" s="257"/>
    </row>
    <row r="1316" spans="1:1" ht="12.75">
      <c r="A1316" s="257"/>
    </row>
    <row r="1317" spans="1:1" ht="12.75">
      <c r="A1317" s="257"/>
    </row>
    <row r="1318" spans="1:1" ht="12.75">
      <c r="A1318" s="257"/>
    </row>
    <row r="1319" spans="1:1" ht="12.75">
      <c r="A1319" s="257"/>
    </row>
    <row r="1320" spans="1:1" ht="12.75">
      <c r="A1320" s="257"/>
    </row>
    <row r="1321" spans="1:1" ht="12.75">
      <c r="A1321" s="257"/>
    </row>
    <row r="1322" spans="1:1" ht="12.75">
      <c r="A1322" s="257"/>
    </row>
    <row r="1323" spans="1:1" ht="12.75">
      <c r="A1323" s="257"/>
    </row>
    <row r="1324" spans="1:1" ht="12.75">
      <c r="A1324" s="257"/>
    </row>
    <row r="1325" spans="1:1" ht="12.75">
      <c r="A1325" s="257"/>
    </row>
    <row r="1326" spans="1:1" ht="12.75">
      <c r="A1326" s="257"/>
    </row>
    <row r="1327" spans="1:1" ht="12.75">
      <c r="A1327" s="257"/>
    </row>
    <row r="1328" spans="1:1" ht="12.75">
      <c r="A1328" s="257"/>
    </row>
    <row r="1329" spans="1:1" ht="12.75">
      <c r="A1329" s="257"/>
    </row>
    <row r="1330" spans="1:1" ht="12.75">
      <c r="A1330" s="257"/>
    </row>
    <row r="1331" spans="1:1" ht="12.75">
      <c r="A1331" s="257"/>
    </row>
    <row r="1332" spans="1:1" ht="12.75">
      <c r="A1332" s="257"/>
    </row>
    <row r="1333" spans="1:1" ht="12.75">
      <c r="A1333" s="257"/>
    </row>
    <row r="1334" spans="1:1" ht="12.75">
      <c r="A1334" s="257"/>
    </row>
    <row r="1335" spans="1:1" ht="12.75">
      <c r="A1335" s="257"/>
    </row>
    <row r="1336" spans="1:1" ht="12.75">
      <c r="A1336" s="257"/>
    </row>
    <row r="1337" spans="1:1" ht="12.75">
      <c r="A1337" s="257"/>
    </row>
    <row r="1338" spans="1:1" ht="12.75">
      <c r="A1338" s="257"/>
    </row>
    <row r="1339" spans="1:1" ht="12.75">
      <c r="A1339" s="257"/>
    </row>
    <row r="1340" spans="1:1" ht="12.75">
      <c r="A1340" s="257"/>
    </row>
    <row r="1341" spans="1:1" ht="12.75">
      <c r="A1341" s="257"/>
    </row>
    <row r="1342" spans="1:1" ht="12.75">
      <c r="A1342" s="257"/>
    </row>
    <row r="1343" spans="1:1" ht="12.75">
      <c r="A1343" s="257"/>
    </row>
    <row r="1344" spans="1:1" ht="12.75">
      <c r="A1344" s="257"/>
    </row>
    <row r="1345" spans="1:1" ht="12.75">
      <c r="A1345" s="257"/>
    </row>
    <row r="1346" spans="1:1" ht="12.75">
      <c r="A1346" s="257"/>
    </row>
    <row r="1347" spans="1:1" ht="12.75">
      <c r="A1347" s="257"/>
    </row>
    <row r="1348" spans="1:1" ht="12.75">
      <c r="A1348" s="257"/>
    </row>
    <row r="1349" spans="1:1" ht="12.75">
      <c r="A1349" s="257"/>
    </row>
    <row r="1350" spans="1:1" ht="12.75">
      <c r="A1350" s="257"/>
    </row>
    <row r="1351" spans="1:1" ht="12.75">
      <c r="A1351" s="257"/>
    </row>
    <row r="1352" spans="1:1" ht="12.75">
      <c r="A1352" s="257"/>
    </row>
    <row r="1353" spans="1:1" ht="12.75">
      <c r="A1353" s="257"/>
    </row>
    <row r="1354" spans="1:1" ht="12.75">
      <c r="A1354" s="257"/>
    </row>
    <row r="1355" spans="1:1" ht="12.75">
      <c r="A1355" s="257"/>
    </row>
    <row r="1356" spans="1:1" ht="12.75">
      <c r="A1356" s="257"/>
    </row>
    <row r="1357" spans="1:1" ht="12.75">
      <c r="A1357" s="257"/>
    </row>
    <row r="1358" spans="1:1" ht="12.75">
      <c r="A1358" s="257"/>
    </row>
    <row r="1359" spans="1:1" ht="12.75">
      <c r="A1359" s="257"/>
    </row>
    <row r="1360" spans="1:1" ht="12.75">
      <c r="A1360" s="257"/>
    </row>
    <row r="1361" spans="1:1" ht="12.75">
      <c r="A1361" s="257"/>
    </row>
    <row r="1362" spans="1:1" ht="12.75">
      <c r="A1362" s="257"/>
    </row>
    <row r="1363" spans="1:1" ht="12.75">
      <c r="A1363" s="257"/>
    </row>
    <row r="1364" spans="1:1" ht="12.75">
      <c r="A1364" s="257"/>
    </row>
    <row r="1365" spans="1:1" ht="12.75">
      <c r="A1365" s="257"/>
    </row>
    <row r="1366" spans="1:1" ht="12.75">
      <c r="A1366" s="257"/>
    </row>
    <row r="1367" spans="1:1" ht="12.75">
      <c r="A1367" s="257"/>
    </row>
    <row r="1368" spans="1:1" ht="12.75">
      <c r="A1368" s="257"/>
    </row>
    <row r="1369" spans="1:1" ht="12.75">
      <c r="A1369" s="257"/>
    </row>
    <row r="1370" spans="1:1" ht="12.75">
      <c r="A1370" s="257"/>
    </row>
    <row r="1371" spans="1:1" ht="12.75">
      <c r="A1371" s="257"/>
    </row>
    <row r="1372" spans="1:1" ht="12.75">
      <c r="A1372" s="257"/>
    </row>
    <row r="1373" spans="1:1" ht="12.75">
      <c r="A1373" s="257"/>
    </row>
    <row r="1374" spans="1:1" ht="12.75">
      <c r="A1374" s="257"/>
    </row>
    <row r="1375" spans="1:1" ht="12.75">
      <c r="A1375" s="257"/>
    </row>
    <row r="1376" spans="1:1" ht="12.75">
      <c r="A1376" s="257"/>
    </row>
    <row r="1377" spans="1:1" ht="12.75">
      <c r="A1377" s="257"/>
    </row>
    <row r="1378" spans="1:1" ht="12.75">
      <c r="A1378" s="257"/>
    </row>
    <row r="1379" spans="1:1" ht="12.75">
      <c r="A1379" s="257"/>
    </row>
    <row r="1380" spans="1:1" ht="12.75">
      <c r="A1380" s="257"/>
    </row>
    <row r="1381" spans="1:1" ht="12.75">
      <c r="A1381" s="257"/>
    </row>
    <row r="1382" spans="1:1" ht="12.75">
      <c r="A1382" s="257"/>
    </row>
    <row r="1383" spans="1:1" ht="12.75">
      <c r="A1383" s="257"/>
    </row>
    <row r="1384" spans="1:1" ht="12.75">
      <c r="A1384" s="257"/>
    </row>
    <row r="1385" spans="1:1" ht="12.75">
      <c r="A1385" s="257"/>
    </row>
    <row r="1386" spans="1:1" ht="12.75">
      <c r="A1386" s="257"/>
    </row>
    <row r="1387" spans="1:1" ht="12.75">
      <c r="A1387" s="257"/>
    </row>
    <row r="1388" spans="1:1" ht="12.75">
      <c r="A1388" s="257"/>
    </row>
    <row r="1389" spans="1:1" ht="12.75">
      <c r="A1389" s="257"/>
    </row>
    <row r="1390" spans="1:1" ht="12.75">
      <c r="A1390" s="257"/>
    </row>
    <row r="1391" spans="1:1" ht="12.75">
      <c r="A1391" s="257"/>
    </row>
    <row r="1392" spans="1:1" ht="12.75">
      <c r="A1392" s="257"/>
    </row>
    <row r="1393" spans="1:1" ht="12.75">
      <c r="A1393" s="257"/>
    </row>
    <row r="1394" spans="1:1" ht="12.75">
      <c r="A1394" s="257"/>
    </row>
    <row r="1395" spans="1:1" ht="12.75">
      <c r="A1395" s="257"/>
    </row>
    <row r="1396" spans="1:1" ht="12.75">
      <c r="A1396" s="257"/>
    </row>
    <row r="1397" spans="1:1" ht="12.75">
      <c r="A1397" s="257"/>
    </row>
    <row r="1398" spans="1:1" ht="12.75">
      <c r="A1398" s="257"/>
    </row>
    <row r="1399" spans="1:1" ht="12.75">
      <c r="A1399" s="257"/>
    </row>
    <row r="1400" spans="1:1" ht="12.75">
      <c r="A1400" s="257"/>
    </row>
    <row r="1401" spans="1:1" ht="12.75">
      <c r="A1401" s="257"/>
    </row>
    <row r="1402" spans="1:1" ht="12.75">
      <c r="A1402" s="257"/>
    </row>
    <row r="1403" spans="1:1" ht="12.75">
      <c r="A1403" s="257"/>
    </row>
    <row r="1404" spans="1:1" ht="12.75">
      <c r="A1404" s="257"/>
    </row>
    <row r="1405" spans="1:1" ht="12.75">
      <c r="A1405" s="257"/>
    </row>
    <row r="1406" spans="1:1" ht="12.75">
      <c r="A1406" s="257"/>
    </row>
    <row r="1407" spans="1:1" ht="12.75">
      <c r="A1407" s="257"/>
    </row>
    <row r="1408" spans="1:1" ht="12.75">
      <c r="A1408" s="257"/>
    </row>
    <row r="1409" spans="1:1" ht="12.75">
      <c r="A1409" s="257"/>
    </row>
    <row r="1410" spans="1:1" ht="12.75">
      <c r="A1410" s="257"/>
    </row>
    <row r="1411" spans="1:1" ht="12.75">
      <c r="A1411" s="257"/>
    </row>
    <row r="1412" spans="1:1" ht="12.75">
      <c r="A1412" s="257"/>
    </row>
    <row r="1413" spans="1:1" ht="12.75">
      <c r="A1413" s="257"/>
    </row>
    <row r="1414" spans="1:1" ht="12.75">
      <c r="A1414" s="257"/>
    </row>
    <row r="1415" spans="1:1" ht="12.75">
      <c r="A1415" s="257"/>
    </row>
    <row r="1416" spans="1:1" ht="12.75">
      <c r="A1416" s="257"/>
    </row>
    <row r="1417" spans="1:1" ht="12.75">
      <c r="A1417" s="257"/>
    </row>
    <row r="1418" spans="1:1" ht="12.75">
      <c r="A1418" s="257"/>
    </row>
    <row r="1419" spans="1:1" ht="12.75">
      <c r="A1419" s="257"/>
    </row>
    <row r="1420" spans="1:1" ht="12.75">
      <c r="A1420" s="257"/>
    </row>
    <row r="1421" spans="1:1" ht="12.75">
      <c r="A1421" s="257"/>
    </row>
    <row r="1422" spans="1:1" ht="12.75">
      <c r="A1422" s="257"/>
    </row>
    <row r="1423" spans="1:1" ht="12.75">
      <c r="A1423" s="257"/>
    </row>
    <row r="1424" spans="1:1" ht="12.75">
      <c r="A1424" s="257"/>
    </row>
    <row r="1425" spans="1:1" ht="12.75">
      <c r="A1425" s="257"/>
    </row>
    <row r="1426" spans="1:1" ht="12.75">
      <c r="A1426" s="257"/>
    </row>
    <row r="1427" spans="1:1" ht="12.75">
      <c r="A1427" s="257"/>
    </row>
    <row r="1428" spans="1:1" ht="12.75">
      <c r="A1428" s="257"/>
    </row>
    <row r="1429" spans="1:1" ht="12.75">
      <c r="A1429" s="257"/>
    </row>
    <row r="1430" spans="1:1" ht="12.75">
      <c r="A1430" s="257"/>
    </row>
    <row r="1431" spans="1:1" ht="12.75">
      <c r="A1431" s="257"/>
    </row>
    <row r="1432" spans="1:1" ht="12.75">
      <c r="A1432" s="257"/>
    </row>
    <row r="1433" spans="1:1" ht="12.75">
      <c r="A1433" s="257"/>
    </row>
    <row r="1434" spans="1:1" ht="12.75">
      <c r="A1434" s="257"/>
    </row>
    <row r="1435" spans="1:1" ht="12.75">
      <c r="A1435" s="257"/>
    </row>
    <row r="1436" spans="1:1" ht="12.75">
      <c r="A1436" s="257"/>
    </row>
    <row r="1437" spans="1:1" ht="12.75">
      <c r="A1437" s="257"/>
    </row>
    <row r="1438" spans="1:1" ht="12.75">
      <c r="A1438" s="257"/>
    </row>
    <row r="1439" spans="1:1" ht="12.75">
      <c r="A1439" s="257"/>
    </row>
    <row r="1440" spans="1:1" ht="12.75">
      <c r="A1440" s="257"/>
    </row>
    <row r="1441" spans="1:1" ht="12.75">
      <c r="A1441" s="257"/>
    </row>
    <row r="1442" spans="1:1" ht="12.75">
      <c r="A1442" s="257"/>
    </row>
    <row r="1443" spans="1:1" ht="12.75">
      <c r="A1443" s="257"/>
    </row>
    <row r="1444" spans="1:1" ht="12.75">
      <c r="A1444" s="257"/>
    </row>
    <row r="1445" spans="1:1" ht="12.75">
      <c r="A1445" s="257"/>
    </row>
    <row r="1446" spans="1:1" ht="12.75">
      <c r="A1446" s="257"/>
    </row>
    <row r="1447" spans="1:1" ht="12.75">
      <c r="A1447" s="257"/>
    </row>
    <row r="1448" spans="1:1" ht="12.75">
      <c r="A1448" s="257"/>
    </row>
    <row r="1449" spans="1:1" ht="12.75">
      <c r="A1449" s="257"/>
    </row>
    <row r="1450" spans="1:1" ht="12.75">
      <c r="A1450" s="257"/>
    </row>
    <row r="1451" spans="1:1" ht="12.75">
      <c r="A1451" s="257"/>
    </row>
    <row r="1452" spans="1:1" ht="12.75">
      <c r="A1452" s="257"/>
    </row>
    <row r="1453" spans="1:1" ht="12.75">
      <c r="A1453" s="257"/>
    </row>
    <row r="1454" spans="1:1" ht="12.75">
      <c r="A1454" s="257"/>
    </row>
    <row r="1455" spans="1:1" ht="12.75">
      <c r="A1455" s="257"/>
    </row>
    <row r="1456" spans="1:1" ht="12.75">
      <c r="A1456" s="257"/>
    </row>
    <row r="1457" spans="1:1" ht="12.75">
      <c r="A1457" s="257"/>
    </row>
    <row r="1458" spans="1:1" ht="12.75">
      <c r="A1458" s="257"/>
    </row>
    <row r="1459" spans="1:1" ht="12.75">
      <c r="A1459" s="257"/>
    </row>
    <row r="1460" spans="1:1" ht="12.75">
      <c r="A1460" s="257"/>
    </row>
    <row r="1461" spans="1:1" ht="12.75">
      <c r="A1461" s="257"/>
    </row>
    <row r="1462" spans="1:1" ht="12.75">
      <c r="A1462" s="257"/>
    </row>
    <row r="1463" spans="1:1" ht="12.75">
      <c r="A1463" s="257"/>
    </row>
    <row r="1464" spans="1:1" ht="12.75">
      <c r="A1464" s="257"/>
    </row>
    <row r="1465" spans="1:1" ht="12.75">
      <c r="A1465" s="257"/>
    </row>
    <row r="1466" spans="1:1" ht="12.75">
      <c r="A1466" s="257"/>
    </row>
    <row r="1467" spans="1:1" ht="12.75">
      <c r="A1467" s="257"/>
    </row>
    <row r="1468" spans="1:1" ht="12.75">
      <c r="A1468" s="257"/>
    </row>
    <row r="1469" spans="1:1" ht="12.75">
      <c r="A1469" s="257"/>
    </row>
    <row r="1470" spans="1:1" ht="12.75">
      <c r="A1470" s="257"/>
    </row>
    <row r="1471" spans="1:1" ht="12.75">
      <c r="A1471" s="257"/>
    </row>
    <row r="1472" spans="1:1" ht="12.75">
      <c r="A1472" s="257"/>
    </row>
    <row r="1473" spans="1:1" ht="12.75">
      <c r="A1473" s="257"/>
    </row>
    <row r="1474" spans="1:1" ht="12.75">
      <c r="A1474" s="257"/>
    </row>
    <row r="1475" spans="1:1" ht="12.75">
      <c r="A1475" s="257"/>
    </row>
    <row r="1476" spans="1:1" ht="12.75">
      <c r="A1476" s="257"/>
    </row>
    <row r="1477" spans="1:1" ht="12.75">
      <c r="A1477" s="257"/>
    </row>
    <row r="1478" spans="1:1" ht="12.75">
      <c r="A1478" s="257"/>
    </row>
    <row r="1479" spans="1:1" ht="12.75">
      <c r="A1479" s="257"/>
    </row>
    <row r="1480" spans="1:1" ht="12.75">
      <c r="A1480" s="257"/>
    </row>
    <row r="1481" spans="1:1" ht="12.75">
      <c r="A1481" s="257"/>
    </row>
    <row r="1482" spans="1:1" ht="12.75">
      <c r="A1482" s="257"/>
    </row>
    <row r="1483" spans="1:1" ht="12.75">
      <c r="A1483" s="257"/>
    </row>
    <row r="1484" spans="1:1" ht="12.75">
      <c r="A1484" s="257"/>
    </row>
    <row r="1485" spans="1:1" ht="12.75">
      <c r="A1485" s="257"/>
    </row>
    <row r="1486" spans="1:1" ht="12.75">
      <c r="A1486" s="257"/>
    </row>
    <row r="1487" spans="1:1" ht="12.75">
      <c r="A1487" s="257"/>
    </row>
    <row r="1488" spans="1:1" ht="12.75">
      <c r="A1488" s="257"/>
    </row>
    <row r="1489" spans="1:1" ht="12.75">
      <c r="A1489" s="257"/>
    </row>
    <row r="1490" spans="1:1" ht="12.75">
      <c r="A1490" s="257"/>
    </row>
    <row r="1491" spans="1:1" ht="12.75">
      <c r="A1491" s="257"/>
    </row>
    <row r="1492" spans="1:1" ht="12.75">
      <c r="A1492" s="257"/>
    </row>
    <row r="1493" spans="1:1" ht="12.75">
      <c r="A1493" s="257"/>
    </row>
    <row r="1494" spans="1:1" ht="12.75">
      <c r="A1494" s="257"/>
    </row>
    <row r="1495" spans="1:1" ht="12.75">
      <c r="A1495" s="257"/>
    </row>
    <row r="1496" spans="1:1" ht="12.75">
      <c r="A1496" s="257"/>
    </row>
    <row r="1497" spans="1:1" ht="12.75">
      <c r="A1497" s="257"/>
    </row>
    <row r="1498" spans="1:1" ht="12.75">
      <c r="A1498" s="257"/>
    </row>
    <row r="1499" spans="1:1" ht="12.75">
      <c r="A1499" s="257"/>
    </row>
    <row r="1500" spans="1:1" ht="12.75">
      <c r="A1500" s="257"/>
    </row>
    <row r="1501" spans="1:1" ht="12.75">
      <c r="A1501" s="257"/>
    </row>
    <row r="1502" spans="1:1" ht="12.75">
      <c r="A1502" s="257"/>
    </row>
    <row r="1503" spans="1:1" ht="12.75">
      <c r="A1503" s="257"/>
    </row>
    <row r="1504" spans="1:1" ht="12.75">
      <c r="A1504" s="257"/>
    </row>
    <row r="1505" spans="1:1" ht="12.75">
      <c r="A1505" s="257"/>
    </row>
    <row r="1506" spans="1:1" ht="12.75">
      <c r="A1506" s="257"/>
    </row>
    <row r="1507" spans="1:1" ht="12.75">
      <c r="A1507" s="257"/>
    </row>
    <row r="1508" spans="1:1" ht="12.75">
      <c r="A1508" s="257"/>
    </row>
    <row r="1509" spans="1:1" ht="12.75">
      <c r="A1509" s="257"/>
    </row>
    <row r="1510" spans="1:1" ht="12.75">
      <c r="A1510" s="257"/>
    </row>
    <row r="1511" spans="1:1" ht="12.75">
      <c r="A1511" s="257"/>
    </row>
    <row r="1512" spans="1:1" ht="12.75">
      <c r="A1512" s="257"/>
    </row>
    <row r="1513" spans="1:1" ht="12.75">
      <c r="A1513" s="257"/>
    </row>
    <row r="1514" spans="1:1" ht="12.75">
      <c r="A1514" s="257"/>
    </row>
    <row r="1515" spans="1:1" ht="12.75">
      <c r="A1515" s="257"/>
    </row>
    <row r="1516" spans="1:1" ht="12.75">
      <c r="A1516" s="257"/>
    </row>
    <row r="1517" spans="1:1" ht="12.75">
      <c r="A1517" s="257"/>
    </row>
    <row r="1518" spans="1:1" ht="12.75">
      <c r="A1518" s="257"/>
    </row>
    <row r="1519" spans="1:1" ht="12.75">
      <c r="A1519" s="257"/>
    </row>
    <row r="1520" spans="1:1" ht="12.75">
      <c r="A1520" s="257"/>
    </row>
    <row r="1521" spans="1:1" ht="12.75">
      <c r="A1521" s="257"/>
    </row>
    <row r="1522" spans="1:1" ht="12.75">
      <c r="A1522" s="257"/>
    </row>
    <row r="1523" spans="1:1" ht="12.75">
      <c r="A1523" s="257"/>
    </row>
    <row r="1524" spans="1:1" ht="12.75">
      <c r="A1524" s="257"/>
    </row>
    <row r="1525" spans="1:1" ht="12.75">
      <c r="A1525" s="257"/>
    </row>
    <row r="1526" spans="1:1" ht="12.75">
      <c r="A1526" s="257"/>
    </row>
    <row r="1527" spans="1:1" ht="12.75">
      <c r="A1527" s="257"/>
    </row>
    <row r="1528" spans="1:1" ht="12.75">
      <c r="A1528" s="257"/>
    </row>
    <row r="1529" spans="1:1" ht="12.75">
      <c r="A1529" s="257"/>
    </row>
    <row r="1530" spans="1:1" ht="12.75">
      <c r="A1530" s="257"/>
    </row>
    <row r="1531" spans="1:1" ht="12.75">
      <c r="A1531" s="257"/>
    </row>
    <row r="1532" spans="1:1" ht="12.75">
      <c r="A1532" s="257"/>
    </row>
    <row r="1533" spans="1:1" ht="12.75">
      <c r="A1533" s="257"/>
    </row>
    <row r="1534" spans="1:1" ht="12.75">
      <c r="A1534" s="257"/>
    </row>
    <row r="1535" spans="1:1" ht="12.75">
      <c r="A1535" s="257"/>
    </row>
    <row r="1536" spans="1:1" ht="12.75">
      <c r="A1536" s="257"/>
    </row>
    <row r="1537" spans="1:1" ht="12.75">
      <c r="A1537" s="257"/>
    </row>
    <row r="1538" spans="1:1" ht="12.75">
      <c r="A1538" s="257"/>
    </row>
    <row r="1539" spans="1:1" ht="12.75">
      <c r="A1539" s="257"/>
    </row>
    <row r="1540" spans="1:1" ht="12.75">
      <c r="A1540" s="257"/>
    </row>
    <row r="1541" spans="1:1" ht="12.75">
      <c r="A1541" s="257"/>
    </row>
    <row r="1542" spans="1:1" ht="12.75">
      <c r="A1542" s="257"/>
    </row>
    <row r="1543" spans="1:1" ht="12.75">
      <c r="A1543" s="257"/>
    </row>
    <row r="1544" spans="1:1" ht="12.75">
      <c r="A1544" s="257"/>
    </row>
    <row r="1545" spans="1:1" ht="12.75">
      <c r="A1545" s="257"/>
    </row>
    <row r="1546" spans="1:1" ht="12.75">
      <c r="A1546" s="257"/>
    </row>
    <row r="1547" spans="1:1" ht="12.75">
      <c r="A1547" s="257"/>
    </row>
    <row r="1548" spans="1:1" ht="12.75">
      <c r="A1548" s="257"/>
    </row>
    <row r="1549" spans="1:1" ht="12.75">
      <c r="A1549" s="257"/>
    </row>
    <row r="1550" spans="1:1" ht="12.75">
      <c r="A1550" s="257"/>
    </row>
    <row r="1551" spans="1:1" ht="12.75">
      <c r="A1551" s="257"/>
    </row>
    <row r="1552" spans="1:1" ht="12.75">
      <c r="A1552" s="257"/>
    </row>
    <row r="1553" spans="1:1" ht="12.75">
      <c r="A1553" s="257"/>
    </row>
    <row r="1554" spans="1:1" ht="12.75">
      <c r="A1554" s="257"/>
    </row>
    <row r="1555" spans="1:1" ht="12.75">
      <c r="A1555" s="257"/>
    </row>
    <row r="1556" spans="1:1" ht="12.75">
      <c r="A1556" s="257"/>
    </row>
    <row r="1557" spans="1:1" ht="12.75">
      <c r="A1557" s="257"/>
    </row>
    <row r="1558" spans="1:1" ht="12.75">
      <c r="A1558" s="257"/>
    </row>
    <row r="1559" spans="1:1" ht="12.75">
      <c r="A1559" s="257"/>
    </row>
    <row r="1560" spans="1:1" ht="12.75">
      <c r="A1560" s="257"/>
    </row>
    <row r="1561" spans="1:1" ht="12.75">
      <c r="A1561" s="257"/>
    </row>
    <row r="1562" spans="1:1" ht="12.75">
      <c r="A1562" s="257"/>
    </row>
    <row r="1563" spans="1:1" ht="12.75">
      <c r="A1563" s="257"/>
    </row>
    <row r="1564" spans="1:1" ht="12.75">
      <c r="A1564" s="257"/>
    </row>
    <row r="1565" spans="1:1" ht="12.75">
      <c r="A1565" s="257"/>
    </row>
    <row r="1566" spans="1:1" ht="12.75">
      <c r="A1566" s="257"/>
    </row>
    <row r="1567" spans="1:1" ht="12.75">
      <c r="A1567" s="257"/>
    </row>
    <row r="1568" spans="1:1" ht="12.75">
      <c r="A1568" s="257"/>
    </row>
    <row r="1569" spans="1:1" ht="12.75">
      <c r="A1569" s="257"/>
    </row>
    <row r="1570" spans="1:1" ht="12.75">
      <c r="A1570" s="257"/>
    </row>
    <row r="1571" spans="1:1" ht="12.75">
      <c r="A1571" s="257"/>
    </row>
    <row r="1572" spans="1:1" ht="12.75">
      <c r="A1572" s="257"/>
    </row>
    <row r="1573" spans="1:1" ht="12.75">
      <c r="A1573" s="257"/>
    </row>
    <row r="1574" spans="1:1" ht="12.75">
      <c r="A1574" s="257"/>
    </row>
    <row r="1575" spans="1:1" ht="12.75">
      <c r="A1575" s="257"/>
    </row>
    <row r="1576" spans="1:1" ht="12.75">
      <c r="A1576" s="257"/>
    </row>
    <row r="1577" spans="1:1" ht="12.75">
      <c r="A1577" s="257"/>
    </row>
    <row r="1578" spans="1:1" ht="12.75">
      <c r="A1578" s="257"/>
    </row>
    <row r="1579" spans="1:1" ht="12.75">
      <c r="A1579" s="257"/>
    </row>
    <row r="1580" spans="1:1" ht="12.75">
      <c r="A1580" s="257"/>
    </row>
    <row r="1581" spans="1:1" ht="12.75">
      <c r="A1581" s="257"/>
    </row>
    <row r="1582" spans="1:1" ht="12.75">
      <c r="A1582" s="257"/>
    </row>
    <row r="1583" spans="1:1" ht="12.75">
      <c r="A1583" s="257"/>
    </row>
    <row r="1584" spans="1:1" ht="12.75">
      <c r="A1584" s="257"/>
    </row>
    <row r="1585" spans="1:1" ht="12.75">
      <c r="A1585" s="257"/>
    </row>
    <row r="1586" spans="1:1" ht="12.75">
      <c r="A1586" s="257"/>
    </row>
    <row r="1587" spans="1:1" ht="12.75">
      <c r="A1587" s="257"/>
    </row>
    <row r="1588" spans="1:1" ht="12.75">
      <c r="A1588" s="257"/>
    </row>
    <row r="1589" spans="1:1" ht="12.75">
      <c r="A1589" s="257"/>
    </row>
    <row r="1590" spans="1:1" ht="12.75">
      <c r="A1590" s="257"/>
    </row>
    <row r="1591" spans="1:1" ht="12.75">
      <c r="A1591" s="257"/>
    </row>
    <row r="1592" spans="1:1" ht="12.75">
      <c r="A1592" s="257"/>
    </row>
    <row r="1593" spans="1:1" ht="12.75">
      <c r="A1593" s="257"/>
    </row>
    <row r="1594" spans="1:1" ht="12.75">
      <c r="A1594" s="257"/>
    </row>
    <row r="1595" spans="1:1" ht="12.75">
      <c r="A1595" s="257"/>
    </row>
    <row r="1596" spans="1:1" ht="12.75">
      <c r="A1596" s="257"/>
    </row>
    <row r="1597" spans="1:1" ht="12.75">
      <c r="A1597" s="257"/>
    </row>
    <row r="1598" spans="1:1" ht="12.75">
      <c r="A1598" s="257"/>
    </row>
    <row r="1599" spans="1:1" ht="12.75">
      <c r="A1599" s="257"/>
    </row>
    <row r="1600" spans="1:1" ht="12.75">
      <c r="A1600" s="257"/>
    </row>
    <row r="1601" spans="1:1" ht="12.75">
      <c r="A1601" s="257"/>
    </row>
    <row r="1602" spans="1:1" ht="12.75">
      <c r="A1602" s="257"/>
    </row>
    <row r="1603" spans="1:1" ht="12.75">
      <c r="A1603" s="257"/>
    </row>
    <row r="1604" spans="1:1" ht="12.75">
      <c r="A1604" s="257"/>
    </row>
    <row r="1605" spans="1:1" ht="12.75">
      <c r="A1605" s="257"/>
    </row>
    <row r="1606" spans="1:1" ht="12.75">
      <c r="A1606" s="257"/>
    </row>
    <row r="1607" spans="1:1" ht="12.75">
      <c r="A1607" s="257"/>
    </row>
    <row r="1608" spans="1:1" ht="12.75">
      <c r="A1608" s="257"/>
    </row>
    <row r="1609" spans="1:1" ht="12.75">
      <c r="A1609" s="257"/>
    </row>
    <row r="1610" spans="1:1" ht="12.75">
      <c r="A1610" s="257"/>
    </row>
    <row r="1611" spans="1:1" ht="12.75">
      <c r="A1611" s="257"/>
    </row>
    <row r="1612" spans="1:1" ht="12.75">
      <c r="A1612" s="257"/>
    </row>
    <row r="1613" spans="1:1" ht="12.75">
      <c r="A1613" s="257"/>
    </row>
    <row r="1614" spans="1:1" ht="12.75">
      <c r="A1614" s="257"/>
    </row>
    <row r="1615" spans="1:1" ht="12.75">
      <c r="A1615" s="257"/>
    </row>
    <row r="1616" spans="1:1" ht="12.75">
      <c r="A1616" s="257"/>
    </row>
    <row r="1617" spans="1:1" ht="12.75">
      <c r="A1617" s="257"/>
    </row>
    <row r="1618" spans="1:1" ht="12.75">
      <c r="A1618" s="257"/>
    </row>
    <row r="1619" spans="1:1" ht="12.75">
      <c r="A1619" s="257"/>
    </row>
    <row r="1620" spans="1:1" ht="12.75">
      <c r="A1620" s="257"/>
    </row>
    <row r="1621" spans="1:1" ht="12.75">
      <c r="A1621" s="257"/>
    </row>
    <row r="1622" spans="1:1" ht="12.75">
      <c r="A1622" s="257"/>
    </row>
    <row r="1623" spans="1:1" ht="12.75">
      <c r="A1623" s="257"/>
    </row>
    <row r="1624" spans="1:1" ht="12.75">
      <c r="A1624" s="257"/>
    </row>
    <row r="1625" spans="1:1" ht="12.75">
      <c r="A1625" s="257"/>
    </row>
    <row r="1626" spans="1:1" ht="12.75">
      <c r="A1626" s="257"/>
    </row>
    <row r="1627" spans="1:1" ht="12.75">
      <c r="A1627" s="257"/>
    </row>
    <row r="1628" spans="1:1" ht="12.75">
      <c r="A1628" s="257"/>
    </row>
    <row r="1629" spans="1:1" ht="12.75">
      <c r="A1629" s="257"/>
    </row>
    <row r="1630" spans="1:1" ht="12.75">
      <c r="A1630" s="257"/>
    </row>
    <row r="1631" spans="1:1" ht="12.75">
      <c r="A1631" s="257"/>
    </row>
    <row r="1632" spans="1:1" ht="12.75">
      <c r="A1632" s="257"/>
    </row>
    <row r="1633" spans="1:1" ht="12.75">
      <c r="A1633" s="257"/>
    </row>
    <row r="1634" spans="1:1" ht="12.75">
      <c r="A1634" s="257"/>
    </row>
    <row r="1635" spans="1:1" ht="12.75">
      <c r="A1635" s="257"/>
    </row>
    <row r="1636" spans="1:1" ht="12.75">
      <c r="A1636" s="257"/>
    </row>
    <row r="1637" spans="1:1" ht="12.75">
      <c r="A1637" s="257"/>
    </row>
    <row r="1638" spans="1:1" ht="12.75">
      <c r="A1638" s="257"/>
    </row>
    <row r="1639" spans="1:1" ht="12.75">
      <c r="A1639" s="257"/>
    </row>
    <row r="1640" spans="1:1" ht="12.75">
      <c r="A1640" s="257"/>
    </row>
    <row r="1641" spans="1:1" ht="12.75">
      <c r="A1641" s="257"/>
    </row>
    <row r="1642" spans="1:1" ht="12.75">
      <c r="A1642" s="257"/>
    </row>
    <row r="1643" spans="1:1" ht="12.75">
      <c r="A1643" s="257"/>
    </row>
    <row r="1644" spans="1:1" ht="12.75">
      <c r="A1644" s="257"/>
    </row>
    <row r="1645" spans="1:1" ht="12.75">
      <c r="A1645" s="257"/>
    </row>
    <row r="1646" spans="1:1" ht="12.75">
      <c r="A1646" s="257"/>
    </row>
    <row r="1647" spans="1:1" ht="12.75">
      <c r="A1647" s="257"/>
    </row>
    <row r="1648" spans="1:1" ht="12.75">
      <c r="A1648" s="257"/>
    </row>
    <row r="1649" spans="1:1" ht="12.75">
      <c r="A1649" s="257"/>
    </row>
    <row r="1650" spans="1:1" ht="12.75">
      <c r="A1650" s="257"/>
    </row>
    <row r="1651" spans="1:1" ht="12.75">
      <c r="A1651" s="257"/>
    </row>
    <row r="1652" spans="1:1" ht="12.75">
      <c r="A1652" s="257"/>
    </row>
    <row r="1653" spans="1:1" ht="12.75">
      <c r="A1653" s="257"/>
    </row>
    <row r="1654" spans="1:1" ht="12.75">
      <c r="A1654" s="257"/>
    </row>
    <row r="1655" spans="1:1" ht="12.75">
      <c r="A1655" s="257"/>
    </row>
    <row r="1656" spans="1:1" ht="12.75">
      <c r="A1656" s="257"/>
    </row>
    <row r="1657" spans="1:1" ht="12.75">
      <c r="A1657" s="257"/>
    </row>
    <row r="1658" spans="1:1" ht="12.75">
      <c r="A1658" s="257"/>
    </row>
    <row r="1659" spans="1:1" ht="12.75">
      <c r="A1659" s="257"/>
    </row>
    <row r="1660" spans="1:1" ht="12.75">
      <c r="A1660" s="257"/>
    </row>
    <row r="1661" spans="1:1" ht="12.75">
      <c r="A1661" s="257"/>
    </row>
    <row r="1662" spans="1:1" ht="12.75">
      <c r="A1662" s="257"/>
    </row>
    <row r="1663" spans="1:1" ht="12.75">
      <c r="A1663" s="257"/>
    </row>
    <row r="1664" spans="1:1" ht="12.75">
      <c r="A1664" s="257"/>
    </row>
    <row r="1665" spans="1:1" ht="12.75">
      <c r="A1665" s="257"/>
    </row>
    <row r="1666" spans="1:1" ht="12.75">
      <c r="A1666" s="257"/>
    </row>
    <row r="1667" spans="1:1" ht="12.75">
      <c r="A1667" s="257"/>
    </row>
    <row r="1668" spans="1:1" ht="12.75">
      <c r="A1668" s="257"/>
    </row>
    <row r="1669" spans="1:1" ht="12.75">
      <c r="A1669" s="257"/>
    </row>
    <row r="1670" spans="1:1" ht="12.75">
      <c r="A1670" s="257"/>
    </row>
    <row r="1671" spans="1:1" ht="12.75">
      <c r="A1671" s="257"/>
    </row>
    <row r="1672" spans="1:1" ht="12.75">
      <c r="A1672" s="257"/>
    </row>
    <row r="1673" spans="1:1" ht="12.75">
      <c r="A1673" s="257"/>
    </row>
    <row r="1674" spans="1:1" ht="12.75">
      <c r="A1674" s="257"/>
    </row>
    <row r="1675" spans="1:1" ht="12.75">
      <c r="A1675" s="257"/>
    </row>
    <row r="1676" spans="1:1" ht="12.75">
      <c r="A1676" s="257"/>
    </row>
    <row r="1677" spans="1:1" ht="12.75">
      <c r="A1677" s="257"/>
    </row>
    <row r="1678" spans="1:1" ht="12.75">
      <c r="A1678" s="257"/>
    </row>
    <row r="1679" spans="1:1" ht="12.75">
      <c r="A1679" s="257"/>
    </row>
    <row r="1680" spans="1:1" ht="12.75">
      <c r="A1680" s="257"/>
    </row>
    <row r="1681" spans="1:1" ht="12.75">
      <c r="A1681" s="257"/>
    </row>
    <row r="1682" spans="1:1" ht="12.75">
      <c r="A1682" s="257"/>
    </row>
    <row r="1683" spans="1:1" ht="12.75">
      <c r="A1683" s="257"/>
    </row>
    <row r="1684" spans="1:1" ht="12.75">
      <c r="A1684" s="257"/>
    </row>
    <row r="1685" spans="1:1" ht="12.75">
      <c r="A1685" s="257"/>
    </row>
    <row r="1686" spans="1:1" ht="12.75">
      <c r="A1686" s="257"/>
    </row>
    <row r="1687" spans="1:1" ht="12.75">
      <c r="A1687" s="257"/>
    </row>
    <row r="1688" spans="1:1" ht="12.75">
      <c r="A1688" s="257"/>
    </row>
    <row r="1689" spans="1:1" ht="12.75">
      <c r="A1689" s="257"/>
    </row>
    <row r="1690" spans="1:1" ht="12.75">
      <c r="A1690" s="257"/>
    </row>
    <row r="1691" spans="1:1" ht="12.75">
      <c r="A1691" s="257"/>
    </row>
    <row r="1692" spans="1:1" ht="12.75">
      <c r="A1692" s="257"/>
    </row>
    <row r="1693" spans="1:1" ht="12.75">
      <c r="A1693" s="257"/>
    </row>
    <row r="1694" spans="1:1" ht="12.75">
      <c r="A1694" s="257"/>
    </row>
    <row r="1695" spans="1:1" ht="12.75">
      <c r="A1695" s="257"/>
    </row>
    <row r="1696" spans="1:1" ht="12.75">
      <c r="A1696" s="257"/>
    </row>
    <row r="1697" spans="1:1" ht="12.75">
      <c r="A1697" s="257"/>
    </row>
    <row r="1698" spans="1:1" ht="12.75">
      <c r="A1698" s="257"/>
    </row>
    <row r="1699" spans="1:1" ht="12.75">
      <c r="A1699" s="257"/>
    </row>
    <row r="1700" spans="1:1" ht="12.75">
      <c r="A1700" s="257"/>
    </row>
    <row r="1701" spans="1:1" ht="12.75">
      <c r="A1701" s="257"/>
    </row>
    <row r="1702" spans="1:1" ht="12.75">
      <c r="A1702" s="257"/>
    </row>
    <row r="1703" spans="1:1" ht="12.75">
      <c r="A1703" s="257"/>
    </row>
    <row r="1704" spans="1:1" ht="12.75">
      <c r="A1704" s="257"/>
    </row>
    <row r="1705" spans="1:1" ht="12.75">
      <c r="A1705" s="257"/>
    </row>
    <row r="1706" spans="1:1" ht="12.75">
      <c r="A1706" s="257"/>
    </row>
    <row r="1707" spans="1:1" ht="12.75">
      <c r="A1707" s="257"/>
    </row>
    <row r="1708" spans="1:1" ht="12.75">
      <c r="A1708" s="257"/>
    </row>
    <row r="1709" spans="1:1" ht="12.75">
      <c r="A1709" s="257"/>
    </row>
    <row r="1710" spans="1:1" ht="12.75">
      <c r="A1710" s="257"/>
    </row>
    <row r="1711" spans="1:1" ht="12.75">
      <c r="A1711" s="257"/>
    </row>
    <row r="1712" spans="1:1" ht="12.75">
      <c r="A1712" s="257"/>
    </row>
    <row r="1713" spans="1:1" ht="12.75">
      <c r="A1713" s="257"/>
    </row>
    <row r="1714" spans="1:1" ht="12.75">
      <c r="A1714" s="257"/>
    </row>
    <row r="1715" spans="1:1" ht="12.75">
      <c r="A1715" s="257"/>
    </row>
    <row r="1716" spans="1:1" ht="12.75">
      <c r="A1716" s="257"/>
    </row>
    <row r="1717" spans="1:1" ht="12.75">
      <c r="A1717" s="257"/>
    </row>
    <row r="1718" spans="1:1" ht="12.75">
      <c r="A1718" s="257"/>
    </row>
    <row r="1719" spans="1:1" ht="12.75">
      <c r="A1719" s="257"/>
    </row>
    <row r="1720" spans="1:1" ht="12.75">
      <c r="A1720" s="257"/>
    </row>
    <row r="1721" spans="1:1" ht="12.75">
      <c r="A1721" s="257"/>
    </row>
    <row r="1722" spans="1:1" ht="12.75">
      <c r="A1722" s="257"/>
    </row>
    <row r="1723" spans="1:1" ht="12.75">
      <c r="A1723" s="257"/>
    </row>
    <row r="1724" spans="1:1" ht="12.75">
      <c r="A1724" s="257"/>
    </row>
    <row r="1725" spans="1:1" ht="12.75">
      <c r="A1725" s="257"/>
    </row>
    <row r="1726" spans="1:1" ht="12.75">
      <c r="A1726" s="257"/>
    </row>
    <row r="1727" spans="1:1" ht="12.75">
      <c r="A1727" s="257"/>
    </row>
    <row r="1728" spans="1:1" ht="12.75">
      <c r="A1728" s="257"/>
    </row>
    <row r="1729" spans="1:1" ht="12.75">
      <c r="A1729" s="257"/>
    </row>
    <row r="1730" spans="1:1" ht="12.75">
      <c r="A1730" s="257"/>
    </row>
    <row r="1731" spans="1:1" ht="12.75">
      <c r="A1731" s="257"/>
    </row>
    <row r="1732" spans="1:1" ht="12.75">
      <c r="A1732" s="257"/>
    </row>
    <row r="1733" spans="1:1" ht="12.75">
      <c r="A1733" s="257"/>
    </row>
    <row r="1734" spans="1:1" ht="12.75">
      <c r="A1734" s="257"/>
    </row>
    <row r="1735" spans="1:1" ht="12.75">
      <c r="A1735" s="257"/>
    </row>
    <row r="1736" spans="1:1" ht="12.75">
      <c r="A1736" s="257"/>
    </row>
    <row r="1737" spans="1:1" ht="12.75">
      <c r="A1737" s="257"/>
    </row>
    <row r="1738" spans="1:1" ht="12.75">
      <c r="A1738" s="257"/>
    </row>
    <row r="1739" spans="1:1" ht="12.75">
      <c r="A1739" s="257"/>
    </row>
    <row r="1740" spans="1:1" ht="12.75">
      <c r="A1740" s="257"/>
    </row>
    <row r="1741" spans="1:1" ht="12.75">
      <c r="A1741" s="257"/>
    </row>
    <row r="1742" spans="1:1" ht="12.75">
      <c r="A1742" s="257"/>
    </row>
    <row r="1743" spans="1:1" ht="12.75">
      <c r="A1743" s="257"/>
    </row>
    <row r="1744" spans="1:1" ht="12.75">
      <c r="A1744" s="257"/>
    </row>
    <row r="1745" spans="1:1" ht="12.75">
      <c r="A1745" s="257"/>
    </row>
    <row r="1746" spans="1:1" ht="12.75">
      <c r="A1746" s="257"/>
    </row>
    <row r="1747" spans="1:1" ht="12.75">
      <c r="A1747" s="257"/>
    </row>
    <row r="1748" spans="1:1" ht="12.75">
      <c r="A1748" s="257"/>
    </row>
    <row r="1749" spans="1:1" ht="12.75">
      <c r="A1749" s="257"/>
    </row>
    <row r="1750" spans="1:1" ht="12.75">
      <c r="A1750" s="257"/>
    </row>
    <row r="1751" spans="1:1" ht="12.75">
      <c r="A1751" s="257"/>
    </row>
    <row r="1752" spans="1:1" ht="12.75">
      <c r="A1752" s="257"/>
    </row>
    <row r="1753" spans="1:1" ht="12.75">
      <c r="A1753" s="257"/>
    </row>
    <row r="1754" spans="1:1" ht="12.75">
      <c r="A1754" s="257"/>
    </row>
    <row r="1755" spans="1:1" ht="12.75">
      <c r="A1755" s="257"/>
    </row>
    <row r="1756" spans="1:1" ht="12.75">
      <c r="A1756" s="257"/>
    </row>
    <row r="1757" spans="1:1" ht="12.75">
      <c r="A1757" s="257"/>
    </row>
    <row r="1758" spans="1:1" ht="12.75">
      <c r="A1758" s="257"/>
    </row>
    <row r="1759" spans="1:1" ht="12.75">
      <c r="A1759" s="257"/>
    </row>
    <row r="1760" spans="1:1" ht="12.75">
      <c r="A1760" s="257"/>
    </row>
    <row r="1761" spans="1:1" ht="12.75">
      <c r="A1761" s="257"/>
    </row>
    <row r="1762" spans="1:1" ht="12.75">
      <c r="A1762" s="257"/>
    </row>
    <row r="1763" spans="1:1" ht="12.75">
      <c r="A1763" s="257"/>
    </row>
    <row r="1764" spans="1:1" ht="12.75">
      <c r="A1764" s="257"/>
    </row>
    <row r="1765" spans="1:1" ht="12.75">
      <c r="A1765" s="257"/>
    </row>
    <row r="1766" spans="1:1" ht="12.75">
      <c r="A1766" s="257"/>
    </row>
    <row r="1767" spans="1:1" ht="12.75">
      <c r="A1767" s="257"/>
    </row>
    <row r="1768" spans="1:1" ht="12.75">
      <c r="A1768" s="257"/>
    </row>
    <row r="1769" spans="1:1" ht="12.75">
      <c r="A1769" s="257"/>
    </row>
    <row r="1770" spans="1:1" ht="12.75">
      <c r="A1770" s="257"/>
    </row>
    <row r="1771" spans="1:1" ht="12.75">
      <c r="A1771" s="257"/>
    </row>
    <row r="1772" spans="1:1" ht="12.75">
      <c r="A1772" s="257"/>
    </row>
    <row r="1773" spans="1:1" ht="12.75">
      <c r="A1773" s="257"/>
    </row>
    <row r="1774" spans="1:1" ht="12.75">
      <c r="A1774" s="257"/>
    </row>
    <row r="1775" spans="1:1" ht="12.75">
      <c r="A1775" s="257"/>
    </row>
    <row r="1776" spans="1:1" ht="12.75">
      <c r="A1776" s="257"/>
    </row>
    <row r="1777" spans="1:1" ht="12.75">
      <c r="A1777" s="257"/>
    </row>
    <row r="1778" spans="1:1" ht="12.75">
      <c r="A1778" s="257"/>
    </row>
    <row r="1779" spans="1:1" ht="12.75">
      <c r="A1779" s="257"/>
    </row>
    <row r="1780" spans="1:1" ht="12.75">
      <c r="A1780" s="257"/>
    </row>
    <row r="1781" spans="1:1" ht="12.75">
      <c r="A1781" s="257"/>
    </row>
    <row r="1782" spans="1:1" ht="12.75">
      <c r="A1782" s="257"/>
    </row>
    <row r="1783" spans="1:1" ht="12.75">
      <c r="A1783" s="257"/>
    </row>
    <row r="1784" spans="1:1" ht="12.75">
      <c r="A1784" s="257"/>
    </row>
    <row r="1785" spans="1:1" ht="12.75">
      <c r="A1785" s="257"/>
    </row>
    <row r="1786" spans="1:1" ht="12.75">
      <c r="A1786" s="257"/>
    </row>
    <row r="1787" spans="1:1" ht="12.75">
      <c r="A1787" s="257"/>
    </row>
    <row r="1788" spans="1:1" ht="12.75">
      <c r="A1788" s="257"/>
    </row>
    <row r="1789" spans="1:1" ht="12.75">
      <c r="A1789" s="257"/>
    </row>
    <row r="1790" spans="1:1" ht="12.75">
      <c r="A1790" s="257"/>
    </row>
    <row r="1791" spans="1:1" ht="12.75">
      <c r="A1791" s="257"/>
    </row>
    <row r="1792" spans="1:1" ht="12.75">
      <c r="A1792" s="257"/>
    </row>
    <row r="1793" spans="1:1" ht="12.75">
      <c r="A1793" s="257"/>
    </row>
    <row r="1794" spans="1:1" ht="12.75">
      <c r="A1794" s="257"/>
    </row>
    <row r="1795" spans="1:1" ht="12.75">
      <c r="A1795" s="257"/>
    </row>
    <row r="1796" spans="1:1" ht="12.75">
      <c r="A1796" s="257"/>
    </row>
    <row r="1797" spans="1:1" ht="12.75">
      <c r="A1797" s="257"/>
    </row>
    <row r="1798" spans="1:1" ht="12.75">
      <c r="A1798" s="257"/>
    </row>
    <row r="1799" spans="1:1" ht="12.75">
      <c r="A1799" s="257"/>
    </row>
    <row r="1800" spans="1:1" ht="12.75">
      <c r="A1800" s="257"/>
    </row>
    <row r="1801" spans="1:1" ht="12.75">
      <c r="A1801" s="257"/>
    </row>
    <row r="1802" spans="1:1" ht="12.75">
      <c r="A1802" s="257"/>
    </row>
    <row r="1803" spans="1:1" ht="12.75">
      <c r="A1803" s="257"/>
    </row>
    <row r="1804" spans="1:1" ht="12.75">
      <c r="A1804" s="257"/>
    </row>
    <row r="1805" spans="1:1" ht="12.75">
      <c r="A1805" s="257"/>
    </row>
    <row r="1806" spans="1:1" ht="12.75">
      <c r="A1806" s="257"/>
    </row>
    <row r="1807" spans="1:1" ht="12.75">
      <c r="A1807" s="257"/>
    </row>
    <row r="1808" spans="1:1" ht="12.75">
      <c r="A1808" s="257"/>
    </row>
    <row r="1809" spans="1:1" ht="12.75">
      <c r="A1809" s="257"/>
    </row>
    <row r="1810" spans="1:1" ht="12.75">
      <c r="A1810" s="257"/>
    </row>
    <row r="1811" spans="1:1" ht="12.75">
      <c r="A1811" s="257"/>
    </row>
    <row r="1812" spans="1:1" ht="12.75">
      <c r="A1812" s="257"/>
    </row>
    <row r="1813" spans="1:1" ht="12.75">
      <c r="A1813" s="257"/>
    </row>
    <row r="1814" spans="1:1" ht="12.75">
      <c r="A1814" s="257"/>
    </row>
    <row r="1815" spans="1:1" ht="12.75">
      <c r="A1815" s="257"/>
    </row>
    <row r="1816" spans="1:1" ht="12.75">
      <c r="A1816" s="257"/>
    </row>
    <row r="1817" spans="1:1" ht="12.75">
      <c r="A1817" s="257"/>
    </row>
    <row r="1818" spans="1:1" ht="12.75">
      <c r="A1818" s="257"/>
    </row>
    <row r="1819" spans="1:1" ht="12.75">
      <c r="A1819" s="257"/>
    </row>
    <row r="1820" spans="1:1" ht="12.75">
      <c r="A1820" s="257"/>
    </row>
    <row r="1821" spans="1:1" ht="12.75">
      <c r="A1821" s="257"/>
    </row>
    <row r="1822" spans="1:1" ht="12.75">
      <c r="A1822" s="257"/>
    </row>
    <row r="1823" spans="1:1" ht="12.75">
      <c r="A1823" s="257"/>
    </row>
    <row r="1824" spans="1:1" ht="12.75">
      <c r="A1824" s="257"/>
    </row>
    <row r="1825" spans="1:1" ht="12.75">
      <c r="A1825" s="257"/>
    </row>
    <row r="1826" spans="1:1" ht="12.75">
      <c r="A1826" s="257"/>
    </row>
    <row r="1827" spans="1:1" ht="12.75">
      <c r="A1827" s="257"/>
    </row>
    <row r="1828" spans="1:1" ht="12.75">
      <c r="A1828" s="257"/>
    </row>
    <row r="1829" spans="1:1" ht="12.75">
      <c r="A1829" s="257"/>
    </row>
    <row r="1830" spans="1:1" ht="12.75">
      <c r="A1830" s="257"/>
    </row>
    <row r="1831" spans="1:1" ht="12.75">
      <c r="A1831" s="257"/>
    </row>
    <row r="1832" spans="1:1" ht="12.75">
      <c r="A1832" s="257"/>
    </row>
    <row r="1833" spans="1:1" ht="12.75">
      <c r="A1833" s="257"/>
    </row>
    <row r="1834" spans="1:1" ht="12.75">
      <c r="A1834" s="257"/>
    </row>
    <row r="1835" spans="1:1" ht="12.75">
      <c r="A1835" s="257"/>
    </row>
    <row r="1836" spans="1:1" ht="12.75">
      <c r="A1836" s="257"/>
    </row>
    <row r="1837" spans="1:1" ht="12.75">
      <c r="A1837" s="257"/>
    </row>
    <row r="1838" spans="1:1" ht="12.75">
      <c r="A1838" s="257"/>
    </row>
    <row r="1839" spans="1:1" ht="12.75">
      <c r="A1839" s="257"/>
    </row>
    <row r="1840" spans="1:1" ht="12.75">
      <c r="A1840" s="257"/>
    </row>
    <row r="1841" spans="1:1" ht="12.75">
      <c r="A1841" s="257"/>
    </row>
    <row r="1842" spans="1:1" ht="12.75">
      <c r="A1842" s="257"/>
    </row>
    <row r="1843" spans="1:1" ht="12.75">
      <c r="A1843" s="257"/>
    </row>
    <row r="1844" spans="1:1" ht="12.75">
      <c r="A1844" s="257"/>
    </row>
    <row r="1845" spans="1:1" ht="12.75">
      <c r="A1845" s="257"/>
    </row>
    <row r="1846" spans="1:1" ht="12.75">
      <c r="A1846" s="257"/>
    </row>
    <row r="1847" spans="1:1" ht="12.75">
      <c r="A1847" s="257"/>
    </row>
    <row r="1848" spans="1:1" ht="12.75">
      <c r="A1848" s="257"/>
    </row>
    <row r="1849" spans="1:1" ht="12.75">
      <c r="A1849" s="257"/>
    </row>
    <row r="1850" spans="1:1" ht="12.75">
      <c r="A1850" s="257"/>
    </row>
    <row r="1851" spans="1:1" ht="12.75">
      <c r="A1851" s="257"/>
    </row>
    <row r="1852" spans="1:1" ht="12.75">
      <c r="A1852" s="257"/>
    </row>
    <row r="1853" spans="1:1" ht="12.75">
      <c r="A1853" s="257"/>
    </row>
    <row r="1854" spans="1:1" ht="12.75">
      <c r="A1854" s="257"/>
    </row>
    <row r="1855" spans="1:1" ht="12.75">
      <c r="A1855" s="257"/>
    </row>
    <row r="1856" spans="1:1" ht="12.75">
      <c r="A1856" s="257"/>
    </row>
    <row r="1857" spans="1:1" ht="12.75">
      <c r="A1857" s="257"/>
    </row>
    <row r="1858" spans="1:1" ht="12.75">
      <c r="A1858" s="257"/>
    </row>
    <row r="1859" spans="1:1" ht="12.75">
      <c r="A1859" s="257"/>
    </row>
    <row r="1860" spans="1:1" ht="12.75">
      <c r="A1860" s="257"/>
    </row>
    <row r="1861" spans="1:1" ht="12.75">
      <c r="A1861" s="257"/>
    </row>
    <row r="1862" spans="1:1" ht="12.75">
      <c r="A1862" s="257"/>
    </row>
    <row r="1863" spans="1:1" ht="12.75">
      <c r="A1863" s="257"/>
    </row>
    <row r="1864" spans="1:1" ht="12.75">
      <c r="A1864" s="257"/>
    </row>
    <row r="1865" spans="1:1" ht="12.75">
      <c r="A1865" s="257"/>
    </row>
    <row r="1866" spans="1:1" ht="12.75">
      <c r="A1866" s="257"/>
    </row>
    <row r="1867" spans="1:1" ht="12.75">
      <c r="A1867" s="257"/>
    </row>
    <row r="1868" spans="1:1" ht="12.75">
      <c r="A1868" s="257"/>
    </row>
    <row r="1869" spans="1:1" ht="12.75">
      <c r="A1869" s="257"/>
    </row>
    <row r="1870" spans="1:1" ht="12.75">
      <c r="A1870" s="257"/>
    </row>
    <row r="1871" spans="1:1" ht="12.75">
      <c r="A1871" s="257"/>
    </row>
    <row r="1872" spans="1:1" ht="12.75">
      <c r="A1872" s="257"/>
    </row>
    <row r="1873" spans="1:1" ht="12.75">
      <c r="A1873" s="257"/>
    </row>
    <row r="1874" spans="1:1" ht="12.75">
      <c r="A1874" s="257"/>
    </row>
    <row r="1875" spans="1:1" ht="12.75">
      <c r="A1875" s="257"/>
    </row>
    <row r="1876" spans="1:1" ht="12.75">
      <c r="A1876" s="257"/>
    </row>
    <row r="1877" spans="1:1" ht="12.75">
      <c r="A1877" s="257"/>
    </row>
    <row r="1878" spans="1:1" ht="12.75">
      <c r="A1878" s="257"/>
    </row>
    <row r="1879" spans="1:1" ht="12.75">
      <c r="A1879" s="257"/>
    </row>
    <row r="1880" spans="1:1" ht="12.75">
      <c r="A1880" s="257"/>
    </row>
    <row r="1881" spans="1:1" ht="12.75">
      <c r="A1881" s="257"/>
    </row>
    <row r="1882" spans="1:1" ht="12.75">
      <c r="A1882" s="257"/>
    </row>
    <row r="1883" spans="1:1" ht="12.75">
      <c r="A1883" s="257"/>
    </row>
    <row r="1884" spans="1:1" ht="12.75">
      <c r="A1884" s="257"/>
    </row>
    <row r="1885" spans="1:1" ht="12.75">
      <c r="A1885" s="257"/>
    </row>
    <row r="1886" spans="1:1" ht="12.75">
      <c r="A1886" s="257"/>
    </row>
    <row r="1887" spans="1:1" ht="12.75">
      <c r="A1887" s="257"/>
    </row>
    <row r="1888" spans="1:1" ht="12.75">
      <c r="A1888" s="257"/>
    </row>
    <row r="1889" spans="1:1" ht="12.75">
      <c r="A1889" s="257"/>
    </row>
    <row r="1890" spans="1:1" ht="12.75">
      <c r="A1890" s="257"/>
    </row>
    <row r="1891" spans="1:1" ht="12.75">
      <c r="A1891" s="257"/>
    </row>
    <row r="1892" spans="1:1" ht="12.75">
      <c r="A1892" s="257"/>
    </row>
    <row r="1893" spans="1:1" ht="12.75">
      <c r="A1893" s="257"/>
    </row>
    <row r="1894" spans="1:1" ht="12.75">
      <c r="A1894" s="257"/>
    </row>
    <row r="1895" spans="1:1" ht="12.75">
      <c r="A1895" s="257"/>
    </row>
    <row r="1896" spans="1:1" ht="12.75">
      <c r="A1896" s="257"/>
    </row>
    <row r="1897" spans="1:1" ht="12.75">
      <c r="A1897" s="257"/>
    </row>
    <row r="1898" spans="1:1" ht="12.75">
      <c r="A1898" s="257"/>
    </row>
    <row r="1899" spans="1:1" ht="12.75">
      <c r="A1899" s="257"/>
    </row>
    <row r="1900" spans="1:1" ht="12.75">
      <c r="A1900" s="257"/>
    </row>
    <row r="1901" spans="1:1" ht="12.75">
      <c r="A1901" s="257"/>
    </row>
    <row r="1902" spans="1:1" ht="12.75">
      <c r="A1902" s="257"/>
    </row>
    <row r="1903" spans="1:1" ht="12.75">
      <c r="A1903" s="257"/>
    </row>
    <row r="1904" spans="1:1" ht="12.75">
      <c r="A1904" s="257"/>
    </row>
    <row r="1905" spans="1:1" ht="12.75">
      <c r="A1905" s="257"/>
    </row>
    <row r="1906" spans="1:1" ht="12.75">
      <c r="A1906" s="257"/>
    </row>
    <row r="1907" spans="1:1" ht="12.75">
      <c r="A1907" s="257"/>
    </row>
    <row r="1908" spans="1:1" ht="12.75">
      <c r="A1908" s="257"/>
    </row>
    <row r="1909" spans="1:1" ht="12.75">
      <c r="A1909" s="257"/>
    </row>
    <row r="1910" spans="1:1" ht="12.75">
      <c r="A1910" s="257"/>
    </row>
    <row r="1911" spans="1:1" ht="12.75">
      <c r="A1911" s="257"/>
    </row>
    <row r="1912" spans="1:1" ht="12.75">
      <c r="A1912" s="257"/>
    </row>
    <row r="1913" spans="1:1" ht="12.75">
      <c r="A1913" s="257"/>
    </row>
    <row r="1914" spans="1:1" ht="12.75">
      <c r="A1914" s="257"/>
    </row>
    <row r="1915" spans="1:1" ht="12.75">
      <c r="A1915" s="257"/>
    </row>
    <row r="1916" spans="1:1" ht="12.75">
      <c r="A1916" s="257"/>
    </row>
    <row r="1917" spans="1:1" ht="12.75">
      <c r="A1917" s="257"/>
    </row>
    <row r="1918" spans="1:1" ht="12.75">
      <c r="A1918" s="257"/>
    </row>
    <row r="1919" spans="1:1" ht="12.75">
      <c r="A1919" s="257"/>
    </row>
    <row r="1920" spans="1:1" ht="12.75">
      <c r="A1920" s="257"/>
    </row>
    <row r="1921" spans="1:1" ht="12.75">
      <c r="A1921" s="257"/>
    </row>
    <row r="1922" spans="1:1" ht="12.75">
      <c r="A1922" s="257"/>
    </row>
    <row r="1923" spans="1:1" ht="12.75">
      <c r="A1923" s="257"/>
    </row>
    <row r="1924" spans="1:1" ht="12.75">
      <c r="A1924" s="257"/>
    </row>
    <row r="1925" spans="1:1" ht="12.75">
      <c r="A1925" s="257"/>
    </row>
    <row r="1926" spans="1:1" ht="12.75">
      <c r="A1926" s="257"/>
    </row>
    <row r="1927" spans="1:1" ht="12.75">
      <c r="A1927" s="257"/>
    </row>
    <row r="1928" spans="1:1" ht="12.75">
      <c r="A1928" s="257"/>
    </row>
    <row r="1929" spans="1:1" ht="12.75">
      <c r="A1929" s="257"/>
    </row>
    <row r="1930" spans="1:1" ht="12.75">
      <c r="A1930" s="257"/>
    </row>
    <row r="1931" spans="1:1" ht="12.75">
      <c r="A1931" s="257"/>
    </row>
    <row r="1932" spans="1:1" ht="12.75">
      <c r="A1932" s="257"/>
    </row>
    <row r="1933" spans="1:1" ht="12.75">
      <c r="A1933" s="257"/>
    </row>
    <row r="1934" spans="1:1" ht="12.75">
      <c r="A1934" s="257"/>
    </row>
    <row r="1935" spans="1:1" ht="12.75">
      <c r="A1935" s="257"/>
    </row>
    <row r="1936" spans="1:1" ht="12.75">
      <c r="A1936" s="257"/>
    </row>
    <row r="1937" spans="1:1" ht="12.75">
      <c r="A1937" s="257"/>
    </row>
    <row r="1938" spans="1:1" ht="12.75">
      <c r="A1938" s="257"/>
    </row>
    <row r="1939" spans="1:1" ht="12.75">
      <c r="A1939" s="257"/>
    </row>
    <row r="1940" spans="1:1" ht="12.75">
      <c r="A1940" s="257"/>
    </row>
    <row r="1941" spans="1:1" ht="12.75">
      <c r="A1941" s="257"/>
    </row>
    <row r="1942" spans="1:1" ht="12.75">
      <c r="A1942" s="257"/>
    </row>
    <row r="1943" spans="1:1" ht="12.75">
      <c r="A1943" s="257"/>
    </row>
    <row r="1944" spans="1:1" ht="12.75">
      <c r="A1944" s="257"/>
    </row>
    <row r="1945" spans="1:1" ht="12.75">
      <c r="A1945" s="257"/>
    </row>
    <row r="1946" spans="1:1" ht="12.75">
      <c r="A1946" s="257"/>
    </row>
    <row r="1947" spans="1:1" ht="12.75">
      <c r="A1947" s="257"/>
    </row>
    <row r="1948" spans="1:1" ht="12.75">
      <c r="A1948" s="257"/>
    </row>
    <row r="1949" spans="1:1" ht="12.75">
      <c r="A1949" s="257"/>
    </row>
    <row r="1950" spans="1:1" ht="12.75">
      <c r="A1950" s="257"/>
    </row>
    <row r="1951" spans="1:1" ht="12.75">
      <c r="A1951" s="257"/>
    </row>
    <row r="1952" spans="1:1" ht="12.75">
      <c r="A1952" s="257"/>
    </row>
    <row r="1953" spans="1:1" ht="12.75">
      <c r="A1953" s="257"/>
    </row>
    <row r="1954" spans="1:1" ht="12.75">
      <c r="A1954" s="257"/>
    </row>
    <row r="1955" spans="1:1" ht="12.75">
      <c r="A1955" s="257"/>
    </row>
    <row r="1956" spans="1:1" ht="12.75">
      <c r="A1956" s="257"/>
    </row>
    <row r="1957" spans="1:1" ht="12.75">
      <c r="A1957" s="257"/>
    </row>
    <row r="1958" spans="1:1" ht="12.75">
      <c r="A1958" s="257"/>
    </row>
    <row r="1959" spans="1:1" ht="12.75">
      <c r="A1959" s="257"/>
    </row>
    <row r="1960" spans="1:1" ht="12.75">
      <c r="A1960" s="257"/>
    </row>
    <row r="1961" spans="1:1" ht="12.75">
      <c r="A1961" s="257"/>
    </row>
    <row r="1962" spans="1:1" ht="12.75">
      <c r="A1962" s="257"/>
    </row>
    <row r="1963" spans="1:1" ht="12.75">
      <c r="A1963" s="257"/>
    </row>
    <row r="1964" spans="1:1" ht="12.75">
      <c r="A1964" s="257"/>
    </row>
    <row r="1965" spans="1:1" ht="12.75">
      <c r="A1965" s="257"/>
    </row>
    <row r="1966" spans="1:1" ht="12.75">
      <c r="A1966" s="257"/>
    </row>
    <row r="1967" spans="1:1" ht="12.75">
      <c r="A1967" s="257"/>
    </row>
    <row r="1968" spans="1:1" ht="12.75">
      <c r="A1968" s="257"/>
    </row>
    <row r="1969" spans="1:1" ht="12.75">
      <c r="A1969" s="257"/>
    </row>
    <row r="1970" spans="1:1" ht="12.75">
      <c r="A1970" s="257"/>
    </row>
    <row r="1971" spans="1:1" ht="12.75">
      <c r="A1971" s="257"/>
    </row>
    <row r="1972" spans="1:1" ht="12.75">
      <c r="A1972" s="257"/>
    </row>
    <row r="1973" spans="1:1" ht="12.75">
      <c r="A1973" s="257"/>
    </row>
    <row r="1974" spans="1:1" ht="12.75">
      <c r="A1974" s="257"/>
    </row>
    <row r="1975" spans="1:1" ht="12.75">
      <c r="A1975" s="257"/>
    </row>
    <row r="1976" spans="1:1" ht="12.75">
      <c r="A1976" s="257"/>
    </row>
    <row r="1977" spans="1:1" ht="12.75">
      <c r="A1977" s="257"/>
    </row>
    <row r="1978" spans="1:1" ht="12.75">
      <c r="A1978" s="257"/>
    </row>
    <row r="1979" spans="1:1" ht="12.75">
      <c r="A1979" s="257"/>
    </row>
    <row r="1980" spans="1:1" ht="12.75">
      <c r="A1980" s="257"/>
    </row>
    <row r="1981" spans="1:1" ht="12.75">
      <c r="A1981" s="257"/>
    </row>
    <row r="1982" spans="1:1" ht="12.75">
      <c r="A1982" s="257"/>
    </row>
    <row r="1983" spans="1:1" ht="12.75">
      <c r="A1983" s="257"/>
    </row>
    <row r="1984" spans="1:1" ht="12.75">
      <c r="A1984" s="257"/>
    </row>
    <row r="1985" spans="1:1" ht="12.75">
      <c r="A1985" s="257"/>
    </row>
    <row r="1986" spans="1:1" ht="12.75">
      <c r="A1986" s="257"/>
    </row>
    <row r="1987" spans="1:1" ht="12.75">
      <c r="A1987" s="257"/>
    </row>
    <row r="1988" spans="1:1" ht="12.75">
      <c r="A1988" s="257"/>
    </row>
    <row r="1989" spans="1:1" ht="12.75">
      <c r="A1989" s="257"/>
    </row>
    <row r="1990" spans="1:1" ht="12.75">
      <c r="A1990" s="257"/>
    </row>
    <row r="1991" spans="1:1" ht="12.75">
      <c r="A1991" s="257"/>
    </row>
    <row r="1992" spans="1:1" ht="12.75">
      <c r="A1992" s="257"/>
    </row>
    <row r="1993" spans="1:1" ht="12.75">
      <c r="A1993" s="257"/>
    </row>
    <row r="1994" spans="1:1" ht="12.75">
      <c r="A1994" s="257"/>
    </row>
    <row r="1995" spans="1:1" ht="12.75">
      <c r="A1995" s="257"/>
    </row>
    <row r="1996" spans="1:1" ht="12.75">
      <c r="A1996" s="257"/>
    </row>
    <row r="1997" spans="1:1" ht="12.75">
      <c r="A1997" s="257"/>
    </row>
    <row r="1998" spans="1:1" ht="12.75">
      <c r="A1998" s="257"/>
    </row>
    <row r="1999" spans="1:1" ht="12.75">
      <c r="A1999" s="257"/>
    </row>
    <row r="2000" spans="1:1" ht="12.75">
      <c r="A2000" s="257"/>
    </row>
    <row r="2001" spans="1:1" ht="12.75">
      <c r="A2001" s="257"/>
    </row>
    <row r="2002" spans="1:1" ht="12.75">
      <c r="A2002" s="257"/>
    </row>
    <row r="2003" spans="1:1" ht="12.75">
      <c r="A2003" s="257"/>
    </row>
    <row r="2004" spans="1:1" ht="12.75">
      <c r="A2004" s="257"/>
    </row>
    <row r="2005" spans="1:1" ht="12.75">
      <c r="A2005" s="257"/>
    </row>
    <row r="2006" spans="1:1" ht="12.75">
      <c r="A2006" s="257"/>
    </row>
    <row r="2007" spans="1:1" ht="12.75">
      <c r="A2007" s="257"/>
    </row>
    <row r="2008" spans="1:1" ht="12.75">
      <c r="A2008" s="257"/>
    </row>
    <row r="2009" spans="1:1" ht="12.75">
      <c r="A2009" s="257"/>
    </row>
    <row r="2010" spans="1:1" ht="12.75">
      <c r="A2010" s="257"/>
    </row>
    <row r="2011" spans="1:1" ht="12.75">
      <c r="A2011" s="257"/>
    </row>
    <row r="2012" spans="1:1" ht="12.75">
      <c r="A2012" s="257"/>
    </row>
    <row r="2013" spans="1:1" ht="12.75">
      <c r="A2013" s="257"/>
    </row>
    <row r="2014" spans="1:1" ht="12.75">
      <c r="A2014" s="257"/>
    </row>
    <row r="2015" spans="1:1" ht="12.75">
      <c r="A2015" s="257"/>
    </row>
    <row r="2016" spans="1:1" ht="12.75">
      <c r="A2016" s="257"/>
    </row>
    <row r="2017" spans="1:1" ht="12.75">
      <c r="A2017" s="257"/>
    </row>
    <row r="2018" spans="1:1" ht="12.75">
      <c r="A2018" s="257"/>
    </row>
    <row r="2019" spans="1:1" ht="12.75">
      <c r="A2019" s="257"/>
    </row>
    <row r="2020" spans="1:1" ht="12.75">
      <c r="A2020" s="257"/>
    </row>
    <row r="2021" spans="1:1" ht="12.75">
      <c r="A2021" s="257"/>
    </row>
    <row r="2022" spans="1:1" ht="12.75">
      <c r="A2022" s="257"/>
    </row>
    <row r="2023" spans="1:1" ht="12.75">
      <c r="A2023" s="257"/>
    </row>
    <row r="2024" spans="1:1" ht="12.75">
      <c r="A2024" s="257"/>
    </row>
    <row r="2025" spans="1:1" ht="12.75">
      <c r="A2025" s="257"/>
    </row>
    <row r="2026" spans="1:1" ht="12.75">
      <c r="A2026" s="257"/>
    </row>
    <row r="2027" spans="1:1" ht="12.75">
      <c r="A2027" s="257"/>
    </row>
    <row r="2028" spans="1:1" ht="12.75">
      <c r="A2028" s="257"/>
    </row>
    <row r="2029" spans="1:1" ht="12.75">
      <c r="A2029" s="257"/>
    </row>
    <row r="2030" spans="1:1" ht="12.75">
      <c r="A2030" s="257"/>
    </row>
    <row r="2031" spans="1:1" ht="12.75">
      <c r="A2031" s="257"/>
    </row>
    <row r="2032" spans="1:1" ht="12.75">
      <c r="A2032" s="257"/>
    </row>
    <row r="2033" spans="1:1" ht="12.75">
      <c r="A2033" s="257"/>
    </row>
    <row r="2034" spans="1:1" ht="12.75">
      <c r="A2034" s="257"/>
    </row>
    <row r="2035" spans="1:1" ht="12.75">
      <c r="A2035" s="257"/>
    </row>
    <row r="2036" spans="1:1" ht="12.75">
      <c r="A2036" s="257"/>
    </row>
    <row r="2037" spans="1:1" ht="12.75">
      <c r="A2037" s="257"/>
    </row>
    <row r="2038" spans="1:1" ht="12.75">
      <c r="A2038" s="257"/>
    </row>
    <row r="2039" spans="1:1" ht="12.75">
      <c r="A2039" s="257"/>
    </row>
    <row r="2040" spans="1:1" ht="12.75">
      <c r="A2040" s="257"/>
    </row>
    <row r="2041" spans="1:1" ht="12.75">
      <c r="A2041" s="257"/>
    </row>
    <row r="2042" spans="1:1" ht="12.75">
      <c r="A2042" s="257"/>
    </row>
    <row r="2043" spans="1:1" ht="12.75">
      <c r="A2043" s="257"/>
    </row>
    <row r="2044" spans="1:1" ht="12.75">
      <c r="A2044" s="257"/>
    </row>
    <row r="2045" spans="1:1" ht="12.75">
      <c r="A2045" s="257"/>
    </row>
    <row r="2046" spans="1:1" ht="12.75">
      <c r="A2046" s="257"/>
    </row>
    <row r="2047" spans="1:1" ht="12.75">
      <c r="A2047" s="257"/>
    </row>
    <row r="2048" spans="1:1" ht="12.75">
      <c r="A2048" s="257"/>
    </row>
    <row r="2049" spans="1:1" ht="12.75">
      <c r="A2049" s="257"/>
    </row>
    <row r="2050" spans="1:1" ht="12.75">
      <c r="A2050" s="257"/>
    </row>
    <row r="2051" spans="1:1" ht="12.75">
      <c r="A2051" s="257"/>
    </row>
    <row r="2052" spans="1:1" ht="12.75">
      <c r="A2052" s="257"/>
    </row>
    <row r="2053" spans="1:1" ht="12.75">
      <c r="A2053" s="257"/>
    </row>
    <row r="2054" spans="1:1" ht="12.75">
      <c r="A2054" s="257"/>
    </row>
    <row r="2055" spans="1:1" ht="12.75">
      <c r="A2055" s="257"/>
    </row>
    <row r="2056" spans="1:1" ht="12.75">
      <c r="A2056" s="257"/>
    </row>
    <row r="2057" spans="1:1" ht="12.75">
      <c r="A2057" s="257"/>
    </row>
    <row r="2058" spans="1:1" ht="12.75">
      <c r="A2058" s="257"/>
    </row>
    <row r="2059" spans="1:1" ht="12.75">
      <c r="A2059" s="257"/>
    </row>
    <row r="2060" spans="1:1" ht="12.75">
      <c r="A2060" s="257"/>
    </row>
    <row r="2061" spans="1:1" ht="12.75">
      <c r="A2061" s="257"/>
    </row>
    <row r="2062" spans="1:1" ht="12.75">
      <c r="A2062" s="257"/>
    </row>
    <row r="2063" spans="1:1" ht="12.75">
      <c r="A2063" s="257"/>
    </row>
    <row r="2064" spans="1:1" ht="12.75">
      <c r="A2064" s="257"/>
    </row>
    <row r="2065" spans="1:1" ht="12.75">
      <c r="A2065" s="257"/>
    </row>
    <row r="2066" spans="1:1" ht="12.75">
      <c r="A2066" s="257"/>
    </row>
    <row r="2067" spans="1:1" ht="12.75">
      <c r="A2067" s="257"/>
    </row>
    <row r="2068" spans="1:1" ht="12.75">
      <c r="A2068" s="257"/>
    </row>
    <row r="2069" spans="1:1" ht="12.75">
      <c r="A2069" s="257"/>
    </row>
    <row r="2070" spans="1:1" ht="12.75">
      <c r="A2070" s="257"/>
    </row>
    <row r="2071" spans="1:1" ht="12.75">
      <c r="A2071" s="257"/>
    </row>
    <row r="2072" spans="1:1" ht="12.75">
      <c r="A2072" s="257"/>
    </row>
    <row r="2073" spans="1:1" ht="12.75">
      <c r="A2073" s="257"/>
    </row>
    <row r="2074" spans="1:1" ht="12.75">
      <c r="A2074" s="257"/>
    </row>
    <row r="2075" spans="1:1" ht="12.75">
      <c r="A2075" s="257"/>
    </row>
    <row r="2076" spans="1:1" ht="12.75">
      <c r="A2076" s="257"/>
    </row>
    <row r="2077" spans="1:1" ht="12.75">
      <c r="A2077" s="257"/>
    </row>
    <row r="2078" spans="1:1" ht="12.75">
      <c r="A2078" s="257"/>
    </row>
    <row r="2079" spans="1:1" ht="12.75">
      <c r="A2079" s="257"/>
    </row>
    <row r="2080" spans="1:1" ht="12.75">
      <c r="A2080" s="257"/>
    </row>
    <row r="2081" spans="1:1" ht="12.75">
      <c r="A2081" s="257"/>
    </row>
    <row r="2082" spans="1:1" ht="12.75">
      <c r="A2082" s="257"/>
    </row>
    <row r="2083" spans="1:1" ht="12.75">
      <c r="A2083" s="257"/>
    </row>
    <row r="2084" spans="1:1" ht="12.75">
      <c r="A2084" s="257"/>
    </row>
    <row r="2085" spans="1:1" ht="12.75">
      <c r="A2085" s="257"/>
    </row>
    <row r="2086" spans="1:1" ht="12.75">
      <c r="A2086" s="257"/>
    </row>
    <row r="2087" spans="1:1" ht="12.75">
      <c r="A2087" s="257"/>
    </row>
    <row r="2088" spans="1:1" ht="12.75">
      <c r="A2088" s="257"/>
    </row>
    <row r="2089" spans="1:1" ht="12.75">
      <c r="A2089" s="257"/>
    </row>
    <row r="2090" spans="1:1" ht="12.75">
      <c r="A2090" s="257"/>
    </row>
    <row r="2091" spans="1:1" ht="12.75">
      <c r="A2091" s="257"/>
    </row>
    <row r="2092" spans="1:1" ht="12.75">
      <c r="A2092" s="257"/>
    </row>
    <row r="2093" spans="1:1" ht="12.75">
      <c r="A2093" s="257"/>
    </row>
    <row r="2094" spans="1:1" ht="12.75">
      <c r="A2094" s="257"/>
    </row>
    <row r="2095" spans="1:1" ht="12.75">
      <c r="A2095" s="257"/>
    </row>
    <row r="2096" spans="1:1" ht="12.75">
      <c r="A2096" s="257"/>
    </row>
    <row r="2097" spans="1:1" ht="12.75">
      <c r="A2097" s="257"/>
    </row>
    <row r="2098" spans="1:1" ht="12.75">
      <c r="A2098" s="257"/>
    </row>
    <row r="2099" spans="1:1" ht="12.75">
      <c r="A2099" s="257"/>
    </row>
    <row r="2100" spans="1:1" ht="12.75">
      <c r="A2100" s="257"/>
    </row>
    <row r="2101" spans="1:1" ht="12.75">
      <c r="A2101" s="257"/>
    </row>
    <row r="2102" spans="1:1" ht="12.75">
      <c r="A2102" s="257"/>
    </row>
    <row r="2103" spans="1:1" ht="12.75">
      <c r="A2103" s="257"/>
    </row>
    <row r="2104" spans="1:1" ht="12.75">
      <c r="A2104" s="257"/>
    </row>
    <row r="2105" spans="1:1" ht="12.75">
      <c r="A2105" s="257"/>
    </row>
    <row r="2106" spans="1:1" ht="12.75">
      <c r="A2106" s="257"/>
    </row>
    <row r="2107" spans="1:1" ht="12.75">
      <c r="A2107" s="257"/>
    </row>
    <row r="2108" spans="1:1" ht="12.75">
      <c r="A2108" s="257"/>
    </row>
    <row r="2109" spans="1:1" ht="12.75">
      <c r="A2109" s="257"/>
    </row>
    <row r="2110" spans="1:1" ht="12.75">
      <c r="A2110" s="257"/>
    </row>
    <row r="2111" spans="1:1" ht="12.75">
      <c r="A2111" s="257"/>
    </row>
    <row r="2112" spans="1:1" ht="12.75">
      <c r="A2112" s="257"/>
    </row>
    <row r="2113" spans="1:1" ht="12.75">
      <c r="A2113" s="257"/>
    </row>
    <row r="2114" spans="1:1" ht="12.75">
      <c r="A2114" s="257"/>
    </row>
    <row r="2115" spans="1:1" ht="12.75">
      <c r="A2115" s="257"/>
    </row>
    <row r="2116" spans="1:1" ht="12.75">
      <c r="A2116" s="257"/>
    </row>
    <row r="2117" spans="1:1" ht="12.75">
      <c r="A2117" s="257"/>
    </row>
    <row r="2118" spans="1:1" ht="12.75">
      <c r="A2118" s="257"/>
    </row>
    <row r="2119" spans="1:1" ht="12.75">
      <c r="A2119" s="257"/>
    </row>
    <row r="2120" spans="1:1" ht="12.75">
      <c r="A2120" s="257"/>
    </row>
    <row r="2121" spans="1:1" ht="12.75">
      <c r="A2121" s="257"/>
    </row>
    <row r="2122" spans="1:1" ht="12.75">
      <c r="A2122" s="257"/>
    </row>
    <row r="2123" spans="1:1" ht="12.75">
      <c r="A2123" s="257"/>
    </row>
    <row r="2124" spans="1:1" ht="12.75">
      <c r="A2124" s="257"/>
    </row>
    <row r="2125" spans="1:1" ht="12.75">
      <c r="A2125" s="257"/>
    </row>
    <row r="2126" spans="1:1" ht="12.75">
      <c r="A2126" s="257"/>
    </row>
    <row r="2127" spans="1:1" ht="12.75">
      <c r="A2127" s="257"/>
    </row>
    <row r="2128" spans="1:1" ht="12.75">
      <c r="A2128" s="257"/>
    </row>
    <row r="2129" spans="1:1" ht="12.75">
      <c r="A2129" s="257"/>
    </row>
    <row r="2130" spans="1:1" ht="12.75">
      <c r="A2130" s="257"/>
    </row>
    <row r="2131" spans="1:1" ht="12.75">
      <c r="A2131" s="257"/>
    </row>
    <row r="2132" spans="1:1" ht="12.75">
      <c r="A2132" s="257"/>
    </row>
    <row r="2133" spans="1:1" ht="12.75">
      <c r="A2133" s="257"/>
    </row>
    <row r="2134" spans="1:1" ht="12.75">
      <c r="A2134" s="257"/>
    </row>
    <row r="2135" spans="1:1" ht="12.75">
      <c r="A2135" s="257"/>
    </row>
    <row r="2136" spans="1:1" ht="12.75">
      <c r="A2136" s="257"/>
    </row>
    <row r="2137" spans="1:1" ht="12.75">
      <c r="A2137" s="257"/>
    </row>
    <row r="2138" spans="1:1" ht="12.75">
      <c r="A2138" s="257"/>
    </row>
    <row r="2139" spans="1:1" ht="12.75">
      <c r="A2139" s="257"/>
    </row>
    <row r="2140" spans="1:1" ht="12.75">
      <c r="A2140" s="257"/>
    </row>
    <row r="2141" spans="1:1" ht="12.75">
      <c r="A2141" s="257"/>
    </row>
    <row r="2142" spans="1:1" ht="12.75">
      <c r="A2142" s="257"/>
    </row>
    <row r="2143" spans="1:1" ht="12.75">
      <c r="A2143" s="257"/>
    </row>
    <row r="2144" spans="1:1" ht="12.75">
      <c r="A2144" s="257"/>
    </row>
    <row r="2145" spans="1:1" ht="12.75">
      <c r="A2145" s="257"/>
    </row>
    <row r="2146" spans="1:1" ht="12.75">
      <c r="A2146" s="257"/>
    </row>
    <row r="2147" spans="1:1" ht="12.75">
      <c r="A2147" s="257"/>
    </row>
    <row r="2148" spans="1:1" ht="12.75">
      <c r="A2148" s="257"/>
    </row>
    <row r="2149" spans="1:1" ht="12.75">
      <c r="A2149" s="257"/>
    </row>
    <row r="2150" spans="1:1" ht="12.75">
      <c r="A2150" s="257"/>
    </row>
    <row r="2151" spans="1:1" ht="12.75">
      <c r="A2151" s="257"/>
    </row>
    <row r="2152" spans="1:1" ht="12.75">
      <c r="A2152" s="257"/>
    </row>
    <row r="2153" spans="1:1" ht="12.75">
      <c r="A2153" s="257"/>
    </row>
    <row r="2154" spans="1:1" ht="12.75">
      <c r="A2154" s="257"/>
    </row>
    <row r="2155" spans="1:1" ht="12.75">
      <c r="A2155" s="257"/>
    </row>
    <row r="2156" spans="1:1" ht="12.75">
      <c r="A2156" s="257"/>
    </row>
    <row r="2157" spans="1:1" ht="12.75">
      <c r="A2157" s="257"/>
    </row>
    <row r="2158" spans="1:1" ht="12.75">
      <c r="A2158" s="257"/>
    </row>
    <row r="2159" spans="1:1" ht="12.75">
      <c r="A2159" s="257"/>
    </row>
    <row r="2160" spans="1:1" ht="12.75">
      <c r="A2160" s="257"/>
    </row>
    <row r="2161" spans="1:1" ht="12.75">
      <c r="A2161" s="257"/>
    </row>
    <row r="2162" spans="1:1" ht="12.75">
      <c r="A2162" s="257"/>
    </row>
    <row r="2163" spans="1:1" ht="12.75">
      <c r="A2163" s="257"/>
    </row>
    <row r="2164" spans="1:1" ht="12.75">
      <c r="A2164" s="257"/>
    </row>
    <row r="2165" spans="1:1" ht="12.75">
      <c r="A2165" s="257"/>
    </row>
    <row r="2166" spans="1:1" ht="12.75">
      <c r="A2166" s="257"/>
    </row>
    <row r="2167" spans="1:1" ht="12.75">
      <c r="A2167" s="257"/>
    </row>
    <row r="2168" spans="1:1" ht="12.75">
      <c r="A2168" s="257"/>
    </row>
    <row r="2169" spans="1:1" ht="12.75">
      <c r="A2169" s="257"/>
    </row>
    <row r="2170" spans="1:1" ht="12.75">
      <c r="A2170" s="257"/>
    </row>
    <row r="2171" spans="1:1" ht="12.75">
      <c r="A2171" s="257"/>
    </row>
    <row r="2172" spans="1:1" ht="12.75">
      <c r="A2172" s="257"/>
    </row>
    <row r="2173" spans="1:1" ht="12.75">
      <c r="A2173" s="257"/>
    </row>
    <row r="2174" spans="1:1" ht="12.75">
      <c r="A2174" s="257"/>
    </row>
    <row r="2175" spans="1:1" ht="12.75">
      <c r="A2175" s="257"/>
    </row>
    <row r="2176" spans="1:1" ht="12.75">
      <c r="A2176" s="257"/>
    </row>
    <row r="2177" spans="1:1" ht="12.75">
      <c r="A2177" s="257"/>
    </row>
    <row r="2178" spans="1:1" ht="12.75">
      <c r="A2178" s="257"/>
    </row>
    <row r="2179" spans="1:1" ht="12.75">
      <c r="A2179" s="257"/>
    </row>
    <row r="2180" spans="1:1" ht="12.75">
      <c r="A2180" s="257"/>
    </row>
    <row r="2181" spans="1:1" ht="12.75">
      <c r="A2181" s="257"/>
    </row>
    <row r="2182" spans="1:1" ht="12.75">
      <c r="A2182" s="257"/>
    </row>
    <row r="2183" spans="1:1" ht="12.75">
      <c r="A2183" s="257"/>
    </row>
    <row r="2184" spans="1:1" ht="12.75">
      <c r="A2184" s="257"/>
    </row>
    <row r="2185" spans="1:1" ht="12.75">
      <c r="A2185" s="257"/>
    </row>
    <row r="2186" spans="1:1" ht="12.75">
      <c r="A2186" s="257"/>
    </row>
    <row r="2187" spans="1:1" ht="12.75">
      <c r="A2187" s="257"/>
    </row>
    <row r="2188" spans="1:1" ht="12.75">
      <c r="A2188" s="257"/>
    </row>
    <row r="2189" spans="1:1" ht="12.75">
      <c r="A2189" s="257"/>
    </row>
    <row r="2190" spans="1:1" ht="12.75">
      <c r="A2190" s="257"/>
    </row>
    <row r="2191" spans="1:1" ht="12.75">
      <c r="A2191" s="257"/>
    </row>
    <row r="2192" spans="1:1" ht="12.75">
      <c r="A2192" s="257"/>
    </row>
    <row r="2193" spans="1:1" ht="12.75">
      <c r="A2193" s="257"/>
    </row>
    <row r="2194" spans="1:1" ht="12.75">
      <c r="A2194" s="257"/>
    </row>
    <row r="2195" spans="1:1" ht="12.75">
      <c r="A2195" s="257"/>
    </row>
    <row r="2196" spans="1:1" ht="12.75">
      <c r="A2196" s="257"/>
    </row>
    <row r="2197" spans="1:1" ht="12.75">
      <c r="A2197" s="257"/>
    </row>
    <row r="2198" spans="1:1" ht="12.75">
      <c r="A2198" s="257"/>
    </row>
    <row r="2199" spans="1:1" ht="12.75">
      <c r="A2199" s="257"/>
    </row>
    <row r="2200" spans="1:1" ht="12.75">
      <c r="A2200" s="257"/>
    </row>
    <row r="2201" spans="1:1" ht="12.75">
      <c r="A2201" s="257"/>
    </row>
    <row r="2202" spans="1:1" ht="12.75">
      <c r="A2202" s="257"/>
    </row>
    <row r="2203" spans="1:1" ht="12.75">
      <c r="A2203" s="257"/>
    </row>
    <row r="2204" spans="1:1" ht="12.75">
      <c r="A2204" s="257"/>
    </row>
    <row r="2205" spans="1:1" ht="12.75">
      <c r="A2205" s="257"/>
    </row>
    <row r="2206" spans="1:1" ht="12.75">
      <c r="A2206" s="257"/>
    </row>
    <row r="2207" spans="1:1" ht="12.75">
      <c r="A2207" s="257"/>
    </row>
    <row r="2208" spans="1:1" ht="12.75">
      <c r="A2208" s="257"/>
    </row>
    <row r="2209" spans="1:1" ht="12.75">
      <c r="A2209" s="257"/>
    </row>
    <row r="2210" spans="1:1" ht="12.75">
      <c r="A2210" s="257"/>
    </row>
    <row r="2211" spans="1:1" ht="12.75">
      <c r="A2211" s="257"/>
    </row>
    <row r="2212" spans="1:1" ht="12.75">
      <c r="A2212" s="257"/>
    </row>
    <row r="2213" spans="1:1" ht="12.75">
      <c r="A2213" s="257"/>
    </row>
    <row r="2214" spans="1:1" ht="12.75">
      <c r="A2214" s="257"/>
    </row>
    <row r="2215" spans="1:1" ht="12.75">
      <c r="A2215" s="257"/>
    </row>
    <row r="2216" spans="1:1" ht="12.75">
      <c r="A2216" s="257"/>
    </row>
    <row r="2217" spans="1:1" ht="12.75">
      <c r="A2217" s="257"/>
    </row>
    <row r="2218" spans="1:1" ht="12.75">
      <c r="A2218" s="257"/>
    </row>
    <row r="2219" spans="1:1" ht="12.75">
      <c r="A2219" s="257"/>
    </row>
    <row r="2220" spans="1:1" ht="12.75">
      <c r="A2220" s="257"/>
    </row>
    <row r="2221" spans="1:1" ht="12.75">
      <c r="A2221" s="257"/>
    </row>
    <row r="2222" spans="1:1" ht="12.75">
      <c r="A2222" s="257"/>
    </row>
    <row r="2223" spans="1:1" ht="12.75">
      <c r="A2223" s="257"/>
    </row>
    <row r="2224" spans="1:1" ht="12.75">
      <c r="A2224" s="257"/>
    </row>
    <row r="2225" spans="1:1" ht="12.75">
      <c r="A2225" s="257"/>
    </row>
    <row r="2226" spans="1:1" ht="12.75">
      <c r="A2226" s="257"/>
    </row>
    <row r="2227" spans="1:1" ht="12.75">
      <c r="A2227" s="257"/>
    </row>
    <row r="2228" spans="1:1" ht="12.75">
      <c r="A2228" s="257"/>
    </row>
    <row r="2229" spans="1:1" ht="12.75">
      <c r="A2229" s="257"/>
    </row>
    <row r="2230" spans="1:1" ht="12.75">
      <c r="A2230" s="257"/>
    </row>
    <row r="2231" spans="1:1" ht="12.75">
      <c r="A2231" s="257"/>
    </row>
    <row r="2232" spans="1:1" ht="12.75">
      <c r="A2232" s="257"/>
    </row>
    <row r="2233" spans="1:1" ht="12.75">
      <c r="A2233" s="257"/>
    </row>
    <row r="2234" spans="1:1" ht="12.75">
      <c r="A2234" s="257"/>
    </row>
    <row r="2235" spans="1:1" ht="12.75">
      <c r="A2235" s="257"/>
    </row>
    <row r="2236" spans="1:1" ht="12.75">
      <c r="A2236" s="257"/>
    </row>
    <row r="2237" spans="1:1" ht="12.75">
      <c r="A2237" s="257"/>
    </row>
    <row r="2238" spans="1:1" ht="12.75">
      <c r="A2238" s="257"/>
    </row>
    <row r="2239" spans="1:1" ht="12.75">
      <c r="A2239" s="257"/>
    </row>
    <row r="2240" spans="1:1" ht="12.75">
      <c r="A2240" s="257"/>
    </row>
    <row r="2241" spans="1:1" ht="12.75">
      <c r="A2241" s="257"/>
    </row>
    <row r="2242" spans="1:1" ht="12.75">
      <c r="A2242" s="257"/>
    </row>
    <row r="2243" spans="1:1" ht="12.75">
      <c r="A2243" s="257"/>
    </row>
    <row r="2244" spans="1:1" ht="12.75">
      <c r="A2244" s="257"/>
    </row>
    <row r="2245" spans="1:1" ht="12.75">
      <c r="A2245" s="257"/>
    </row>
    <row r="2246" spans="1:1" ht="12.75">
      <c r="A2246" s="257"/>
    </row>
    <row r="2247" spans="1:1" ht="12.75">
      <c r="A2247" s="257"/>
    </row>
    <row r="2248" spans="1:1" ht="12.75">
      <c r="A2248" s="257"/>
    </row>
    <row r="2249" spans="1:1" ht="12.75">
      <c r="A2249" s="257"/>
    </row>
    <row r="2250" spans="1:1" ht="12.75">
      <c r="A2250" s="257"/>
    </row>
    <row r="2251" spans="1:1" ht="12.75">
      <c r="A2251" s="257"/>
    </row>
    <row r="2252" spans="1:1" ht="12.75">
      <c r="A2252" s="257"/>
    </row>
    <row r="2253" spans="1:1" ht="12.75">
      <c r="A2253" s="257"/>
    </row>
  </sheetData>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60" zoomScaleNormal="80" workbookViewId="0" topLeftCell="A1"/>
  </sheetViews>
  <sheetFormatPr defaultColWidth="8.88555555555556" defaultRowHeight="20.1" customHeight="1"/>
  <cols>
    <col min="1" max="1" width="3.88888888888889" style="52" customWidth="1"/>
    <col min="2" max="2" width="10.7777777777778" style="46" customWidth="1"/>
    <col min="3" max="3" width="14.5555555555556" style="46" customWidth="1"/>
    <col min="4" max="4" width="2.77777777777778" style="46" customWidth="1"/>
    <col min="5" max="5" width="12.7777777777778" style="52" customWidth="1"/>
    <col min="6" max="6" width="18.2222222222222" style="52" bestFit="1" customWidth="1"/>
    <col min="7" max="7" width="12.7777777777778" style="52" customWidth="1"/>
    <col min="8" max="8" width="15.6666666666667" style="52" bestFit="1" customWidth="1"/>
    <col min="9" max="10" width="15" style="52" bestFit="1" customWidth="1"/>
    <col min="11" max="11" width="5.77777777777778" style="52" customWidth="1"/>
    <col min="12" max="12" width="31.2222222222222" style="46" customWidth="1"/>
    <col min="13" max="13" width="15.4444444444444" style="46" customWidth="1"/>
    <col min="14" max="14" width="13.5555555555556" style="46" bestFit="1" customWidth="1"/>
    <col min="15" max="16384" width="8.88888888888889" style="46"/>
  </cols>
  <sheetData>
    <row r="1" spans="1:12" ht="20.1" customHeight="1">
      <c r="A1" s="655"/>
      <c r="E1" s="655"/>
      <c r="F1" s="655"/>
      <c r="G1" s="655"/>
      <c r="H1" s="655"/>
      <c r="I1" s="655"/>
      <c r="J1" s="655"/>
      <c r="K1" s="655"/>
      <c r="L1" s="6" t="s">
        <v>674</v>
      </c>
    </row>
    <row r="2" spans="1:12" ht="20.1" customHeight="1">
      <c r="A2" s="655"/>
      <c r="E2" s="655"/>
      <c r="F2" s="655"/>
      <c r="G2" s="655"/>
      <c r="H2" s="655"/>
      <c r="I2" s="655"/>
      <c r="J2" s="655"/>
      <c r="K2" s="655"/>
      <c r="L2" s="6" t="s">
        <v>221</v>
      </c>
    </row>
    <row r="3" spans="1:12" ht="20.1" customHeight="1">
      <c r="A3" s="655"/>
      <c r="E3" s="655"/>
      <c r="F3" s="655"/>
      <c r="G3" s="656" t="s">
        <v>676</v>
      </c>
      <c r="H3" s="655"/>
      <c r="I3" s="655"/>
      <c r="J3" s="655"/>
      <c r="K3" s="655"/>
      <c r="L3" s="9" t="str">
        <f>'Attachment 1 - Sched 1A'!$J$3</f>
        <v>For the 12 months ended 12/31/2021</v>
      </c>
    </row>
    <row r="4" spans="1:1" ht="20.1" customHeight="1">
      <c r="A4" s="55"/>
    </row>
    <row r="5" spans="1:12" ht="20.1" customHeight="1">
      <c r="A5" s="60"/>
      <c r="B5" s="134"/>
      <c r="C5" s="134"/>
      <c r="D5" s="134"/>
      <c r="E5" s="657" t="s">
        <v>606</v>
      </c>
      <c r="F5" s="657" t="s">
        <v>607</v>
      </c>
      <c r="G5" s="657" t="s">
        <v>608</v>
      </c>
      <c r="H5" s="657" t="s">
        <v>609</v>
      </c>
      <c r="I5" s="657" t="s">
        <v>610</v>
      </c>
      <c r="J5" s="657" t="s">
        <v>611</v>
      </c>
      <c r="K5" s="658"/>
      <c r="L5" s="657" t="s">
        <v>612</v>
      </c>
    </row>
    <row r="6" spans="1:12" ht="20.1" customHeight="1">
      <c r="A6" s="60"/>
      <c r="B6" s="134"/>
      <c r="C6" s="134"/>
      <c r="D6" s="134"/>
      <c r="E6" s="61" t="s">
        <v>251</v>
      </c>
      <c r="F6" s="61" t="s">
        <v>28</v>
      </c>
      <c r="G6" s="61" t="s">
        <v>252</v>
      </c>
      <c r="H6" s="61" t="s">
        <v>254</v>
      </c>
      <c r="I6" s="61" t="s">
        <v>253</v>
      </c>
      <c r="J6" s="61" t="s">
        <v>255</v>
      </c>
      <c r="K6" s="134"/>
      <c r="L6" s="61" t="s">
        <v>10</v>
      </c>
    </row>
    <row r="7" spans="1:12" ht="20.1" customHeight="1">
      <c r="A7" s="60"/>
      <c r="B7" s="134"/>
      <c r="C7" s="134"/>
      <c r="D7" s="697"/>
      <c r="E7" s="308"/>
      <c r="F7" s="308"/>
      <c r="G7" s="308"/>
      <c r="H7" s="308"/>
      <c r="I7" s="308"/>
      <c r="J7" s="265"/>
      <c r="K7" s="134"/>
      <c r="L7" s="134"/>
    </row>
    <row r="8" spans="1:12" ht="20.1" customHeight="1">
      <c r="A8" s="265">
        <v>1</v>
      </c>
      <c r="B8" s="134" t="s">
        <v>234</v>
      </c>
      <c r="C8" s="49">
        <v>2020</v>
      </c>
      <c r="D8" s="134"/>
      <c r="E8" s="128">
        <f t="shared" si="0" ref="E8:J8">E27-E48</f>
        <v>0</v>
      </c>
      <c r="F8" s="128">
        <f t="shared" si="0"/>
        <v>2061813030.5999999</v>
      </c>
      <c r="G8" s="128">
        <f t="shared" si="0"/>
        <v>0</v>
      </c>
      <c r="H8" s="128">
        <f t="shared" si="0"/>
        <v>36363632.159999996</v>
      </c>
      <c r="I8" s="128">
        <f t="shared" si="0"/>
        <v>74758220.330000013</v>
      </c>
      <c r="J8" s="128">
        <f t="shared" si="0"/>
        <v>0</v>
      </c>
      <c r="K8" s="699"/>
      <c r="L8" s="699">
        <f t="shared" si="1" ref="L8:L20">SUM(E8:J8)</f>
        <v>2172934883.0900002</v>
      </c>
    </row>
    <row r="9" spans="1:12" ht="20.1" customHeight="1">
      <c r="A9" s="265">
        <v>2</v>
      </c>
      <c r="B9" s="134" t="s">
        <v>235</v>
      </c>
      <c r="C9" s="121">
        <f>C8+1</f>
        <v>2021</v>
      </c>
      <c r="D9" s="134"/>
      <c r="E9" s="128">
        <f t="shared" si="2" ref="E9:E20">E28-E49</f>
        <v>0</v>
      </c>
      <c r="F9" s="128">
        <f t="shared" si="3" ref="F9:J20">F28-F49</f>
        <v>2095454217.5999999</v>
      </c>
      <c r="G9" s="128">
        <f t="shared" si="3"/>
        <v>0</v>
      </c>
      <c r="H9" s="128">
        <f t="shared" si="3"/>
        <v>31389256.159999996</v>
      </c>
      <c r="I9" s="128">
        <f t="shared" si="3"/>
        <v>79747582.329999998</v>
      </c>
      <c r="J9" s="128">
        <f t="shared" si="3"/>
        <v>0</v>
      </c>
      <c r="K9" s="699"/>
      <c r="L9" s="699">
        <f t="shared" si="1"/>
        <v>2206591056.0900002</v>
      </c>
    </row>
    <row r="10" spans="1:12" ht="20.1" customHeight="1">
      <c r="A10" s="265">
        <v>3</v>
      </c>
      <c r="B10" s="134" t="s">
        <v>236</v>
      </c>
      <c r="C10" s="121">
        <f>C9</f>
        <v>2021</v>
      </c>
      <c r="D10" s="134"/>
      <c r="E10" s="128">
        <f t="shared" si="2"/>
        <v>0</v>
      </c>
      <c r="F10" s="128">
        <f t="shared" si="3"/>
        <v>2113096459.5999999</v>
      </c>
      <c r="G10" s="128">
        <f t="shared" si="3"/>
        <v>0</v>
      </c>
      <c r="H10" s="128">
        <f t="shared" si="3"/>
        <v>31658350.159999996</v>
      </c>
      <c r="I10" s="128">
        <f t="shared" si="3"/>
        <v>80169051.329999998</v>
      </c>
      <c r="J10" s="128">
        <f t="shared" si="3"/>
        <v>0</v>
      </c>
      <c r="K10" s="699"/>
      <c r="L10" s="699">
        <f t="shared" si="1"/>
        <v>2224923861.0900002</v>
      </c>
    </row>
    <row r="11" spans="1:12" ht="20.1" customHeight="1">
      <c r="A11" s="265">
        <v>4</v>
      </c>
      <c r="B11" s="134" t="s">
        <v>237</v>
      </c>
      <c r="C11" s="121">
        <f t="shared" si="4" ref="C11:C20">C10</f>
        <v>2021</v>
      </c>
      <c r="D11" s="134"/>
      <c r="E11" s="128">
        <f t="shared" si="2"/>
        <v>0</v>
      </c>
      <c r="F11" s="128">
        <f t="shared" si="3"/>
        <v>2119204542.5999999</v>
      </c>
      <c r="G11" s="128">
        <f t="shared" si="3"/>
        <v>0</v>
      </c>
      <c r="H11" s="128">
        <f t="shared" si="3"/>
        <v>31272060.159999996</v>
      </c>
      <c r="I11" s="128">
        <f t="shared" si="3"/>
        <v>81066406.329999998</v>
      </c>
      <c r="J11" s="128">
        <f t="shared" si="3"/>
        <v>0</v>
      </c>
      <c r="K11" s="699"/>
      <c r="L11" s="699">
        <f t="shared" si="1"/>
        <v>2231543009.0899997</v>
      </c>
    </row>
    <row r="12" spans="1:12" ht="20.1" customHeight="1">
      <c r="A12" s="265">
        <v>5</v>
      </c>
      <c r="B12" s="134" t="s">
        <v>238</v>
      </c>
      <c r="C12" s="121">
        <f t="shared" si="4"/>
        <v>2021</v>
      </c>
      <c r="D12" s="134"/>
      <c r="E12" s="128">
        <f t="shared" si="2"/>
        <v>0</v>
      </c>
      <c r="F12" s="128">
        <f t="shared" si="3"/>
        <v>2128604902.5999999</v>
      </c>
      <c r="G12" s="128">
        <f t="shared" si="3"/>
        <v>0</v>
      </c>
      <c r="H12" s="128">
        <f t="shared" si="3"/>
        <v>31283328.159999996</v>
      </c>
      <c r="I12" s="128">
        <f t="shared" si="3"/>
        <v>82232107.329999998</v>
      </c>
      <c r="J12" s="128">
        <f t="shared" si="3"/>
        <v>0</v>
      </c>
      <c r="K12" s="699"/>
      <c r="L12" s="699">
        <f t="shared" si="1"/>
        <v>2242120338.0899997</v>
      </c>
    </row>
    <row r="13" spans="1:12" ht="20.1" customHeight="1">
      <c r="A13" s="265">
        <v>6</v>
      </c>
      <c r="B13" s="134" t="s">
        <v>239</v>
      </c>
      <c r="C13" s="121">
        <f t="shared" si="4"/>
        <v>2021</v>
      </c>
      <c r="D13" s="134"/>
      <c r="E13" s="128">
        <f t="shared" si="2"/>
        <v>0</v>
      </c>
      <c r="F13" s="128">
        <f t="shared" si="3"/>
        <v>2168792625.5999999</v>
      </c>
      <c r="G13" s="128">
        <f t="shared" si="3"/>
        <v>0</v>
      </c>
      <c r="H13" s="128">
        <f t="shared" si="3"/>
        <v>31332703.159999996</v>
      </c>
      <c r="I13" s="128">
        <f t="shared" si="3"/>
        <v>91112382.329999998</v>
      </c>
      <c r="J13" s="128">
        <f t="shared" si="3"/>
        <v>0</v>
      </c>
      <c r="K13" s="699"/>
      <c r="L13" s="699">
        <f t="shared" si="1"/>
        <v>2291237711.0899997</v>
      </c>
    </row>
    <row r="14" spans="1:12" ht="20.1" customHeight="1">
      <c r="A14" s="265">
        <v>7</v>
      </c>
      <c r="B14" s="134" t="s">
        <v>250</v>
      </c>
      <c r="C14" s="121">
        <f t="shared" si="4"/>
        <v>2021</v>
      </c>
      <c r="D14" s="134"/>
      <c r="E14" s="128">
        <f t="shared" si="2"/>
        <v>0</v>
      </c>
      <c r="F14" s="128">
        <f t="shared" si="3"/>
        <v>2185493075.5999999</v>
      </c>
      <c r="G14" s="128">
        <f t="shared" si="3"/>
        <v>0</v>
      </c>
      <c r="H14" s="128">
        <f t="shared" si="3"/>
        <v>31640051.159999996</v>
      </c>
      <c r="I14" s="128">
        <f t="shared" si="3"/>
        <v>91322757.329999998</v>
      </c>
      <c r="J14" s="128">
        <f t="shared" si="3"/>
        <v>0</v>
      </c>
      <c r="K14" s="699"/>
      <c r="L14" s="699">
        <f t="shared" si="1"/>
        <v>2308455884.0899997</v>
      </c>
    </row>
    <row r="15" spans="1:12" ht="20.1" customHeight="1">
      <c r="A15" s="265">
        <v>8</v>
      </c>
      <c r="B15" s="134" t="s">
        <v>240</v>
      </c>
      <c r="C15" s="121">
        <f t="shared" si="4"/>
        <v>2021</v>
      </c>
      <c r="D15" s="134"/>
      <c r="E15" s="128">
        <f t="shared" si="2"/>
        <v>0</v>
      </c>
      <c r="F15" s="128">
        <f t="shared" si="3"/>
        <v>2184843136.5999999</v>
      </c>
      <c r="G15" s="128">
        <f t="shared" si="3"/>
        <v>0</v>
      </c>
      <c r="H15" s="128">
        <f t="shared" si="3"/>
        <v>31651815.159999996</v>
      </c>
      <c r="I15" s="128">
        <f t="shared" si="3"/>
        <v>91984262.329999998</v>
      </c>
      <c r="J15" s="128">
        <f t="shared" si="3"/>
        <v>0</v>
      </c>
      <c r="K15" s="699"/>
      <c r="L15" s="699">
        <f t="shared" si="1"/>
        <v>2308479214.0899997</v>
      </c>
    </row>
    <row r="16" spans="1:12" ht="20.1" customHeight="1">
      <c r="A16" s="265">
        <v>9</v>
      </c>
      <c r="B16" s="134" t="s">
        <v>241</v>
      </c>
      <c r="C16" s="121">
        <f t="shared" si="4"/>
        <v>2021</v>
      </c>
      <c r="D16" s="134"/>
      <c r="E16" s="128">
        <f t="shared" si="2"/>
        <v>0</v>
      </c>
      <c r="F16" s="128">
        <f t="shared" si="3"/>
        <v>2185296947.5999999</v>
      </c>
      <c r="G16" s="128">
        <f t="shared" si="3"/>
        <v>0</v>
      </c>
      <c r="H16" s="128">
        <f t="shared" si="3"/>
        <v>31660801.159999996</v>
      </c>
      <c r="I16" s="128">
        <f t="shared" si="3"/>
        <v>96046509.329999998</v>
      </c>
      <c r="J16" s="128">
        <f t="shared" si="3"/>
        <v>0</v>
      </c>
      <c r="K16" s="699"/>
      <c r="L16" s="699">
        <f t="shared" si="1"/>
        <v>2313004258.0899997</v>
      </c>
    </row>
    <row r="17" spans="1:12" ht="20.1" customHeight="1">
      <c r="A17" s="265">
        <v>10</v>
      </c>
      <c r="B17" s="134" t="s">
        <v>242</v>
      </c>
      <c r="C17" s="121">
        <f t="shared" si="4"/>
        <v>2021</v>
      </c>
      <c r="D17" s="134"/>
      <c r="E17" s="128">
        <f t="shared" si="2"/>
        <v>0</v>
      </c>
      <c r="F17" s="128">
        <f t="shared" si="3"/>
        <v>2209511713.5999999</v>
      </c>
      <c r="G17" s="128">
        <f t="shared" si="3"/>
        <v>0</v>
      </c>
      <c r="H17" s="128">
        <f t="shared" si="3"/>
        <v>31002049.159999996</v>
      </c>
      <c r="I17" s="128">
        <f t="shared" si="3"/>
        <v>97307928.329999998</v>
      </c>
      <c r="J17" s="128">
        <f t="shared" si="3"/>
        <v>0</v>
      </c>
      <c r="K17" s="699"/>
      <c r="L17" s="699">
        <f t="shared" si="1"/>
        <v>2337821691.0899997</v>
      </c>
    </row>
    <row r="18" spans="1:12" ht="20.1" customHeight="1">
      <c r="A18" s="265">
        <v>11</v>
      </c>
      <c r="B18" s="134" t="s">
        <v>244</v>
      </c>
      <c r="C18" s="121">
        <f t="shared" si="4"/>
        <v>2021</v>
      </c>
      <c r="D18" s="134"/>
      <c r="E18" s="128">
        <f t="shared" si="2"/>
        <v>0</v>
      </c>
      <c r="F18" s="128">
        <f t="shared" si="3"/>
        <v>2222932589.5999999</v>
      </c>
      <c r="G18" s="128">
        <f t="shared" si="3"/>
        <v>0</v>
      </c>
      <c r="H18" s="128">
        <f t="shared" si="3"/>
        <v>31018361.159999996</v>
      </c>
      <c r="I18" s="128">
        <f t="shared" si="3"/>
        <v>97914067.329999998</v>
      </c>
      <c r="J18" s="128">
        <f t="shared" si="3"/>
        <v>0</v>
      </c>
      <c r="K18" s="699"/>
      <c r="L18" s="699">
        <f t="shared" si="1"/>
        <v>2351865018.0899997</v>
      </c>
    </row>
    <row r="19" spans="1:12" ht="20.1" customHeight="1">
      <c r="A19" s="265">
        <v>12</v>
      </c>
      <c r="B19" s="134" t="s">
        <v>243</v>
      </c>
      <c r="C19" s="121">
        <f t="shared" si="4"/>
        <v>2021</v>
      </c>
      <c r="D19" s="134"/>
      <c r="E19" s="128">
        <f t="shared" si="2"/>
        <v>0</v>
      </c>
      <c r="F19" s="128">
        <f t="shared" si="3"/>
        <v>2249926658.5999999</v>
      </c>
      <c r="G19" s="128">
        <f t="shared" si="3"/>
        <v>0</v>
      </c>
      <c r="H19" s="128">
        <f t="shared" si="3"/>
        <v>31042984.159999996</v>
      </c>
      <c r="I19" s="128">
        <f t="shared" si="3"/>
        <v>97837579.329999998</v>
      </c>
      <c r="J19" s="128">
        <f t="shared" si="3"/>
        <v>0</v>
      </c>
      <c r="K19" s="699"/>
      <c r="L19" s="699">
        <f t="shared" si="1"/>
        <v>2378807222.0899997</v>
      </c>
    </row>
    <row r="20" spans="1:12" ht="20.1" customHeight="1">
      <c r="A20" s="265">
        <v>13</v>
      </c>
      <c r="B20" s="134" t="s">
        <v>234</v>
      </c>
      <c r="C20" s="121">
        <f t="shared" si="4"/>
        <v>2021</v>
      </c>
      <c r="D20" s="134"/>
      <c r="E20" s="128">
        <f t="shared" si="2"/>
        <v>0</v>
      </c>
      <c r="F20" s="128">
        <f t="shared" si="3"/>
        <v>2322154036.5999999</v>
      </c>
      <c r="G20" s="128">
        <f t="shared" si="3"/>
        <v>0</v>
      </c>
      <c r="H20" s="128">
        <f t="shared" si="3"/>
        <v>32490274.159999996</v>
      </c>
      <c r="I20" s="128">
        <f t="shared" si="3"/>
        <v>101885963.33</v>
      </c>
      <c r="J20" s="128">
        <f t="shared" si="3"/>
        <v>0</v>
      </c>
      <c r="K20" s="699"/>
      <c r="L20" s="699">
        <f t="shared" si="1"/>
        <v>2456530274.0899997</v>
      </c>
    </row>
    <row r="21" spans="1:12" ht="20.1" customHeight="1">
      <c r="A21" s="60"/>
      <c r="B21" s="134"/>
      <c r="C21" s="134"/>
      <c r="D21" s="134"/>
      <c r="E21" s="128"/>
      <c r="F21" s="128"/>
      <c r="G21" s="128"/>
      <c r="H21" s="128"/>
      <c r="I21" s="128"/>
      <c r="J21" s="128"/>
      <c r="K21" s="699"/>
      <c r="L21" s="699"/>
    </row>
    <row r="22" spans="1:12" s="57" customFormat="1" ht="20.1" customHeight="1">
      <c r="A22" s="266">
        <v>14</v>
      </c>
      <c r="B22" s="700" t="s">
        <v>259</v>
      </c>
      <c r="C22" s="700"/>
      <c r="D22" s="701" t="s">
        <v>785</v>
      </c>
      <c r="E22" s="702">
        <f t="shared" si="5" ref="E22:J22">SUM(E8:E20)/13</f>
        <v>0</v>
      </c>
      <c r="F22" s="1113">
        <f t="shared" si="5"/>
        <v>2172855687.4461536</v>
      </c>
      <c r="G22" s="702">
        <f t="shared" si="5"/>
        <v>0</v>
      </c>
      <c r="H22" s="1113">
        <f t="shared" si="5"/>
        <v>31831205.083076909</v>
      </c>
      <c r="I22" s="1113">
        <f t="shared" si="5"/>
        <v>89491139.791538477</v>
      </c>
      <c r="J22" s="702">
        <f t="shared" si="5"/>
        <v>0</v>
      </c>
      <c r="K22" s="702"/>
      <c r="L22" s="1113">
        <f>SUM(L8:L20)/13</f>
        <v>2294178032.3207693</v>
      </c>
    </row>
    <row r="23" spans="3:3" ht="20.1" customHeight="1">
      <c r="C23" s="134"/>
    </row>
    <row r="24" spans="5:12" ht="20.1" customHeight="1">
      <c r="E24" s="54" t="s">
        <v>251</v>
      </c>
      <c r="F24" s="54" t="s">
        <v>28</v>
      </c>
      <c r="G24" s="54" t="s">
        <v>252</v>
      </c>
      <c r="H24" s="54" t="s">
        <v>254</v>
      </c>
      <c r="I24" s="54" t="s">
        <v>253</v>
      </c>
      <c r="J24" s="54" t="s">
        <v>255</v>
      </c>
      <c r="K24" s="46"/>
      <c r="L24" s="54" t="s">
        <v>10</v>
      </c>
    </row>
    <row r="25" spans="5:11" ht="20.1" customHeight="1">
      <c r="E25" s="54"/>
      <c r="F25" s="54"/>
      <c r="G25" s="54"/>
      <c r="H25" s="54"/>
      <c r="I25" s="54"/>
      <c r="J25" s="54"/>
      <c r="K25" s="46"/>
    </row>
    <row r="26" spans="4:11" ht="20.1" customHeight="1">
      <c r="D26" s="50" t="s">
        <v>274</v>
      </c>
      <c r="E26" s="53" t="s">
        <v>152</v>
      </c>
      <c r="F26" s="53" t="s">
        <v>256</v>
      </c>
      <c r="G26" s="53" t="s">
        <v>153</v>
      </c>
      <c r="H26" s="53" t="s">
        <v>257</v>
      </c>
      <c r="I26" s="53" t="s">
        <v>258</v>
      </c>
      <c r="J26" s="56">
        <v>356.10000000000002</v>
      </c>
      <c r="K26" s="46"/>
    </row>
    <row r="27" spans="1:12" ht="20.1" customHeight="1">
      <c r="A27" s="56">
        <v>15</v>
      </c>
      <c r="B27" s="46" t="s">
        <v>234</v>
      </c>
      <c r="C27" s="121">
        <f>C8</f>
        <v>2020</v>
      </c>
      <c r="E27" s="122"/>
      <c r="F27" s="122">
        <v>2061824685.0599999</v>
      </c>
      <c r="G27" s="122"/>
      <c r="H27" s="122">
        <v>36363632.159999996</v>
      </c>
      <c r="I27" s="122">
        <v>74758220.330000013</v>
      </c>
      <c r="J27" s="122"/>
      <c r="K27" s="123"/>
      <c r="L27" s="123">
        <f t="shared" si="6" ref="L27:L39">SUM(E27:J27)</f>
        <v>2172946537.5500002</v>
      </c>
    </row>
    <row r="28" spans="1:12" ht="20.1" customHeight="1">
      <c r="A28" s="56">
        <v>16</v>
      </c>
      <c r="B28" s="46" t="s">
        <v>235</v>
      </c>
      <c r="C28" s="48">
        <f>C27+1</f>
        <v>2021</v>
      </c>
      <c r="E28" s="122"/>
      <c r="F28" s="122">
        <v>2095465872.0599999</v>
      </c>
      <c r="G28" s="122"/>
      <c r="H28" s="122">
        <v>31389256.159999996</v>
      </c>
      <c r="I28" s="122">
        <v>79747582.329999998</v>
      </c>
      <c r="J28" s="122"/>
      <c r="K28" s="123"/>
      <c r="L28" s="123">
        <f t="shared" si="6"/>
        <v>2206602710.5500002</v>
      </c>
    </row>
    <row r="29" spans="1:12" ht="20.1" customHeight="1">
      <c r="A29" s="56">
        <v>17</v>
      </c>
      <c r="B29" s="46" t="s">
        <v>236</v>
      </c>
      <c r="C29" s="48">
        <f>C28</f>
        <v>2021</v>
      </c>
      <c r="E29" s="122"/>
      <c r="F29" s="122">
        <v>2113108114.0599999</v>
      </c>
      <c r="G29" s="122"/>
      <c r="H29" s="122">
        <v>31658350.159999996</v>
      </c>
      <c r="I29" s="122">
        <v>80169051.329999998</v>
      </c>
      <c r="J29" s="122"/>
      <c r="K29" s="123"/>
      <c r="L29" s="123">
        <f t="shared" si="6"/>
        <v>2224935515.5500002</v>
      </c>
    </row>
    <row r="30" spans="1:12" ht="20.1" customHeight="1">
      <c r="A30" s="56">
        <v>18</v>
      </c>
      <c r="B30" s="46" t="s">
        <v>237</v>
      </c>
      <c r="C30" s="48">
        <f t="shared" si="7" ref="C30:C39">C29</f>
        <v>2021</v>
      </c>
      <c r="E30" s="122"/>
      <c r="F30" s="122">
        <v>2119216197.0599999</v>
      </c>
      <c r="G30" s="122"/>
      <c r="H30" s="122">
        <v>31272060.159999996</v>
      </c>
      <c r="I30" s="122">
        <v>81066406.329999998</v>
      </c>
      <c r="J30" s="122"/>
      <c r="K30" s="123"/>
      <c r="L30" s="123">
        <f t="shared" si="6"/>
        <v>2231554663.5499997</v>
      </c>
    </row>
    <row r="31" spans="1:12" ht="20.1" customHeight="1">
      <c r="A31" s="56">
        <v>19</v>
      </c>
      <c r="B31" s="46" t="s">
        <v>238</v>
      </c>
      <c r="C31" s="48">
        <f t="shared" si="7"/>
        <v>2021</v>
      </c>
      <c r="E31" s="122"/>
      <c r="F31" s="122">
        <v>2128616557.0599999</v>
      </c>
      <c r="G31" s="122"/>
      <c r="H31" s="122">
        <v>31283328.159999996</v>
      </c>
      <c r="I31" s="122">
        <v>82232107.329999998</v>
      </c>
      <c r="J31" s="122"/>
      <c r="K31" s="123"/>
      <c r="L31" s="123">
        <f t="shared" si="6"/>
        <v>2242131992.5499997</v>
      </c>
    </row>
    <row r="32" spans="1:12" ht="20.1" customHeight="1">
      <c r="A32" s="56">
        <v>20</v>
      </c>
      <c r="B32" s="46" t="s">
        <v>239</v>
      </c>
      <c r="C32" s="48">
        <f t="shared" si="7"/>
        <v>2021</v>
      </c>
      <c r="E32" s="122"/>
      <c r="F32" s="122">
        <v>2168804280.0599999</v>
      </c>
      <c r="G32" s="122"/>
      <c r="H32" s="122">
        <v>31332703.159999996</v>
      </c>
      <c r="I32" s="122">
        <v>91112382.329999998</v>
      </c>
      <c r="J32" s="122"/>
      <c r="K32" s="123"/>
      <c r="L32" s="123">
        <f t="shared" si="6"/>
        <v>2291249365.5499997</v>
      </c>
    </row>
    <row r="33" spans="1:12" ht="20.1" customHeight="1">
      <c r="A33" s="56">
        <v>21</v>
      </c>
      <c r="B33" s="46" t="s">
        <v>250</v>
      </c>
      <c r="C33" s="48">
        <f t="shared" si="7"/>
        <v>2021</v>
      </c>
      <c r="E33" s="122"/>
      <c r="F33" s="122">
        <v>2185504730.0599999</v>
      </c>
      <c r="G33" s="122"/>
      <c r="H33" s="122">
        <v>31640051.159999996</v>
      </c>
      <c r="I33" s="122">
        <v>91322757.329999998</v>
      </c>
      <c r="J33" s="122"/>
      <c r="K33" s="123"/>
      <c r="L33" s="123">
        <f t="shared" si="6"/>
        <v>2308467538.5499997</v>
      </c>
    </row>
    <row r="34" spans="1:12" ht="20.1" customHeight="1">
      <c r="A34" s="56">
        <v>22</v>
      </c>
      <c r="B34" s="46" t="s">
        <v>240</v>
      </c>
      <c r="C34" s="48">
        <f t="shared" si="7"/>
        <v>2021</v>
      </c>
      <c r="E34" s="122"/>
      <c r="F34" s="122">
        <v>2184854791.0599999</v>
      </c>
      <c r="G34" s="122"/>
      <c r="H34" s="122">
        <v>31651815.159999996</v>
      </c>
      <c r="I34" s="122">
        <v>91984262.329999998</v>
      </c>
      <c r="J34" s="122"/>
      <c r="K34" s="123"/>
      <c r="L34" s="123">
        <f t="shared" si="6"/>
        <v>2308490868.5499997</v>
      </c>
    </row>
    <row r="35" spans="1:12" ht="20.1" customHeight="1">
      <c r="A35" s="56">
        <v>23</v>
      </c>
      <c r="B35" s="46" t="s">
        <v>241</v>
      </c>
      <c r="C35" s="48">
        <f t="shared" si="7"/>
        <v>2021</v>
      </c>
      <c r="E35" s="122"/>
      <c r="F35" s="122">
        <v>2185308602.0599999</v>
      </c>
      <c r="G35" s="122"/>
      <c r="H35" s="122">
        <v>31660801.159999996</v>
      </c>
      <c r="I35" s="122">
        <v>96046509.329999998</v>
      </c>
      <c r="J35" s="122"/>
      <c r="K35" s="123"/>
      <c r="L35" s="123">
        <f t="shared" si="6"/>
        <v>2313015912.5499997</v>
      </c>
    </row>
    <row r="36" spans="1:12" ht="20.1" customHeight="1">
      <c r="A36" s="56">
        <v>24</v>
      </c>
      <c r="B36" s="46" t="s">
        <v>242</v>
      </c>
      <c r="C36" s="48">
        <f t="shared" si="7"/>
        <v>2021</v>
      </c>
      <c r="E36" s="122"/>
      <c r="F36" s="122">
        <v>2209523368.0599999</v>
      </c>
      <c r="G36" s="122"/>
      <c r="H36" s="122">
        <v>31002049.159999996</v>
      </c>
      <c r="I36" s="122">
        <v>97307928.329999998</v>
      </c>
      <c r="J36" s="122"/>
      <c r="K36" s="123"/>
      <c r="L36" s="123">
        <f t="shared" si="6"/>
        <v>2337833345.5499997</v>
      </c>
    </row>
    <row r="37" spans="1:12" ht="20.1" customHeight="1">
      <c r="A37" s="56">
        <v>25</v>
      </c>
      <c r="B37" s="46" t="s">
        <v>244</v>
      </c>
      <c r="C37" s="48">
        <f t="shared" si="7"/>
        <v>2021</v>
      </c>
      <c r="E37" s="122"/>
      <c r="F37" s="122">
        <v>2222944244.0599999</v>
      </c>
      <c r="G37" s="122"/>
      <c r="H37" s="122">
        <v>31018361.159999996</v>
      </c>
      <c r="I37" s="122">
        <v>97914067.329999998</v>
      </c>
      <c r="J37" s="122"/>
      <c r="K37" s="123"/>
      <c r="L37" s="123">
        <f t="shared" si="6"/>
        <v>2351876672.5499997</v>
      </c>
    </row>
    <row r="38" spans="1:12" ht="20.1" customHeight="1">
      <c r="A38" s="56">
        <v>26</v>
      </c>
      <c r="B38" s="46" t="s">
        <v>243</v>
      </c>
      <c r="C38" s="48">
        <f t="shared" si="7"/>
        <v>2021</v>
      </c>
      <c r="E38" s="122"/>
      <c r="F38" s="122">
        <v>2249938313.0599999</v>
      </c>
      <c r="G38" s="122"/>
      <c r="H38" s="122">
        <v>31042984.159999996</v>
      </c>
      <c r="I38" s="122">
        <v>97837579.329999998</v>
      </c>
      <c r="J38" s="122"/>
      <c r="K38" s="123"/>
      <c r="L38" s="123">
        <f t="shared" si="6"/>
        <v>2378818876.5499997</v>
      </c>
    </row>
    <row r="39" spans="1:12" ht="20.1" customHeight="1">
      <c r="A39" s="56">
        <v>27</v>
      </c>
      <c r="B39" s="46" t="s">
        <v>234</v>
      </c>
      <c r="C39" s="48">
        <f t="shared" si="7"/>
        <v>2021</v>
      </c>
      <c r="E39" s="122"/>
      <c r="F39" s="122">
        <v>2322165691.0599999</v>
      </c>
      <c r="G39" s="122"/>
      <c r="H39" s="122">
        <v>32490274.159999996</v>
      </c>
      <c r="I39" s="122">
        <v>101885963.33</v>
      </c>
      <c r="J39" s="122"/>
      <c r="K39" s="123"/>
      <c r="L39" s="123">
        <f t="shared" si="6"/>
        <v>2456541928.5499997</v>
      </c>
    </row>
    <row r="40" spans="5:12" ht="20.1" customHeight="1">
      <c r="E40" s="124"/>
      <c r="F40" s="124"/>
      <c r="G40" s="124"/>
      <c r="H40" s="124"/>
      <c r="I40" s="124"/>
      <c r="J40" s="124"/>
      <c r="K40" s="123"/>
      <c r="L40" s="123"/>
    </row>
    <row r="41" spans="1:12" ht="20.1" customHeight="1">
      <c r="A41" s="56">
        <v>28</v>
      </c>
      <c r="B41" s="46" t="s">
        <v>259</v>
      </c>
      <c r="E41" s="124">
        <f t="shared" si="8" ref="E41:G41">SUM(E27:E39)/13</f>
        <v>0</v>
      </c>
      <c r="F41" s="1114">
        <f>SUM(F27:F39)/13</f>
        <v>2172867341.9061542</v>
      </c>
      <c r="G41" s="124">
        <f t="shared" si="8"/>
        <v>0</v>
      </c>
      <c r="H41" s="1114">
        <f>SUM(H27:H39)/13</f>
        <v>31831205.083076909</v>
      </c>
      <c r="I41" s="1114">
        <f>SUM(I27:I39)/13</f>
        <v>89491139.791538477</v>
      </c>
      <c r="J41" s="124">
        <f>SUM(J27:J39)/13</f>
        <v>0</v>
      </c>
      <c r="K41" s="124"/>
      <c r="L41" s="1114">
        <f>SUM(L27:L39)/13</f>
        <v>2294189686.7807689</v>
      </c>
    </row>
    <row r="44" spans="2:12" ht="20.1" customHeight="1">
      <c r="B44" s="68" t="s">
        <v>786</v>
      </c>
      <c r="C44" s="69"/>
      <c r="D44" s="69"/>
      <c r="E44" s="70"/>
      <c r="F44" s="70"/>
      <c r="G44" s="69"/>
      <c r="H44" s="672"/>
      <c r="I44" s="678"/>
      <c r="J44" s="680"/>
      <c r="K44" s="46"/>
      <c r="L44" s="847"/>
    </row>
    <row r="45" spans="2:12" ht="20.1" customHeight="1">
      <c r="B45" s="71"/>
      <c r="C45" s="72"/>
      <c r="D45" s="72"/>
      <c r="E45" s="671" t="s">
        <v>251</v>
      </c>
      <c r="F45" s="73" t="s">
        <v>28</v>
      </c>
      <c r="G45" s="671" t="s">
        <v>252</v>
      </c>
      <c r="H45" s="671" t="s">
        <v>254</v>
      </c>
      <c r="I45" s="73" t="s">
        <v>253</v>
      </c>
      <c r="J45" s="674" t="s">
        <v>255</v>
      </c>
      <c r="K45" s="46"/>
      <c r="L45" s="847"/>
    </row>
    <row r="46" spans="2:11" ht="20.1" customHeight="1">
      <c r="B46" s="71"/>
      <c r="C46" s="72"/>
      <c r="D46" s="72"/>
      <c r="E46" s="72"/>
      <c r="F46" s="73"/>
      <c r="G46" s="72"/>
      <c r="H46" s="46"/>
      <c r="I46" s="72"/>
      <c r="J46" s="74"/>
      <c r="K46" s="46"/>
    </row>
    <row r="47" spans="2:11" ht="20.1" customHeight="1">
      <c r="B47" s="71"/>
      <c r="C47" s="72"/>
      <c r="D47" s="75" t="s">
        <v>274</v>
      </c>
      <c r="E47" s="76" t="s">
        <v>880</v>
      </c>
      <c r="F47" s="76" t="s">
        <v>291</v>
      </c>
      <c r="G47" s="76" t="s">
        <v>879</v>
      </c>
      <c r="H47" s="76" t="s">
        <v>425</v>
      </c>
      <c r="I47" s="76" t="s">
        <v>881</v>
      </c>
      <c r="J47" s="742" t="s">
        <v>425</v>
      </c>
      <c r="K47" s="46"/>
    </row>
    <row r="48" spans="1:11" ht="20.1" customHeight="1">
      <c r="A48" s="56">
        <v>29</v>
      </c>
      <c r="B48" s="71" t="s">
        <v>234</v>
      </c>
      <c r="C48" s="506">
        <f>C8</f>
        <v>2020</v>
      </c>
      <c r="D48" s="72"/>
      <c r="E48" s="679"/>
      <c r="F48" s="855">
        <v>11654.459999999999</v>
      </c>
      <c r="G48" s="679"/>
      <c r="H48" s="673"/>
      <c r="I48" s="679"/>
      <c r="J48" s="675"/>
      <c r="K48" s="46"/>
    </row>
    <row r="49" spans="1:11" ht="20.1" customHeight="1">
      <c r="A49" s="56">
        <v>30</v>
      </c>
      <c r="B49" s="71" t="s">
        <v>235</v>
      </c>
      <c r="C49" s="77">
        <f>C48+1</f>
        <v>2021</v>
      </c>
      <c r="D49" s="72"/>
      <c r="E49" s="679"/>
      <c r="F49" s="855">
        <v>11654.460000000001</v>
      </c>
      <c r="G49" s="679"/>
      <c r="H49" s="673"/>
      <c r="I49" s="679"/>
      <c r="J49" s="675"/>
      <c r="K49" s="46"/>
    </row>
    <row r="50" spans="1:11" ht="20.1" customHeight="1">
      <c r="A50" s="56">
        <v>31</v>
      </c>
      <c r="B50" s="71" t="s">
        <v>236</v>
      </c>
      <c r="C50" s="77">
        <f>C49</f>
        <v>2021</v>
      </c>
      <c r="D50" s="72"/>
      <c r="E50" s="679"/>
      <c r="F50" s="855">
        <v>11654.460000000001</v>
      </c>
      <c r="G50" s="679"/>
      <c r="H50" s="673"/>
      <c r="I50" s="679"/>
      <c r="J50" s="675"/>
      <c r="K50" s="46"/>
    </row>
    <row r="51" spans="1:11" ht="20.1" customHeight="1">
      <c r="A51" s="56">
        <v>32</v>
      </c>
      <c r="B51" s="71" t="s">
        <v>237</v>
      </c>
      <c r="C51" s="77">
        <f t="shared" si="9" ref="C51:C60">C50</f>
        <v>2021</v>
      </c>
      <c r="D51" s="72"/>
      <c r="E51" s="679"/>
      <c r="F51" s="855">
        <v>11654.460000000001</v>
      </c>
      <c r="G51" s="679"/>
      <c r="H51" s="673"/>
      <c r="I51" s="679"/>
      <c r="J51" s="675"/>
      <c r="K51" s="46"/>
    </row>
    <row r="52" spans="1:11" ht="20.1" customHeight="1">
      <c r="A52" s="56">
        <v>33</v>
      </c>
      <c r="B52" s="71" t="s">
        <v>238</v>
      </c>
      <c r="C52" s="77">
        <f t="shared" si="9"/>
        <v>2021</v>
      </c>
      <c r="D52" s="72"/>
      <c r="E52" s="679"/>
      <c r="F52" s="855">
        <v>11654.460000000001</v>
      </c>
      <c r="G52" s="679"/>
      <c r="H52" s="673"/>
      <c r="I52" s="679"/>
      <c r="J52" s="675"/>
      <c r="K52" s="46"/>
    </row>
    <row r="53" spans="1:11" ht="20.1" customHeight="1">
      <c r="A53" s="56">
        <v>34</v>
      </c>
      <c r="B53" s="71" t="s">
        <v>239</v>
      </c>
      <c r="C53" s="77">
        <f t="shared" si="9"/>
        <v>2021</v>
      </c>
      <c r="D53" s="72"/>
      <c r="E53" s="679"/>
      <c r="F53" s="855">
        <v>11654.460000000001</v>
      </c>
      <c r="G53" s="679"/>
      <c r="H53" s="673"/>
      <c r="I53" s="679"/>
      <c r="J53" s="675"/>
      <c r="K53" s="46"/>
    </row>
    <row r="54" spans="1:11" ht="20.1" customHeight="1">
      <c r="A54" s="56">
        <v>35</v>
      </c>
      <c r="B54" s="71" t="s">
        <v>250</v>
      </c>
      <c r="C54" s="77">
        <f t="shared" si="9"/>
        <v>2021</v>
      </c>
      <c r="D54" s="72"/>
      <c r="E54" s="679"/>
      <c r="F54" s="855">
        <v>11654.460000000001</v>
      </c>
      <c r="G54" s="679"/>
      <c r="H54" s="673"/>
      <c r="I54" s="679"/>
      <c r="J54" s="675"/>
      <c r="K54" s="46"/>
    </row>
    <row r="55" spans="1:11" ht="20.1" customHeight="1">
      <c r="A55" s="56">
        <v>36</v>
      </c>
      <c r="B55" s="71" t="s">
        <v>240</v>
      </c>
      <c r="C55" s="77">
        <f t="shared" si="9"/>
        <v>2021</v>
      </c>
      <c r="D55" s="72"/>
      <c r="E55" s="679"/>
      <c r="F55" s="855">
        <v>11654.460000000001</v>
      </c>
      <c r="G55" s="679"/>
      <c r="H55" s="673"/>
      <c r="I55" s="679"/>
      <c r="J55" s="675"/>
      <c r="K55" s="46"/>
    </row>
    <row r="56" spans="1:11" ht="20.1" customHeight="1">
      <c r="A56" s="56">
        <v>37</v>
      </c>
      <c r="B56" s="71" t="s">
        <v>241</v>
      </c>
      <c r="C56" s="77">
        <f t="shared" si="9"/>
        <v>2021</v>
      </c>
      <c r="D56" s="72"/>
      <c r="E56" s="679"/>
      <c r="F56" s="855">
        <v>11654.460000000001</v>
      </c>
      <c r="G56" s="679"/>
      <c r="H56" s="673"/>
      <c r="I56" s="679"/>
      <c r="J56" s="675"/>
      <c r="K56" s="46"/>
    </row>
    <row r="57" spans="1:11" ht="20.1" customHeight="1">
      <c r="A57" s="56">
        <v>38</v>
      </c>
      <c r="B57" s="71" t="s">
        <v>242</v>
      </c>
      <c r="C57" s="77">
        <f t="shared" si="9"/>
        <v>2021</v>
      </c>
      <c r="D57" s="72"/>
      <c r="E57" s="679"/>
      <c r="F57" s="855">
        <v>11654.460000000001</v>
      </c>
      <c r="G57" s="679"/>
      <c r="H57" s="673"/>
      <c r="I57" s="679"/>
      <c r="J57" s="675"/>
      <c r="K57" s="46"/>
    </row>
    <row r="58" spans="1:11" ht="20.1" customHeight="1">
      <c r="A58" s="56">
        <v>39</v>
      </c>
      <c r="B58" s="71" t="s">
        <v>244</v>
      </c>
      <c r="C58" s="77">
        <f t="shared" si="9"/>
        <v>2021</v>
      </c>
      <c r="D58" s="72"/>
      <c r="E58" s="679"/>
      <c r="F58" s="855">
        <v>11654.460000000001</v>
      </c>
      <c r="G58" s="679"/>
      <c r="H58" s="673"/>
      <c r="I58" s="679"/>
      <c r="J58" s="675"/>
      <c r="K58" s="46"/>
    </row>
    <row r="59" spans="1:11" ht="20.1" customHeight="1">
      <c r="A59" s="56">
        <v>40</v>
      </c>
      <c r="B59" s="71" t="s">
        <v>243</v>
      </c>
      <c r="C59" s="77">
        <f t="shared" si="9"/>
        <v>2021</v>
      </c>
      <c r="D59" s="72"/>
      <c r="E59" s="679"/>
      <c r="F59" s="855">
        <v>11654.460000000001</v>
      </c>
      <c r="G59" s="679"/>
      <c r="H59" s="673"/>
      <c r="I59" s="679"/>
      <c r="J59" s="675"/>
      <c r="K59" s="46"/>
    </row>
    <row r="60" spans="1:11" ht="20.1" customHeight="1">
      <c r="A60" s="56">
        <v>41</v>
      </c>
      <c r="B60" s="71" t="s">
        <v>234</v>
      </c>
      <c r="C60" s="77">
        <f t="shared" si="9"/>
        <v>2021</v>
      </c>
      <c r="D60" s="72"/>
      <c r="E60" s="679"/>
      <c r="F60" s="855">
        <v>11654.460000000001</v>
      </c>
      <c r="G60" s="679"/>
      <c r="H60" s="673"/>
      <c r="I60" s="679"/>
      <c r="J60" s="675"/>
      <c r="K60" s="46"/>
    </row>
    <row r="61" spans="2:11" ht="20.1" customHeight="1">
      <c r="B61" s="71"/>
      <c r="C61" s="72"/>
      <c r="D61" s="72"/>
      <c r="E61" s="72"/>
      <c r="F61" s="125"/>
      <c r="G61" s="72"/>
      <c r="H61" s="46"/>
      <c r="I61" s="72"/>
      <c r="J61" s="74"/>
      <c r="K61" s="46"/>
    </row>
    <row r="62" spans="1:11" ht="20.1" customHeight="1">
      <c r="A62" s="56">
        <v>42</v>
      </c>
      <c r="B62" s="78" t="s">
        <v>259</v>
      </c>
      <c r="C62" s="79"/>
      <c r="D62" s="79"/>
      <c r="E62" s="79"/>
      <c r="F62" s="1115">
        <f>SUM(F48:F60)/13</f>
        <v>11654.460000000001</v>
      </c>
      <c r="G62" s="126">
        <f>SUM(G48:G60)/13</f>
        <v>0</v>
      </c>
      <c r="H62" s="126">
        <f>SUM(H48:H60)/13</f>
        <v>0</v>
      </c>
      <c r="I62" s="126">
        <f>SUM(I48:I60)/13</f>
        <v>0</v>
      </c>
      <c r="J62" s="676">
        <f>SUM(J48:J60)/13</f>
        <v>0</v>
      </c>
      <c r="K62" s="46"/>
    </row>
    <row r="64" spans="1:1" ht="20.1" customHeight="1">
      <c r="A64" s="46" t="s">
        <v>261</v>
      </c>
    </row>
    <row r="65" spans="1:2" ht="20.1" customHeight="1">
      <c r="A65" s="52" t="s">
        <v>260</v>
      </c>
      <c r="B65" s="46" t="s">
        <v>783</v>
      </c>
    </row>
    <row r="66" spans="1:2" ht="20.1" customHeight="1">
      <c r="A66" s="52" t="s">
        <v>274</v>
      </c>
      <c r="B66" s="46" t="s">
        <v>262</v>
      </c>
    </row>
    <row r="67" spans="1:2" ht="20.1" customHeight="1">
      <c r="A67" s="52" t="s">
        <v>344</v>
      </c>
      <c r="B67" s="46" t="s">
        <v>869</v>
      </c>
    </row>
    <row r="68" spans="1:2" ht="20.1" customHeight="1">
      <c r="A68" s="829" t="s">
        <v>358</v>
      </c>
      <c r="B68" s="46" t="s">
        <v>1098</v>
      </c>
    </row>
    <row r="69" spans="1:12" ht="35.25" customHeight="1">
      <c r="A69" s="1101"/>
      <c r="B69" s="1188"/>
      <c r="C69" s="1188"/>
      <c r="D69" s="1188"/>
      <c r="E69" s="1188"/>
      <c r="F69" s="1188"/>
      <c r="G69" s="1188"/>
      <c r="H69" s="1188"/>
      <c r="I69" s="1188"/>
      <c r="J69" s="1188"/>
      <c r="K69" s="1188"/>
      <c r="L69" s="1188"/>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1">
    <mergeCell ref="B69:L69"/>
  </mergeCells>
  <pageMargins left="0.7" right="0.7" top="0.75" bottom="0.75" header="0.3" footer="0.3"/>
  <pageSetup fitToHeight="0" fitToWidth="0" orientation="portrait"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60" zoomScaleNormal="80" workbookViewId="0" topLeftCell="A1"/>
  </sheetViews>
  <sheetFormatPr defaultColWidth="8.88555555555556" defaultRowHeight="20.1" customHeight="1"/>
  <cols>
    <col min="1" max="1" width="5.77777777777778" style="52" bestFit="1" customWidth="1"/>
    <col min="2" max="2" width="10.7777777777778" style="46" customWidth="1"/>
    <col min="3" max="3" width="13.7777777777778" style="46" customWidth="1"/>
    <col min="4" max="4" width="2.77777777777778" style="46" customWidth="1"/>
    <col min="5" max="5" width="12.7777777777778" style="52" customWidth="1"/>
    <col min="6" max="6" width="17.1111111111111" style="52" bestFit="1" customWidth="1"/>
    <col min="7" max="7" width="12.7777777777778" style="52" customWidth="1"/>
    <col min="8" max="8" width="15.1111111111111" style="52" bestFit="1" customWidth="1"/>
    <col min="9" max="9" width="16" style="52" bestFit="1" customWidth="1"/>
    <col min="10" max="10" width="12.7777777777778" style="52" customWidth="1"/>
    <col min="11" max="11" width="5.77777777777778" style="52" customWidth="1"/>
    <col min="12" max="12" width="31.6666666666667" style="46" customWidth="1"/>
    <col min="13" max="16384" width="8.88888888888889" style="46"/>
  </cols>
  <sheetData>
    <row r="1" spans="1:12" ht="20.1" customHeight="1">
      <c r="A1" s="655"/>
      <c r="E1" s="655"/>
      <c r="F1" s="655"/>
      <c r="G1" s="655"/>
      <c r="H1" s="655"/>
      <c r="I1" s="655"/>
      <c r="J1" s="655"/>
      <c r="K1" s="655"/>
      <c r="L1" s="6" t="s">
        <v>677</v>
      </c>
    </row>
    <row r="2" spans="1:12" ht="20.1" customHeight="1">
      <c r="A2" s="655"/>
      <c r="E2" s="655"/>
      <c r="F2" s="655"/>
      <c r="G2" s="655"/>
      <c r="H2" s="655"/>
      <c r="I2" s="655"/>
      <c r="J2" s="655"/>
      <c r="K2" s="655"/>
      <c r="L2" s="6" t="s">
        <v>221</v>
      </c>
    </row>
    <row r="3" spans="1:12" ht="20.1" customHeight="1">
      <c r="A3" s="655"/>
      <c r="E3" s="655"/>
      <c r="F3" s="655"/>
      <c r="G3" s="656" t="s">
        <v>678</v>
      </c>
      <c r="H3" s="655"/>
      <c r="I3" s="655"/>
      <c r="J3" s="655"/>
      <c r="K3" s="655"/>
      <c r="L3" s="9" t="str">
        <f>'Attachment 1 - Sched 1A'!$J$3</f>
        <v>For the 12 months ended 12/31/2021</v>
      </c>
    </row>
    <row r="4" spans="1:1" ht="20.1" customHeight="1">
      <c r="A4" s="55"/>
    </row>
    <row r="5" spans="1:12" ht="20.1" customHeight="1">
      <c r="A5" s="60"/>
      <c r="B5" s="134"/>
      <c r="C5" s="134"/>
      <c r="D5" s="134"/>
      <c r="E5" s="657" t="s">
        <v>606</v>
      </c>
      <c r="F5" s="657" t="s">
        <v>607</v>
      </c>
      <c r="G5" s="657" t="s">
        <v>608</v>
      </c>
      <c r="H5" s="657" t="s">
        <v>609</v>
      </c>
      <c r="I5" s="657" t="s">
        <v>610</v>
      </c>
      <c r="J5" s="657" t="s">
        <v>611</v>
      </c>
      <c r="K5" s="658"/>
      <c r="L5" s="657" t="s">
        <v>612</v>
      </c>
    </row>
    <row r="6" spans="1:12" ht="20.1" customHeight="1">
      <c r="A6" s="60"/>
      <c r="B6" s="134"/>
      <c r="C6" s="134"/>
      <c r="D6" s="134"/>
      <c r="E6" s="61" t="s">
        <v>251</v>
      </c>
      <c r="F6" s="61" t="s">
        <v>28</v>
      </c>
      <c r="G6" s="61" t="s">
        <v>252</v>
      </c>
      <c r="H6" s="61" t="s">
        <v>254</v>
      </c>
      <c r="I6" s="61" t="s">
        <v>253</v>
      </c>
      <c r="J6" s="61" t="s">
        <v>255</v>
      </c>
      <c r="K6" s="134"/>
      <c r="L6" s="61" t="s">
        <v>10</v>
      </c>
    </row>
    <row r="7" spans="1:12" ht="20.1" customHeight="1">
      <c r="A7" s="60"/>
      <c r="B7" s="134"/>
      <c r="C7" s="134"/>
      <c r="D7" s="697"/>
      <c r="E7" s="308"/>
      <c r="F7" s="308"/>
      <c r="G7" s="308"/>
      <c r="H7" s="308"/>
      <c r="I7" s="308"/>
      <c r="J7" s="265"/>
      <c r="K7" s="134"/>
      <c r="L7" s="134"/>
    </row>
    <row r="8" spans="1:12" ht="20.1" customHeight="1">
      <c r="A8" s="265">
        <v>1</v>
      </c>
      <c r="B8" s="134" t="s">
        <v>234</v>
      </c>
      <c r="C8" s="49">
        <v>2020</v>
      </c>
      <c r="D8" s="134"/>
      <c r="E8" s="128">
        <f t="shared" si="0" ref="E8:J8">E27-E48</f>
        <v>0</v>
      </c>
      <c r="F8" s="128">
        <f t="shared" si="0"/>
        <v>332209394.24000001</v>
      </c>
      <c r="G8" s="128">
        <f t="shared" si="0"/>
        <v>0</v>
      </c>
      <c r="H8" s="128">
        <f t="shared" si="0"/>
        <v>6758945</v>
      </c>
      <c r="I8" s="128">
        <f t="shared" si="0"/>
        <v>10900009</v>
      </c>
      <c r="J8" s="128">
        <f t="shared" si="0"/>
        <v>0</v>
      </c>
      <c r="K8" s="699"/>
      <c r="L8" s="699">
        <f t="shared" si="1" ref="L8:L20">SUM(E8:J8)</f>
        <v>349868348.24000001</v>
      </c>
    </row>
    <row r="9" spans="1:12" ht="20.1" customHeight="1">
      <c r="A9" s="265">
        <v>2</v>
      </c>
      <c r="B9" s="134" t="s">
        <v>235</v>
      </c>
      <c r="C9" s="121">
        <f>C8+1</f>
        <v>2021</v>
      </c>
      <c r="D9" s="134"/>
      <c r="E9" s="128">
        <f t="shared" si="2" ref="E9:F20">E28-E49</f>
        <v>0</v>
      </c>
      <c r="F9" s="128">
        <f t="shared" si="2"/>
        <v>336384380.69999999</v>
      </c>
      <c r="G9" s="128">
        <f t="shared" si="3" ref="G9:J9">G28-G49</f>
        <v>0</v>
      </c>
      <c r="H9" s="128">
        <f t="shared" si="3"/>
        <v>7132644.9800000004</v>
      </c>
      <c r="I9" s="128">
        <f t="shared" si="3"/>
        <v>11077950.439999999</v>
      </c>
      <c r="J9" s="128">
        <f t="shared" si="3"/>
        <v>0</v>
      </c>
      <c r="K9" s="699"/>
      <c r="L9" s="699">
        <f t="shared" si="1"/>
        <v>354594976.12</v>
      </c>
    </row>
    <row r="10" spans="1:12" ht="20.1" customHeight="1">
      <c r="A10" s="265">
        <v>3</v>
      </c>
      <c r="B10" s="134" t="s">
        <v>236</v>
      </c>
      <c r="C10" s="121">
        <f>C9</f>
        <v>2021</v>
      </c>
      <c r="D10" s="134"/>
      <c r="E10" s="128">
        <f t="shared" si="2"/>
        <v>0</v>
      </c>
      <c r="F10" s="128">
        <f t="shared" si="2"/>
        <v>336575492.75999999</v>
      </c>
      <c r="G10" s="128">
        <f t="shared" si="4" ref="G10:J10">G29-G50</f>
        <v>0</v>
      </c>
      <c r="H10" s="128">
        <f t="shared" si="4"/>
        <v>7508040.9400000004</v>
      </c>
      <c r="I10" s="128">
        <f t="shared" si="4"/>
        <v>11256944.949999999</v>
      </c>
      <c r="J10" s="128">
        <f t="shared" si="4"/>
        <v>0</v>
      </c>
      <c r="K10" s="699"/>
      <c r="L10" s="699">
        <f t="shared" si="1"/>
        <v>355340478.64999998</v>
      </c>
    </row>
    <row r="11" spans="1:12" ht="20.1" customHeight="1">
      <c r="A11" s="265">
        <v>4</v>
      </c>
      <c r="B11" s="134" t="s">
        <v>237</v>
      </c>
      <c r="C11" s="121">
        <f t="shared" si="5" ref="C11:C20">C10</f>
        <v>2021</v>
      </c>
      <c r="D11" s="134"/>
      <c r="E11" s="128">
        <f t="shared" si="2"/>
        <v>0</v>
      </c>
      <c r="F11" s="128">
        <f t="shared" si="2"/>
        <v>333001029.29000002</v>
      </c>
      <c r="G11" s="128">
        <f t="shared" si="6" ref="G11:J11">G30-G51</f>
        <v>0</v>
      </c>
      <c r="H11" s="128">
        <f t="shared" si="6"/>
        <v>7882736.9799999995</v>
      </c>
      <c r="I11" s="128">
        <f t="shared" si="6"/>
        <v>11437508.15</v>
      </c>
      <c r="J11" s="128">
        <f t="shared" si="6"/>
        <v>0</v>
      </c>
      <c r="K11" s="699"/>
      <c r="L11" s="699">
        <f t="shared" si="1"/>
        <v>352321274.42000002</v>
      </c>
    </row>
    <row r="12" spans="1:12" ht="20.1" customHeight="1">
      <c r="A12" s="265">
        <v>5</v>
      </c>
      <c r="B12" s="134" t="s">
        <v>238</v>
      </c>
      <c r="C12" s="121">
        <f t="shared" si="5"/>
        <v>2021</v>
      </c>
      <c r="D12" s="134"/>
      <c r="E12" s="128">
        <f t="shared" si="2"/>
        <v>0</v>
      </c>
      <c r="F12" s="128">
        <f t="shared" si="2"/>
        <v>330720865.93000001</v>
      </c>
      <c r="G12" s="128">
        <f t="shared" si="7" ref="G12:J12">G31-G52</f>
        <v>0</v>
      </c>
      <c r="H12" s="128">
        <f t="shared" si="7"/>
        <v>8255202.1799999997</v>
      </c>
      <c r="I12" s="128">
        <f t="shared" si="7"/>
        <v>11619907</v>
      </c>
      <c r="J12" s="128">
        <f t="shared" si="7"/>
        <v>0</v>
      </c>
      <c r="K12" s="699"/>
      <c r="L12" s="699">
        <f t="shared" si="1"/>
        <v>350595975.11000001</v>
      </c>
    </row>
    <row r="13" spans="1:12" ht="20.1" customHeight="1">
      <c r="A13" s="265">
        <v>6</v>
      </c>
      <c r="B13" s="134" t="s">
        <v>239</v>
      </c>
      <c r="C13" s="121">
        <f t="shared" si="5"/>
        <v>2021</v>
      </c>
      <c r="D13" s="134"/>
      <c r="E13" s="128">
        <f t="shared" si="2"/>
        <v>0</v>
      </c>
      <c r="F13" s="128">
        <f t="shared" si="2"/>
        <v>331384142.38</v>
      </c>
      <c r="G13" s="128">
        <f t="shared" si="8" ref="G13:J13">G32-G53</f>
        <v>0</v>
      </c>
      <c r="H13" s="128">
        <f t="shared" si="8"/>
        <v>8628028.4600000009</v>
      </c>
      <c r="I13" s="128">
        <f t="shared" si="8"/>
        <v>11821479.4</v>
      </c>
      <c r="J13" s="128">
        <f t="shared" si="8"/>
        <v>0</v>
      </c>
      <c r="K13" s="699"/>
      <c r="L13" s="699">
        <f t="shared" si="1"/>
        <v>351833650.23999995</v>
      </c>
    </row>
    <row r="14" spans="1:12" ht="20.1" customHeight="1">
      <c r="A14" s="265">
        <v>7</v>
      </c>
      <c r="B14" s="134" t="s">
        <v>250</v>
      </c>
      <c r="C14" s="121">
        <f t="shared" si="5"/>
        <v>2021</v>
      </c>
      <c r="D14" s="134"/>
      <c r="E14" s="128">
        <f t="shared" si="2"/>
        <v>0</v>
      </c>
      <c r="F14" s="128">
        <f t="shared" si="2"/>
        <v>330900036.21000004</v>
      </c>
      <c r="G14" s="128">
        <f t="shared" si="9" ref="G14:J14">G33-G54</f>
        <v>0</v>
      </c>
      <c r="H14" s="128">
        <f t="shared" si="9"/>
        <v>9002978.7200000007</v>
      </c>
      <c r="I14" s="128">
        <f t="shared" si="9"/>
        <v>12041324.369999999</v>
      </c>
      <c r="J14" s="128">
        <f t="shared" si="9"/>
        <v>0</v>
      </c>
      <c r="K14" s="699"/>
      <c r="L14" s="699">
        <f t="shared" si="1"/>
        <v>351944339.30000007</v>
      </c>
    </row>
    <row r="15" spans="1:12" ht="20.1" customHeight="1">
      <c r="A15" s="265">
        <v>8</v>
      </c>
      <c r="B15" s="134" t="s">
        <v>240</v>
      </c>
      <c r="C15" s="121">
        <f t="shared" si="5"/>
        <v>2021</v>
      </c>
      <c r="D15" s="134"/>
      <c r="E15" s="128">
        <f t="shared" si="2"/>
        <v>0</v>
      </c>
      <c r="F15" s="128">
        <f t="shared" si="2"/>
        <v>327959949.38999999</v>
      </c>
      <c r="G15" s="128">
        <f t="shared" si="10" ref="G15:J15">G34-G55</f>
        <v>0</v>
      </c>
      <c r="H15" s="128">
        <f t="shared" si="10"/>
        <v>9379829.0299999993</v>
      </c>
      <c r="I15" s="128">
        <f t="shared" si="10"/>
        <v>12208975.050000001</v>
      </c>
      <c r="J15" s="128">
        <f t="shared" si="10"/>
        <v>0</v>
      </c>
      <c r="K15" s="699"/>
      <c r="L15" s="699">
        <f t="shared" si="1"/>
        <v>349548753.46999997</v>
      </c>
    </row>
    <row r="16" spans="1:12" ht="20.1" customHeight="1">
      <c r="A16" s="265">
        <v>9</v>
      </c>
      <c r="B16" s="134" t="s">
        <v>241</v>
      </c>
      <c r="C16" s="121">
        <f t="shared" si="5"/>
        <v>2021</v>
      </c>
      <c r="D16" s="134"/>
      <c r="E16" s="128">
        <f t="shared" si="2"/>
        <v>0</v>
      </c>
      <c r="F16" s="128">
        <f t="shared" si="2"/>
        <v>328641075.90999997</v>
      </c>
      <c r="G16" s="128">
        <f t="shared" si="11" ref="G16:J16">G35-G56</f>
        <v>0</v>
      </c>
      <c r="H16" s="128">
        <f t="shared" si="11"/>
        <v>9756802.8900000006</v>
      </c>
      <c r="I16" s="128">
        <f t="shared" si="11"/>
        <v>12433572.24</v>
      </c>
      <c r="J16" s="128">
        <f t="shared" si="11"/>
        <v>0</v>
      </c>
      <c r="K16" s="699"/>
      <c r="L16" s="699">
        <f t="shared" si="1"/>
        <v>350831451.03999996</v>
      </c>
    </row>
    <row r="17" spans="1:12" ht="20.1" customHeight="1">
      <c r="A17" s="265">
        <v>10</v>
      </c>
      <c r="B17" s="134" t="s">
        <v>242</v>
      </c>
      <c r="C17" s="121">
        <f t="shared" si="5"/>
        <v>2021</v>
      </c>
      <c r="D17" s="134"/>
      <c r="E17" s="128">
        <f t="shared" si="2"/>
        <v>0</v>
      </c>
      <c r="F17" s="128">
        <f t="shared" si="2"/>
        <v>329633722.18000001</v>
      </c>
      <c r="G17" s="128">
        <f t="shared" si="12" ref="G17:J17">G36-G57</f>
        <v>0</v>
      </c>
      <c r="H17" s="128">
        <f t="shared" si="12"/>
        <v>10129907.939999999</v>
      </c>
      <c r="I17" s="128">
        <f t="shared" si="12"/>
        <v>12663554.93</v>
      </c>
      <c r="J17" s="128">
        <f t="shared" si="12"/>
        <v>0</v>
      </c>
      <c r="K17" s="699"/>
      <c r="L17" s="699">
        <f t="shared" si="1"/>
        <v>352427185.05000001</v>
      </c>
    </row>
    <row r="18" spans="1:12" ht="20.1" customHeight="1">
      <c r="A18" s="265">
        <v>11</v>
      </c>
      <c r="B18" s="134" t="s">
        <v>244</v>
      </c>
      <c r="C18" s="121">
        <f t="shared" si="5"/>
        <v>2021</v>
      </c>
      <c r="D18" s="134"/>
      <c r="E18" s="128">
        <f t="shared" si="2"/>
        <v>0</v>
      </c>
      <c r="F18" s="128">
        <f t="shared" si="2"/>
        <v>329770316.39999998</v>
      </c>
      <c r="G18" s="128">
        <f t="shared" si="13" ref="G18:J18">G37-G58</f>
        <v>0</v>
      </c>
      <c r="H18" s="128">
        <f t="shared" si="13"/>
        <v>10499187.789999999</v>
      </c>
      <c r="I18" s="128">
        <f t="shared" si="13"/>
        <v>12895637.41</v>
      </c>
      <c r="J18" s="128">
        <f t="shared" si="13"/>
        <v>0</v>
      </c>
      <c r="K18" s="699"/>
      <c r="L18" s="699">
        <f t="shared" si="1"/>
        <v>353165141.60000002</v>
      </c>
    </row>
    <row r="19" spans="1:12" ht="20.1" customHeight="1">
      <c r="A19" s="265">
        <v>12</v>
      </c>
      <c r="B19" s="134" t="s">
        <v>243</v>
      </c>
      <c r="C19" s="121">
        <f t="shared" si="5"/>
        <v>2021</v>
      </c>
      <c r="D19" s="134"/>
      <c r="E19" s="128">
        <f t="shared" si="2"/>
        <v>0</v>
      </c>
      <c r="F19" s="128">
        <f t="shared" si="2"/>
        <v>331927975.81</v>
      </c>
      <c r="G19" s="128">
        <f t="shared" si="14" ref="G19:J19">G38-G59</f>
        <v>0</v>
      </c>
      <c r="H19" s="128">
        <f t="shared" si="14"/>
        <v>10868711.380000001</v>
      </c>
      <c r="I19" s="128">
        <f t="shared" si="14"/>
        <v>13128534.9</v>
      </c>
      <c r="J19" s="128">
        <f t="shared" si="14"/>
        <v>0</v>
      </c>
      <c r="K19" s="699"/>
      <c r="L19" s="699">
        <f t="shared" si="1"/>
        <v>355925222.08999997</v>
      </c>
    </row>
    <row r="20" spans="1:12" ht="20.1" customHeight="1">
      <c r="A20" s="265">
        <v>13</v>
      </c>
      <c r="B20" s="134" t="s">
        <v>234</v>
      </c>
      <c r="C20" s="121">
        <f t="shared" si="5"/>
        <v>2021</v>
      </c>
      <c r="D20" s="134"/>
      <c r="E20" s="128">
        <f t="shared" si="2"/>
        <v>0</v>
      </c>
      <c r="F20" s="128">
        <f t="shared" si="2"/>
        <v>335901918.11000001</v>
      </c>
      <c r="G20" s="128">
        <f t="shared" si="15" ref="G20:J20">G39-G60</f>
        <v>0</v>
      </c>
      <c r="H20" s="128">
        <f t="shared" si="15"/>
        <v>11246998.98</v>
      </c>
      <c r="I20" s="128">
        <f t="shared" si="15"/>
        <v>13365107.15</v>
      </c>
      <c r="J20" s="128">
        <f t="shared" si="15"/>
        <v>0</v>
      </c>
      <c r="K20" s="699"/>
      <c r="L20" s="699">
        <f t="shared" si="1"/>
        <v>360514024.24000001</v>
      </c>
    </row>
    <row r="21" spans="1:12" ht="20.1" customHeight="1">
      <c r="A21" s="60"/>
      <c r="B21" s="134"/>
      <c r="C21" s="134"/>
      <c r="D21" s="134"/>
      <c r="E21" s="128"/>
      <c r="F21" s="128"/>
      <c r="G21" s="128"/>
      <c r="H21" s="128"/>
      <c r="I21" s="128"/>
      <c r="J21" s="128"/>
      <c r="K21" s="699"/>
      <c r="L21" s="699"/>
    </row>
    <row r="22" spans="1:12" s="57" customFormat="1" ht="20.1" customHeight="1">
      <c r="A22" s="266">
        <v>14</v>
      </c>
      <c r="B22" s="700" t="s">
        <v>259</v>
      </c>
      <c r="C22" s="700"/>
      <c r="D22" s="701" t="s">
        <v>785</v>
      </c>
      <c r="E22" s="702">
        <f t="shared" si="16" ref="E22:J22">SUM(E8:E20)/13</f>
        <v>0</v>
      </c>
      <c r="F22" s="1113">
        <f t="shared" si="16"/>
        <v>331923869.17769229</v>
      </c>
      <c r="G22" s="702">
        <f t="shared" si="16"/>
        <v>0</v>
      </c>
      <c r="H22" s="1113">
        <f t="shared" si="16"/>
        <v>9003847.328461539</v>
      </c>
      <c r="I22" s="1113">
        <f t="shared" si="16"/>
        <v>12065423.460769232</v>
      </c>
      <c r="J22" s="702">
        <f t="shared" si="16"/>
        <v>0</v>
      </c>
      <c r="K22" s="702"/>
      <c r="L22" s="1113">
        <f>SUM(L8:L20)/13</f>
        <v>352993139.96692306</v>
      </c>
    </row>
    <row r="23" spans="1:1" ht="20.1" customHeight="1">
      <c r="A23" s="55"/>
    </row>
    <row r="24" spans="5:12" ht="20.1" customHeight="1">
      <c r="E24" s="54" t="s">
        <v>251</v>
      </c>
      <c r="F24" s="54" t="s">
        <v>28</v>
      </c>
      <c r="G24" s="54" t="s">
        <v>252</v>
      </c>
      <c r="H24" s="54" t="s">
        <v>254</v>
      </c>
      <c r="I24" s="54" t="s">
        <v>253</v>
      </c>
      <c r="J24" s="54" t="s">
        <v>255</v>
      </c>
      <c r="K24" s="46"/>
      <c r="L24" s="54" t="s">
        <v>10</v>
      </c>
    </row>
    <row r="25" spans="5:11" ht="20.1" customHeight="1">
      <c r="E25" s="54"/>
      <c r="F25" s="54"/>
      <c r="G25" s="54"/>
      <c r="H25" s="54"/>
      <c r="I25" s="54"/>
      <c r="J25" s="54"/>
      <c r="K25" s="46"/>
    </row>
    <row r="26" spans="4:11" ht="20.1" customHeight="1">
      <c r="D26" s="50" t="s">
        <v>274</v>
      </c>
      <c r="E26" s="53" t="s">
        <v>45</v>
      </c>
      <c r="F26" s="53" t="s">
        <v>263</v>
      </c>
      <c r="G26" s="53" t="s">
        <v>46</v>
      </c>
      <c r="H26" s="53" t="s">
        <v>264</v>
      </c>
      <c r="I26" s="53" t="s">
        <v>265</v>
      </c>
      <c r="J26" s="56">
        <v>356.10000000000002</v>
      </c>
      <c r="K26" s="46"/>
    </row>
    <row r="27" spans="1:12" ht="20.1" customHeight="1">
      <c r="A27" s="56">
        <v>15</v>
      </c>
      <c r="B27" s="46" t="s">
        <v>234</v>
      </c>
      <c r="C27" s="121">
        <f>C8</f>
        <v>2020</v>
      </c>
      <c r="E27" s="122"/>
      <c r="F27" s="122">
        <v>332217836</v>
      </c>
      <c r="G27" s="122"/>
      <c r="H27" s="122">
        <v>6758945</v>
      </c>
      <c r="I27" s="122">
        <v>10900009</v>
      </c>
      <c r="J27" s="122"/>
      <c r="K27" s="123"/>
      <c r="L27" s="123">
        <f t="shared" si="17" ref="L27:L39">SUM(E27:J27)</f>
        <v>349876790</v>
      </c>
    </row>
    <row r="28" spans="1:12" ht="20.1" customHeight="1">
      <c r="A28" s="56">
        <v>16</v>
      </c>
      <c r="B28" s="46" t="s">
        <v>235</v>
      </c>
      <c r="C28" s="48">
        <f>C27+1</f>
        <v>2021</v>
      </c>
      <c r="E28" s="122"/>
      <c r="F28" s="122">
        <v>336392841.44</v>
      </c>
      <c r="G28" s="122"/>
      <c r="H28" s="122">
        <v>7132644.9800000004</v>
      </c>
      <c r="I28" s="122">
        <v>11077950.439999999</v>
      </c>
      <c r="J28" s="122"/>
      <c r="K28" s="123"/>
      <c r="L28" s="123">
        <f t="shared" si="17"/>
        <v>354603436.86000001</v>
      </c>
    </row>
    <row r="29" spans="1:12" ht="20.1" customHeight="1">
      <c r="A29" s="56">
        <v>17</v>
      </c>
      <c r="B29" s="46" t="s">
        <v>236</v>
      </c>
      <c r="C29" s="48">
        <f>C28</f>
        <v>2021</v>
      </c>
      <c r="E29" s="122"/>
      <c r="F29" s="122">
        <v>336583972.48000002</v>
      </c>
      <c r="G29" s="122"/>
      <c r="H29" s="122">
        <v>7508040.9400000004</v>
      </c>
      <c r="I29" s="122">
        <v>11256944.949999999</v>
      </c>
      <c r="J29" s="122"/>
      <c r="K29" s="123"/>
      <c r="L29" s="123">
        <f t="shared" si="17"/>
        <v>355348958.37</v>
      </c>
    </row>
    <row r="30" spans="1:12" ht="20.1" customHeight="1">
      <c r="A30" s="56">
        <v>18</v>
      </c>
      <c r="B30" s="46" t="s">
        <v>237</v>
      </c>
      <c r="C30" s="48">
        <f t="shared" si="18" ref="C30:C39">C29</f>
        <v>2021</v>
      </c>
      <c r="E30" s="122"/>
      <c r="F30" s="122">
        <v>333009527.99000001</v>
      </c>
      <c r="G30" s="122"/>
      <c r="H30" s="122">
        <v>7882736.9799999995</v>
      </c>
      <c r="I30" s="122">
        <v>11437508.15</v>
      </c>
      <c r="J30" s="122"/>
      <c r="K30" s="123"/>
      <c r="L30" s="123">
        <f t="shared" si="17"/>
        <v>352329773.12</v>
      </c>
    </row>
    <row r="31" spans="1:12" ht="20.1" customHeight="1">
      <c r="A31" s="56">
        <v>19</v>
      </c>
      <c r="B31" s="46" t="s">
        <v>238</v>
      </c>
      <c r="C31" s="48">
        <f t="shared" si="18"/>
        <v>2021</v>
      </c>
      <c r="E31" s="122"/>
      <c r="F31" s="122">
        <v>330729383.61000001</v>
      </c>
      <c r="G31" s="122"/>
      <c r="H31" s="122">
        <v>8255202.1799999997</v>
      </c>
      <c r="I31" s="122">
        <v>11619907</v>
      </c>
      <c r="J31" s="122"/>
      <c r="K31" s="123"/>
      <c r="L31" s="123">
        <f>SUM(E31:J31)</f>
        <v>350604492.79000002</v>
      </c>
    </row>
    <row r="32" spans="1:12" ht="20.1" customHeight="1">
      <c r="A32" s="56">
        <v>20</v>
      </c>
      <c r="B32" s="46" t="s">
        <v>239</v>
      </c>
      <c r="C32" s="48">
        <f t="shared" si="18"/>
        <v>2021</v>
      </c>
      <c r="E32" s="122"/>
      <c r="F32" s="122">
        <v>331392679.04000002</v>
      </c>
      <c r="G32" s="122"/>
      <c r="H32" s="122">
        <v>8628028.4600000009</v>
      </c>
      <c r="I32" s="122">
        <v>11821479.4</v>
      </c>
      <c r="J32" s="122"/>
      <c r="K32" s="123"/>
      <c r="L32" s="123">
        <f t="shared" si="17"/>
        <v>351842186.89999998</v>
      </c>
    </row>
    <row r="33" spans="1:12" ht="20.1" customHeight="1">
      <c r="A33" s="56">
        <v>21</v>
      </c>
      <c r="B33" s="46" t="s">
        <v>250</v>
      </c>
      <c r="C33" s="48">
        <f t="shared" si="18"/>
        <v>2021</v>
      </c>
      <c r="E33" s="122"/>
      <c r="F33" s="122">
        <v>330908591.85000002</v>
      </c>
      <c r="G33" s="122"/>
      <c r="H33" s="122">
        <v>9002978.7200000007</v>
      </c>
      <c r="I33" s="122">
        <v>12041324.369999999</v>
      </c>
      <c r="J33" s="122"/>
      <c r="K33" s="123"/>
      <c r="L33" s="123">
        <f t="shared" si="17"/>
        <v>351952894.94000006</v>
      </c>
    </row>
    <row r="34" spans="1:12" ht="20.1" customHeight="1">
      <c r="A34" s="56">
        <v>22</v>
      </c>
      <c r="B34" s="46" t="s">
        <v>240</v>
      </c>
      <c r="C34" s="48">
        <f t="shared" si="18"/>
        <v>2021</v>
      </c>
      <c r="E34" s="122"/>
      <c r="F34" s="122">
        <v>327968524.00999999</v>
      </c>
      <c r="G34" s="122"/>
      <c r="H34" s="122">
        <v>9379829.0299999993</v>
      </c>
      <c r="I34" s="122">
        <v>12208975.050000001</v>
      </c>
      <c r="J34" s="122"/>
      <c r="K34" s="123"/>
      <c r="L34" s="123">
        <f t="shared" si="17"/>
        <v>349557328.08999997</v>
      </c>
    </row>
    <row r="35" spans="1:12" ht="20.1" customHeight="1">
      <c r="A35" s="56">
        <v>23</v>
      </c>
      <c r="B35" s="46" t="s">
        <v>241</v>
      </c>
      <c r="C35" s="48">
        <f t="shared" si="18"/>
        <v>2021</v>
      </c>
      <c r="E35" s="122"/>
      <c r="F35" s="122">
        <v>328649669.50999999</v>
      </c>
      <c r="G35" s="122"/>
      <c r="H35" s="122">
        <v>9756802.8900000006</v>
      </c>
      <c r="I35" s="122">
        <v>12433572.24</v>
      </c>
      <c r="J35" s="122"/>
      <c r="K35" s="123"/>
      <c r="L35" s="123">
        <f t="shared" si="17"/>
        <v>350840044.63999999</v>
      </c>
    </row>
    <row r="36" spans="1:12" ht="20.1" customHeight="1">
      <c r="A36" s="56">
        <v>24</v>
      </c>
      <c r="B36" s="46" t="s">
        <v>242</v>
      </c>
      <c r="C36" s="48">
        <f t="shared" si="18"/>
        <v>2021</v>
      </c>
      <c r="E36" s="122"/>
      <c r="F36" s="122">
        <v>329642334.75999999</v>
      </c>
      <c r="G36" s="122"/>
      <c r="H36" s="122">
        <v>10129907.939999999</v>
      </c>
      <c r="I36" s="122">
        <v>12663554.93</v>
      </c>
      <c r="J36" s="122"/>
      <c r="K36" s="123"/>
      <c r="L36" s="123">
        <f t="shared" si="17"/>
        <v>352435797.63</v>
      </c>
    </row>
    <row r="37" spans="1:12" ht="20.1" customHeight="1">
      <c r="A37" s="56">
        <v>25</v>
      </c>
      <c r="B37" s="46" t="s">
        <v>244</v>
      </c>
      <c r="C37" s="48">
        <f t="shared" si="18"/>
        <v>2021</v>
      </c>
      <c r="E37" s="122"/>
      <c r="F37" s="122">
        <v>329778947.95999998</v>
      </c>
      <c r="G37" s="122"/>
      <c r="H37" s="122">
        <v>10499187.789999999</v>
      </c>
      <c r="I37" s="122">
        <v>12895637.41</v>
      </c>
      <c r="J37" s="122"/>
      <c r="K37" s="123"/>
      <c r="L37" s="123">
        <f t="shared" si="17"/>
        <v>353173773.16000003</v>
      </c>
    </row>
    <row r="38" spans="1:12" ht="20.1" customHeight="1">
      <c r="A38" s="56">
        <v>26</v>
      </c>
      <c r="B38" s="46" t="s">
        <v>243</v>
      </c>
      <c r="C38" s="48">
        <f t="shared" si="18"/>
        <v>2021</v>
      </c>
      <c r="E38" s="122"/>
      <c r="F38" s="122">
        <v>331936626.35000002</v>
      </c>
      <c r="G38" s="122"/>
      <c r="H38" s="122">
        <v>10868711.380000001</v>
      </c>
      <c r="I38" s="122">
        <v>13128534.9</v>
      </c>
      <c r="J38" s="122"/>
      <c r="K38" s="123"/>
      <c r="L38" s="123">
        <f t="shared" si="17"/>
        <v>355933872.63</v>
      </c>
    </row>
    <row r="39" spans="1:12" ht="20.1" customHeight="1">
      <c r="A39" s="56">
        <v>27</v>
      </c>
      <c r="B39" s="46" t="s">
        <v>234</v>
      </c>
      <c r="C39" s="48">
        <f t="shared" si="18"/>
        <v>2021</v>
      </c>
      <c r="E39" s="122"/>
      <c r="F39" s="122">
        <v>335910587.63</v>
      </c>
      <c r="G39" s="122"/>
      <c r="H39" s="122">
        <v>11246998.98</v>
      </c>
      <c r="I39" s="122">
        <v>13365107.15</v>
      </c>
      <c r="J39" s="122"/>
      <c r="K39" s="123"/>
      <c r="L39" s="123">
        <f t="shared" si="17"/>
        <v>360522693.75999999</v>
      </c>
    </row>
    <row r="40" spans="1:12" ht="20.1" customHeight="1">
      <c r="A40" s="654"/>
      <c r="E40" s="124"/>
      <c r="F40" s="124"/>
      <c r="G40" s="124"/>
      <c r="H40" s="124"/>
      <c r="I40" s="124"/>
      <c r="J40" s="124"/>
      <c r="K40" s="123"/>
      <c r="L40" s="123"/>
    </row>
    <row r="41" spans="1:12" ht="20.1" customHeight="1">
      <c r="A41" s="56">
        <v>28</v>
      </c>
      <c r="B41" s="46" t="s">
        <v>259</v>
      </c>
      <c r="E41" s="124">
        <f t="shared" si="19" ref="E41:J41">SUM(E27:E39)/13</f>
        <v>0</v>
      </c>
      <c r="F41" s="1114">
        <f t="shared" si="19"/>
        <v>331932424.81769234</v>
      </c>
      <c r="G41" s="124">
        <f t="shared" si="19"/>
        <v>0</v>
      </c>
      <c r="H41" s="1114">
        <f t="shared" si="19"/>
        <v>9003847.328461539</v>
      </c>
      <c r="I41" s="1114">
        <f t="shared" si="19"/>
        <v>12065423.460769232</v>
      </c>
      <c r="J41" s="124">
        <f t="shared" si="19"/>
        <v>0</v>
      </c>
      <c r="K41" s="124"/>
      <c r="L41" s="1114">
        <f>SUM(L27:L39)/13</f>
        <v>353001695.6069231</v>
      </c>
    </row>
    <row r="42" spans="1:1" ht="20.1" customHeight="1">
      <c r="A42" s="654"/>
    </row>
    <row r="43" spans="1:1" ht="20.1" customHeight="1">
      <c r="A43" s="654"/>
    </row>
    <row r="44" spans="1:12" ht="20.1" customHeight="1">
      <c r="A44" s="654"/>
      <c r="B44" s="68" t="s">
        <v>293</v>
      </c>
      <c r="C44" s="69"/>
      <c r="D44" s="69"/>
      <c r="E44" s="70"/>
      <c r="F44" s="70"/>
      <c r="G44" s="69"/>
      <c r="H44" s="672"/>
      <c r="I44" s="678"/>
      <c r="J44" s="680"/>
      <c r="K44" s="81"/>
      <c r="L44" s="82"/>
    </row>
    <row r="45" spans="1:11" ht="20.1" customHeight="1">
      <c r="A45" s="654"/>
      <c r="B45" s="71"/>
      <c r="C45" s="72"/>
      <c r="D45" s="72"/>
      <c r="E45" s="671" t="s">
        <v>251</v>
      </c>
      <c r="F45" s="73" t="s">
        <v>28</v>
      </c>
      <c r="G45" s="671" t="s">
        <v>252</v>
      </c>
      <c r="H45" s="671" t="s">
        <v>254</v>
      </c>
      <c r="I45" s="73" t="s">
        <v>253</v>
      </c>
      <c r="J45" s="674" t="s">
        <v>255</v>
      </c>
      <c r="K45" s="46"/>
    </row>
    <row r="46" spans="1:11" ht="20.1" customHeight="1">
      <c r="A46" s="654"/>
      <c r="B46" s="71"/>
      <c r="C46" s="72"/>
      <c r="D46" s="72"/>
      <c r="E46" s="72"/>
      <c r="F46" s="73"/>
      <c r="G46" s="72"/>
      <c r="H46" s="46"/>
      <c r="I46" s="72"/>
      <c r="J46" s="74"/>
      <c r="K46" s="46"/>
    </row>
    <row r="47" spans="1:11" ht="20.1" customHeight="1">
      <c r="A47" s="654"/>
      <c r="B47" s="71"/>
      <c r="C47" s="72"/>
      <c r="D47" s="75" t="s">
        <v>274</v>
      </c>
      <c r="E47" s="72"/>
      <c r="F47" s="76" t="s">
        <v>292</v>
      </c>
      <c r="G47" s="72"/>
      <c r="H47" s="46"/>
      <c r="I47" s="72"/>
      <c r="J47" s="74"/>
      <c r="K47" s="46"/>
    </row>
    <row r="48" spans="1:11" ht="20.1" customHeight="1">
      <c r="A48" s="56">
        <v>29</v>
      </c>
      <c r="B48" s="71" t="s">
        <v>234</v>
      </c>
      <c r="C48" s="506">
        <f>C8</f>
        <v>2020</v>
      </c>
      <c r="D48" s="72"/>
      <c r="E48" s="679"/>
      <c r="F48" s="855">
        <v>8441.7599999999948</v>
      </c>
      <c r="G48" s="679"/>
      <c r="H48" s="673"/>
      <c r="I48" s="679"/>
      <c r="J48" s="675"/>
      <c r="K48" s="46"/>
    </row>
    <row r="49" spans="1:11" ht="20.1" customHeight="1">
      <c r="A49" s="56">
        <v>30</v>
      </c>
      <c r="B49" s="71" t="s">
        <v>235</v>
      </c>
      <c r="C49" s="77">
        <f>C48+1</f>
        <v>2021</v>
      </c>
      <c r="D49" s="72"/>
      <c r="E49" s="679"/>
      <c r="F49" s="855">
        <v>8460.7399999999943</v>
      </c>
      <c r="G49" s="679"/>
      <c r="H49" s="673"/>
      <c r="I49" s="679"/>
      <c r="J49" s="675"/>
      <c r="K49" s="46"/>
    </row>
    <row r="50" spans="1:11" ht="20.1" customHeight="1">
      <c r="A50" s="56">
        <v>31</v>
      </c>
      <c r="B50" s="71" t="s">
        <v>236</v>
      </c>
      <c r="C50" s="77">
        <f>C49</f>
        <v>2021</v>
      </c>
      <c r="D50" s="72"/>
      <c r="E50" s="679"/>
      <c r="F50" s="855">
        <v>8479.7199999999939</v>
      </c>
      <c r="G50" s="679"/>
      <c r="H50" s="673"/>
      <c r="I50" s="679"/>
      <c r="J50" s="675"/>
      <c r="K50" s="46"/>
    </row>
    <row r="51" spans="1:11" ht="20.1" customHeight="1">
      <c r="A51" s="56">
        <v>32</v>
      </c>
      <c r="B51" s="71" t="s">
        <v>237</v>
      </c>
      <c r="C51" s="77">
        <f t="shared" si="20" ref="C51:C60">C50</f>
        <v>2021</v>
      </c>
      <c r="D51" s="72"/>
      <c r="E51" s="679"/>
      <c r="F51" s="855">
        <v>8498.6999999999935</v>
      </c>
      <c r="G51" s="679"/>
      <c r="H51" s="673"/>
      <c r="I51" s="679"/>
      <c r="J51" s="675"/>
      <c r="K51" s="46"/>
    </row>
    <row r="52" spans="1:11" ht="20.1" customHeight="1">
      <c r="A52" s="56">
        <v>33</v>
      </c>
      <c r="B52" s="71" t="s">
        <v>238</v>
      </c>
      <c r="C52" s="77">
        <f t="shared" si="20"/>
        <v>2021</v>
      </c>
      <c r="D52" s="72"/>
      <c r="E52" s="679"/>
      <c r="F52" s="855">
        <v>8517.679999999993</v>
      </c>
      <c r="G52" s="679"/>
      <c r="H52" s="673"/>
      <c r="I52" s="679"/>
      <c r="J52" s="675"/>
      <c r="K52" s="46"/>
    </row>
    <row r="53" spans="1:11" ht="20.1" customHeight="1">
      <c r="A53" s="56">
        <v>34</v>
      </c>
      <c r="B53" s="71" t="s">
        <v>239</v>
      </c>
      <c r="C53" s="77">
        <f t="shared" si="20"/>
        <v>2021</v>
      </c>
      <c r="D53" s="72"/>
      <c r="E53" s="679"/>
      <c r="F53" s="855">
        <v>8536.6599999999926</v>
      </c>
      <c r="G53" s="679"/>
      <c r="H53" s="673"/>
      <c r="I53" s="679"/>
      <c r="J53" s="675"/>
      <c r="K53" s="46"/>
    </row>
    <row r="54" spans="1:11" ht="20.1" customHeight="1">
      <c r="A54" s="56">
        <v>35</v>
      </c>
      <c r="B54" s="71" t="s">
        <v>250</v>
      </c>
      <c r="C54" s="77">
        <f t="shared" si="20"/>
        <v>2021</v>
      </c>
      <c r="D54" s="72"/>
      <c r="E54" s="679"/>
      <c r="F54" s="855">
        <v>8555.6399999999921</v>
      </c>
      <c r="G54" s="679"/>
      <c r="H54" s="673"/>
      <c r="I54" s="679"/>
      <c r="J54" s="675"/>
      <c r="K54" s="46"/>
    </row>
    <row r="55" spans="1:11" ht="20.1" customHeight="1">
      <c r="A55" s="56">
        <v>36</v>
      </c>
      <c r="B55" s="71" t="s">
        <v>240</v>
      </c>
      <c r="C55" s="77">
        <f t="shared" si="20"/>
        <v>2021</v>
      </c>
      <c r="D55" s="72"/>
      <c r="E55" s="679"/>
      <c r="F55" s="855">
        <v>8574.6199999999917</v>
      </c>
      <c r="G55" s="679"/>
      <c r="H55" s="673"/>
      <c r="I55" s="679"/>
      <c r="J55" s="675"/>
      <c r="K55" s="46"/>
    </row>
    <row r="56" spans="1:11" ht="20.1" customHeight="1">
      <c r="A56" s="56">
        <v>37</v>
      </c>
      <c r="B56" s="71" t="s">
        <v>241</v>
      </c>
      <c r="C56" s="77">
        <f t="shared" si="20"/>
        <v>2021</v>
      </c>
      <c r="D56" s="72"/>
      <c r="E56" s="679"/>
      <c r="F56" s="855">
        <v>8593.5999999999913</v>
      </c>
      <c r="G56" s="679"/>
      <c r="H56" s="673"/>
      <c r="I56" s="679"/>
      <c r="J56" s="675"/>
      <c r="K56" s="46"/>
    </row>
    <row r="57" spans="1:11" ht="20.1" customHeight="1">
      <c r="A57" s="56">
        <v>38</v>
      </c>
      <c r="B57" s="71" t="s">
        <v>242</v>
      </c>
      <c r="C57" s="77">
        <f t="shared" si="20"/>
        <v>2021</v>
      </c>
      <c r="D57" s="72"/>
      <c r="E57" s="679"/>
      <c r="F57" s="855">
        <v>8612.5799999999908</v>
      </c>
      <c r="G57" s="679"/>
      <c r="H57" s="673"/>
      <c r="I57" s="679"/>
      <c r="J57" s="675"/>
      <c r="K57" s="46"/>
    </row>
    <row r="58" spans="1:11" ht="20.1" customHeight="1">
      <c r="A58" s="56">
        <v>39</v>
      </c>
      <c r="B58" s="71" t="s">
        <v>244</v>
      </c>
      <c r="C58" s="77">
        <f t="shared" si="20"/>
        <v>2021</v>
      </c>
      <c r="D58" s="72"/>
      <c r="E58" s="679"/>
      <c r="F58" s="855">
        <v>8631.5599999999904</v>
      </c>
      <c r="G58" s="679"/>
      <c r="H58" s="673"/>
      <c r="I58" s="679"/>
      <c r="J58" s="675"/>
      <c r="K58" s="46"/>
    </row>
    <row r="59" spans="1:11" ht="20.1" customHeight="1">
      <c r="A59" s="56">
        <v>40</v>
      </c>
      <c r="B59" s="71" t="s">
        <v>243</v>
      </c>
      <c r="C59" s="77">
        <f t="shared" si="20"/>
        <v>2021</v>
      </c>
      <c r="D59" s="72"/>
      <c r="E59" s="679"/>
      <c r="F59" s="855">
        <v>8650.53999999999</v>
      </c>
      <c r="G59" s="679"/>
      <c r="H59" s="673"/>
      <c r="I59" s="679"/>
      <c r="J59" s="675"/>
      <c r="K59" s="46"/>
    </row>
    <row r="60" spans="1:11" ht="20.1" customHeight="1">
      <c r="A60" s="56">
        <v>41</v>
      </c>
      <c r="B60" s="71" t="s">
        <v>234</v>
      </c>
      <c r="C60" s="77">
        <f t="shared" si="20"/>
        <v>2021</v>
      </c>
      <c r="D60" s="72"/>
      <c r="E60" s="679"/>
      <c r="F60" s="855">
        <v>8669.5199999999895</v>
      </c>
      <c r="G60" s="679"/>
      <c r="H60" s="673"/>
      <c r="I60" s="679"/>
      <c r="J60" s="675"/>
      <c r="K60" s="46"/>
    </row>
    <row r="61" spans="1:11" ht="20.1" customHeight="1">
      <c r="A61" s="654"/>
      <c r="B61" s="71"/>
      <c r="C61" s="72"/>
      <c r="D61" s="72"/>
      <c r="E61" s="72"/>
      <c r="F61" s="125"/>
      <c r="G61" s="72"/>
      <c r="H61" s="46"/>
      <c r="I61" s="72"/>
      <c r="J61" s="74"/>
      <c r="K61" s="46"/>
    </row>
    <row r="62" spans="1:11" ht="20.1" customHeight="1">
      <c r="A62" s="56">
        <v>42</v>
      </c>
      <c r="B62" s="78" t="s">
        <v>259</v>
      </c>
      <c r="C62" s="79"/>
      <c r="D62" s="79"/>
      <c r="E62" s="79"/>
      <c r="F62" s="1115">
        <f>SUM(F48:F60)/13</f>
        <v>8555.6399999999921</v>
      </c>
      <c r="G62" s="126">
        <f>SUM(G48:G60)/13</f>
        <v>0</v>
      </c>
      <c r="H62" s="126">
        <f>SUM(H48:H60)/13</f>
        <v>0</v>
      </c>
      <c r="I62" s="126">
        <f>SUM(I48:I60)/13</f>
        <v>0</v>
      </c>
      <c r="J62" s="676">
        <f>SUM(J48:J60)/13</f>
        <v>0</v>
      </c>
      <c r="K62" s="46"/>
    </row>
    <row r="64" spans="1:1" ht="20.1" customHeight="1">
      <c r="A64" s="46" t="s">
        <v>261</v>
      </c>
    </row>
    <row r="65" spans="1:2" ht="20.1" customHeight="1">
      <c r="A65" s="52" t="s">
        <v>260</v>
      </c>
      <c r="B65" s="46" t="s">
        <v>784</v>
      </c>
    </row>
    <row r="66" spans="1:2" ht="20.1" customHeight="1">
      <c r="A66" s="52" t="s">
        <v>274</v>
      </c>
      <c r="B66" s="46" t="s">
        <v>262</v>
      </c>
    </row>
    <row r="67" spans="1:2" ht="20.1" customHeight="1">
      <c r="A67" s="670" t="s">
        <v>344</v>
      </c>
      <c r="B67" s="46" t="s">
        <v>870</v>
      </c>
    </row>
    <row r="68" spans="1:12" ht="51.75" customHeight="1">
      <c r="A68" s="1101"/>
      <c r="B68" s="1188"/>
      <c r="C68" s="1188"/>
      <c r="D68" s="1188"/>
      <c r="E68" s="1188"/>
      <c r="F68" s="1188"/>
      <c r="G68" s="1188"/>
      <c r="H68" s="1188"/>
      <c r="I68" s="1188"/>
      <c r="J68" s="1188"/>
      <c r="K68" s="1188"/>
      <c r="L68" s="1188"/>
    </row>
    <row r="69" spans="1:1" ht="20.1" customHeight="1">
      <c r="A69" s="46"/>
    </row>
  </sheetData>
  <customSheetViews>
    <customSheetView guid="{e1861f40-ebd5-44ae-868b-fde0ed504d72}" scale="85" topLeftCell="A1">
      <selection pane="topLeft" activeCell="E9" sqref="E9"/>
      <pageMargins left="0.7" right="0.7" top="0.75" bottom="0.75" header="0.3" footer="0.3"/>
      <pageSetup fitToHeight="0" fitToWidth="0" orientation="portrait" scale="55" r:id="rId2"/>
    </customSheetView>
  </customSheetViews>
  <mergeCells count="1">
    <mergeCell ref="B68:L68"/>
  </mergeCells>
  <pageMargins left="0.7" right="0.7" top="0.75" bottom="0.75" header="0.3" footer="0.3"/>
  <pageSetup fitToHeight="0" fitToWidth="0" orientation="portrait" scale="48"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70" zoomScaleNormal="70" zoomScaleSheetLayoutView="70" workbookViewId="0" topLeftCell="A1"/>
  </sheetViews>
  <sheetFormatPr defaultColWidth="8.88555555555556" defaultRowHeight="20.1" customHeight="1"/>
  <cols>
    <col min="1" max="1" width="3" style="52" customWidth="1"/>
    <col min="2" max="2" width="10.7777777777778" style="46" customWidth="1"/>
    <col min="3" max="3" width="8.88888888888889" style="46"/>
    <col min="4" max="4" width="2.77777777777778" style="46" customWidth="1"/>
    <col min="5" max="5" width="12.7777777777778" style="52" customWidth="1"/>
    <col min="6" max="6" width="16.4444444444444" style="52" bestFit="1" customWidth="1"/>
    <col min="7" max="7" width="19.4444444444444" style="52" bestFit="1" customWidth="1"/>
    <col min="8" max="8" width="12.7777777777778" style="52" customWidth="1"/>
    <col min="9" max="9" width="14.1111111111111" style="52" customWidth="1"/>
    <col min="10" max="10" width="12.7777777777778" style="46" customWidth="1"/>
    <col min="11" max="11" width="14.8888888888889" style="46" bestFit="1" customWidth="1"/>
    <col min="12" max="12" width="14.7777777777778" style="46" customWidth="1"/>
    <col min="13" max="13" width="25.4444444444444" style="46" customWidth="1"/>
    <col min="14" max="14" width="17.2222222222222" style="46" customWidth="1"/>
    <col min="15" max="15" width="14" style="46" bestFit="1" customWidth="1"/>
    <col min="16" max="16" width="18.7777777777778" style="46" customWidth="1"/>
    <col min="17" max="17" width="13.5555555555556" style="46" bestFit="1" customWidth="1"/>
    <col min="18" max="18" width="33" style="46" customWidth="1"/>
    <col min="19" max="30" width="8.88888888888889" style="46"/>
    <col min="31" max="31" width="14.1111111111111" style="46" bestFit="1" customWidth="1"/>
    <col min="32" max="16384" width="8.88888888888889" style="46"/>
  </cols>
  <sheetData>
    <row r="1" spans="1:12" ht="20.1" customHeight="1">
      <c r="A1" s="655"/>
      <c r="E1" s="655"/>
      <c r="F1" s="655"/>
      <c r="G1" s="655"/>
      <c r="H1" s="655"/>
      <c r="I1" s="655"/>
      <c r="L1" s="6" t="s">
        <v>679</v>
      </c>
    </row>
    <row r="2" spans="1:12" ht="20.1" customHeight="1">
      <c r="A2" s="655"/>
      <c r="E2" s="655"/>
      <c r="F2" s="655"/>
      <c r="G2" s="655"/>
      <c r="H2" s="655"/>
      <c r="I2" s="655"/>
      <c r="L2" s="6" t="s">
        <v>221</v>
      </c>
    </row>
    <row r="3" spans="1:12" ht="20.1" customHeight="1">
      <c r="A3" s="655"/>
      <c r="E3" s="655"/>
      <c r="F3" s="655"/>
      <c r="G3" s="656" t="s">
        <v>680</v>
      </c>
      <c r="H3" s="655"/>
      <c r="I3" s="655"/>
      <c r="L3" s="9" t="str">
        <f>'Attachment 1 - Sched 1A'!$J$3</f>
        <v>For the 12 months ended 12/31/2021</v>
      </c>
    </row>
    <row r="4" spans="1:1" ht="20.1" customHeight="1">
      <c r="A4" s="55"/>
    </row>
    <row r="5" spans="3:11" ht="20.1" customHeight="1">
      <c r="C5" s="134"/>
      <c r="E5" s="657" t="s">
        <v>606</v>
      </c>
      <c r="F5" s="657" t="s">
        <v>607</v>
      </c>
      <c r="G5" s="657" t="s">
        <v>608</v>
      </c>
      <c r="H5" s="657" t="s">
        <v>609</v>
      </c>
      <c r="I5" s="657" t="s">
        <v>610</v>
      </c>
      <c r="K5" s="657" t="s">
        <v>611</v>
      </c>
    </row>
    <row r="6" spans="1:11" ht="20.1" customHeight="1">
      <c r="A6" s="738"/>
      <c r="C6" s="134"/>
      <c r="E6" s="743" t="s">
        <v>887</v>
      </c>
      <c r="F6" s="657"/>
      <c r="G6" s="657"/>
      <c r="H6" s="657"/>
      <c r="I6" s="657"/>
      <c r="K6" s="657"/>
    </row>
    <row r="7" spans="1:11" ht="20.1" customHeight="1">
      <c r="A7" s="60"/>
      <c r="B7" s="134"/>
      <c r="C7" s="134"/>
      <c r="D7" s="134"/>
      <c r="E7" s="61" t="s">
        <v>266</v>
      </c>
      <c r="F7" s="61" t="s">
        <v>267</v>
      </c>
      <c r="G7" s="61" t="s">
        <v>268</v>
      </c>
      <c r="H7" s="61" t="s">
        <v>269</v>
      </c>
      <c r="I7" s="61" t="s">
        <v>270</v>
      </c>
      <c r="J7" s="134"/>
      <c r="K7" s="61" t="s">
        <v>10</v>
      </c>
    </row>
    <row r="8" spans="1:11" ht="20.1" customHeight="1">
      <c r="A8" s="60"/>
      <c r="B8" s="134"/>
      <c r="C8" s="134"/>
      <c r="D8" s="134"/>
      <c r="E8" s="696" t="s">
        <v>273</v>
      </c>
      <c r="F8" s="696" t="s">
        <v>273</v>
      </c>
      <c r="G8" s="696" t="s">
        <v>273</v>
      </c>
      <c r="H8" s="61"/>
      <c r="I8" s="696" t="s">
        <v>273</v>
      </c>
      <c r="J8" s="134"/>
      <c r="K8" s="134"/>
    </row>
    <row r="9" spans="1:11" ht="20.1" customHeight="1">
      <c r="A9" s="60"/>
      <c r="B9" s="134"/>
      <c r="C9" s="134"/>
      <c r="D9" s="697"/>
      <c r="E9" s="308"/>
      <c r="F9" s="308" t="s">
        <v>344</v>
      </c>
      <c r="G9" s="308" t="s">
        <v>358</v>
      </c>
      <c r="H9" s="308" t="s">
        <v>360</v>
      </c>
      <c r="I9" s="308" t="s">
        <v>398</v>
      </c>
      <c r="J9" s="134"/>
      <c r="K9" s="134"/>
    </row>
    <row r="10" spans="1:11" ht="20.1" customHeight="1">
      <c r="A10" s="265">
        <v>1</v>
      </c>
      <c r="B10" s="698" t="s">
        <v>272</v>
      </c>
      <c r="C10" s="121">
        <v>2020</v>
      </c>
      <c r="D10" s="134"/>
      <c r="E10" s="128">
        <f>-(E19)</f>
        <v>0</v>
      </c>
      <c r="F10" s="128">
        <f>-(F19-F32-G32-H32-I32-J32-K32-L32)</f>
        <v>-350409371.38</v>
      </c>
      <c r="G10" s="128">
        <f>-(G19-F38-G38-H38-I38-J38-K38-L38)</f>
        <v>-37692278.939999998</v>
      </c>
      <c r="H10" s="128">
        <f>H19-F43-G43-H43-I43-J43-K43-L43</f>
        <v>45899179.977809146</v>
      </c>
      <c r="I10" s="128">
        <f>-(I19)+I19</f>
        <v>0</v>
      </c>
      <c r="J10" s="699"/>
      <c r="K10" s="699">
        <f>SUM(E10:I10)</f>
        <v>-342202470.34219086</v>
      </c>
    </row>
    <row r="11" spans="1:11" ht="20.1" customHeight="1">
      <c r="A11" s="265">
        <v>2</v>
      </c>
      <c r="B11" s="698" t="s">
        <v>272</v>
      </c>
      <c r="C11" s="121">
        <f>C10+1</f>
        <v>2021</v>
      </c>
      <c r="D11" s="134"/>
      <c r="E11" s="128">
        <f>-(E20)</f>
        <v>0</v>
      </c>
      <c r="F11" s="846">
        <f>-(F20-F33-G33-H33-I33-J33-K33-L33)</f>
        <v>-365641220</v>
      </c>
      <c r="G11" s="846">
        <f>-(G20-F39-G39-H39-I39-J39-K39-L39)</f>
        <v>-11143833</v>
      </c>
      <c r="H11" s="846">
        <f>H20-F44-G44-H44-I44-J44-K44-L44</f>
        <v>23915858.999999996</v>
      </c>
      <c r="I11" s="128">
        <f>-(I20)+I20</f>
        <v>0</v>
      </c>
      <c r="J11" s="699"/>
      <c r="K11" s="699">
        <f>SUM(E11:I11)</f>
        <v>-352869194</v>
      </c>
    </row>
    <row r="12" spans="1:11" ht="20.1" customHeight="1">
      <c r="A12" s="60"/>
      <c r="B12" s="134"/>
      <c r="C12" s="134"/>
      <c r="D12" s="134"/>
      <c r="E12" s="128"/>
      <c r="F12" s="128"/>
      <c r="G12" s="128"/>
      <c r="H12" s="128"/>
      <c r="I12" s="128"/>
      <c r="J12" s="699"/>
      <c r="K12" s="699"/>
    </row>
    <row r="13" spans="1:11" ht="20.1" customHeight="1">
      <c r="A13" s="266">
        <v>3</v>
      </c>
      <c r="B13" s="700" t="s">
        <v>271</v>
      </c>
      <c r="C13" s="700"/>
      <c r="D13" s="701" t="s">
        <v>260</v>
      </c>
      <c r="E13" s="702">
        <f>(E10/2)+(E11/2)</f>
        <v>0</v>
      </c>
      <c r="F13" s="702">
        <f>(F10/2)+(F11/2)</f>
        <v>-358025295.69</v>
      </c>
      <c r="G13" s="702">
        <f>(G10/2)+(G11/2)</f>
        <v>-24418055.969999999</v>
      </c>
      <c r="H13" s="702">
        <f>(H10/2)+(H11/2)</f>
        <v>34907519.488904573</v>
      </c>
      <c r="I13" s="702">
        <f>(I10/2)+(I11/2)</f>
        <v>0</v>
      </c>
      <c r="J13" s="702"/>
      <c r="K13" s="702">
        <f>(K10/2)+(K11/2)</f>
        <v>-347535832.17109543</v>
      </c>
    </row>
    <row r="16" spans="5:11" ht="20.1" customHeight="1">
      <c r="E16" s="260" t="s">
        <v>266</v>
      </c>
      <c r="F16" s="260" t="s">
        <v>267</v>
      </c>
      <c r="G16" s="260" t="s">
        <v>268</v>
      </c>
      <c r="H16" s="260" t="s">
        <v>269</v>
      </c>
      <c r="I16" s="260" t="s">
        <v>270</v>
      </c>
      <c r="K16" s="260" t="s">
        <v>10</v>
      </c>
    </row>
    <row r="17" spans="5:9" ht="20.1" customHeight="1">
      <c r="E17" s="739" t="s">
        <v>886</v>
      </c>
      <c r="F17" s="739"/>
      <c r="G17" s="739"/>
      <c r="H17" s="740"/>
      <c r="I17" s="739"/>
    </row>
    <row r="18" spans="4:9" ht="20.1" customHeight="1">
      <c r="D18" s="50" t="s">
        <v>274</v>
      </c>
      <c r="E18" s="53" t="s">
        <v>51</v>
      </c>
      <c r="F18" s="53" t="s">
        <v>394</v>
      </c>
      <c r="G18" s="53" t="s">
        <v>395</v>
      </c>
      <c r="H18" s="53" t="s">
        <v>396</v>
      </c>
      <c r="I18" s="53" t="s">
        <v>397</v>
      </c>
    </row>
    <row r="19" spans="1:11" ht="20.1" customHeight="1">
      <c r="A19" s="265">
        <v>4</v>
      </c>
      <c r="B19" s="59" t="s">
        <v>272</v>
      </c>
      <c r="C19" s="121">
        <f>C10</f>
        <v>2020</v>
      </c>
      <c r="E19" s="122"/>
      <c r="F19" s="122">
        <v>289237785</v>
      </c>
      <c r="G19" s="122">
        <v>61516062</v>
      </c>
      <c r="H19" s="122">
        <v>95063685</v>
      </c>
      <c r="I19" s="122">
        <v>2130100</v>
      </c>
      <c r="J19" s="123"/>
      <c r="K19" s="123">
        <f>SUM(E19:I19)</f>
        <v>447947632</v>
      </c>
    </row>
    <row r="20" spans="1:11" ht="20.1" customHeight="1">
      <c r="A20" s="265">
        <v>5</v>
      </c>
      <c r="B20" s="59" t="s">
        <v>272</v>
      </c>
      <c r="C20" s="48">
        <f>C19+1</f>
        <v>2021</v>
      </c>
      <c r="E20" s="122"/>
      <c r="F20" s="122">
        <f>'Attachment 5b - ADIT Detail'!D75</f>
        <v>327750646.15999979</v>
      </c>
      <c r="G20" s="122">
        <f>'Attachment 5b - ADIT Detail'!D130</f>
        <v>32987771</v>
      </c>
      <c r="H20" s="122">
        <f>'Attachment 5b - ADIT Detail'!D182</f>
        <v>74620592</v>
      </c>
      <c r="I20" s="122">
        <f>'Attachment 5b - ADIT Detail'!D14</f>
        <v>2030415</v>
      </c>
      <c r="J20" s="123"/>
      <c r="K20" s="123">
        <f>SUM(E20:I20)</f>
        <v>437389424.15999979</v>
      </c>
    </row>
    <row r="21" spans="1:11" ht="20.1" customHeight="1">
      <c r="A21" s="60"/>
      <c r="E21" s="124"/>
      <c r="F21" s="124"/>
      <c r="G21" s="124"/>
      <c r="H21" s="124"/>
      <c r="I21" s="124"/>
      <c r="J21" s="123"/>
      <c r="K21" s="123"/>
    </row>
    <row r="22" spans="1:11" ht="20.1" customHeight="1">
      <c r="A22" s="266">
        <v>6</v>
      </c>
      <c r="B22" s="46" t="s">
        <v>271</v>
      </c>
      <c r="E22" s="124">
        <f>(E19/2)+(E20/2)</f>
        <v>0</v>
      </c>
      <c r="F22" s="124">
        <f>(F19/2)+(F20/2)</f>
        <v>308494215.57999992</v>
      </c>
      <c r="G22" s="124">
        <f>(G19/2)+(G20/2)</f>
        <v>47251916.5</v>
      </c>
      <c r="H22" s="124">
        <f>(H19/2)+(H20/2)</f>
        <v>84842138.5</v>
      </c>
      <c r="I22" s="124">
        <f>(I19/2)+(I20/2)</f>
        <v>2080257.5</v>
      </c>
      <c r="J22" s="124"/>
      <c r="K22" s="124">
        <f>(K19/2)+(K20/2)</f>
        <v>442668528.07999992</v>
      </c>
    </row>
    <row r="24" spans="6:6" ht="20.1" customHeight="1">
      <c r="F24" s="1093"/>
    </row>
    <row r="25" spans="1:9" ht="20.1" customHeight="1">
      <c r="A25" s="46" t="s">
        <v>261</v>
      </c>
      <c r="D25" s="52"/>
      <c r="I25" s="46"/>
    </row>
    <row r="26" spans="1:12" ht="33.75" customHeight="1">
      <c r="A26" s="155" t="s">
        <v>260</v>
      </c>
      <c r="B26" s="1189" t="s">
        <v>766</v>
      </c>
      <c r="C26" s="1189"/>
      <c r="D26" s="1189"/>
      <c r="E26" s="1189"/>
      <c r="F26" s="1189"/>
      <c r="G26" s="1189"/>
      <c r="H26" s="1189"/>
      <c r="I26" s="1189"/>
      <c r="J26" s="1189"/>
      <c r="K26" s="1189"/>
      <c r="L26" s="1189"/>
    </row>
    <row r="27" spans="1:11" ht="20.1" customHeight="1">
      <c r="A27" s="52" t="s">
        <v>274</v>
      </c>
      <c r="B27" s="1191" t="s">
        <v>262</v>
      </c>
      <c r="C27" s="1191"/>
      <c r="D27" s="1191"/>
      <c r="E27" s="1191"/>
      <c r="F27" s="1191"/>
      <c r="G27" s="1191"/>
      <c r="H27" s="1191"/>
      <c r="I27" s="1191"/>
      <c r="J27" s="1191"/>
      <c r="K27" s="1191"/>
    </row>
    <row r="28" spans="1:11" ht="20.1" customHeight="1">
      <c r="A28" s="52" t="s">
        <v>344</v>
      </c>
      <c r="B28" s="1191" t="s">
        <v>361</v>
      </c>
      <c r="C28" s="1191"/>
      <c r="D28" s="1191"/>
      <c r="E28" s="1191"/>
      <c r="F28" s="1191"/>
      <c r="G28" s="1191"/>
      <c r="H28" s="1191"/>
      <c r="I28" s="1191"/>
      <c r="J28" s="1191"/>
      <c r="K28" s="1191"/>
    </row>
    <row r="29" spans="2:10" ht="20.1" customHeight="1">
      <c r="B29" s="140"/>
      <c r="C29" s="140"/>
      <c r="D29" s="140"/>
      <c r="E29" s="140"/>
      <c r="F29" s="46"/>
      <c r="H29" s="140"/>
      <c r="I29" s="141"/>
      <c r="J29" s="140"/>
    </row>
    <row r="30" spans="2:10" ht="20.1" customHeight="1">
      <c r="B30" s="140"/>
      <c r="C30" s="140"/>
      <c r="D30" s="140"/>
      <c r="E30" s="140"/>
      <c r="F30" s="140"/>
      <c r="I30" s="140"/>
      <c r="J30" s="140"/>
    </row>
    <row r="31" spans="2:12" ht="54" customHeight="1">
      <c r="B31" s="140"/>
      <c r="C31" s="140"/>
      <c r="D31" s="140"/>
      <c r="E31" s="140"/>
      <c r="F31" s="507" t="s">
        <v>354</v>
      </c>
      <c r="G31" s="143" t="s">
        <v>355</v>
      </c>
      <c r="H31" s="143" t="s">
        <v>356</v>
      </c>
      <c r="I31" s="143" t="s">
        <v>758</v>
      </c>
      <c r="J31" s="1150" t="s">
        <v>1267</v>
      </c>
      <c r="K31" s="843" t="s">
        <v>1120</v>
      </c>
      <c r="L31" s="849" t="s">
        <v>755</v>
      </c>
    </row>
    <row r="32" spans="1:29" s="141" customFormat="1" ht="20.1" customHeight="1">
      <c r="A32" s="52"/>
      <c r="B32" s="140"/>
      <c r="C32" s="140"/>
      <c r="D32" s="140"/>
      <c r="E32" s="144">
        <f>C10</f>
        <v>2020</v>
      </c>
      <c r="F32" s="850">
        <v>929.49000000000001</v>
      </c>
      <c r="G32" s="850">
        <v>-7422883.29</v>
      </c>
      <c r="H32" s="850">
        <v>-53722827.93999999</v>
      </c>
      <c r="I32" s="156"/>
      <c r="J32" s="850">
        <v>-26804.639999999999</v>
      </c>
      <c r="K32" s="850">
        <v>0</v>
      </c>
      <c r="L32" s="851">
        <v>0</v>
      </c>
      <c r="M32" s="1158"/>
      <c r="N32" s="1158"/>
      <c r="O32" s="1158"/>
      <c r="P32" s="1158"/>
      <c r="Q32" s="1158"/>
      <c r="R32" s="1158"/>
      <c r="S32" s="1158"/>
      <c r="T32" s="1158"/>
      <c r="U32" s="1158"/>
      <c r="V32" s="1158"/>
      <c r="W32" s="1158"/>
      <c r="X32" s="1158"/>
      <c r="Y32" s="1158"/>
      <c r="Z32" s="1158"/>
      <c r="AA32" s="1158"/>
      <c r="AB32" s="1158"/>
      <c r="AC32" s="1158"/>
    </row>
    <row r="33" spans="1:29" s="141" customFormat="1" ht="20.1" customHeight="1">
      <c r="A33" s="52"/>
      <c r="B33" s="140"/>
      <c r="C33" s="140"/>
      <c r="D33" s="140"/>
      <c r="E33" s="144">
        <f>C11</f>
        <v>2021</v>
      </c>
      <c r="F33" s="850">
        <v>862.26999999999998</v>
      </c>
      <c r="G33" s="850">
        <v>-7165480.9900000002</v>
      </c>
      <c r="H33" s="850">
        <v>-50343868.529999979</v>
      </c>
      <c r="I33" s="156"/>
      <c r="J33" s="850">
        <v>0</v>
      </c>
      <c r="K33" s="850">
        <v>0</v>
      </c>
      <c r="L33" s="851">
        <f>'Attch 5a - ADIT Normalization'!S19</f>
        <v>19617913.409999765</v>
      </c>
      <c r="M33" s="1159"/>
      <c r="N33" s="1158"/>
      <c r="O33" s="1158"/>
      <c r="P33" s="1158"/>
      <c r="Q33" s="1158"/>
      <c r="R33" s="1158"/>
      <c r="S33" s="1158"/>
      <c r="T33" s="1158"/>
      <c r="U33" s="1158"/>
      <c r="V33" s="1158"/>
      <c r="W33" s="1158"/>
      <c r="X33" s="1158"/>
      <c r="Y33" s="1158"/>
      <c r="Z33" s="1158"/>
      <c r="AA33" s="1158"/>
      <c r="AB33" s="1158"/>
      <c r="AC33" s="1158"/>
    </row>
    <row r="34" spans="1:29" s="141" customFormat="1" ht="20.1" customHeight="1">
      <c r="A34" s="52" t="s">
        <v>358</v>
      </c>
      <c r="B34" s="46" t="s">
        <v>357</v>
      </c>
      <c r="C34" s="46"/>
      <c r="D34" s="46"/>
      <c r="E34" s="46"/>
      <c r="F34" s="46"/>
      <c r="G34" s="46"/>
      <c r="H34" s="46"/>
      <c r="I34" s="46"/>
      <c r="J34" s="46"/>
      <c r="K34" s="844"/>
      <c r="L34" s="844"/>
      <c r="M34" s="1158"/>
      <c r="N34" s="1158"/>
      <c r="O34" s="1158"/>
      <c r="P34" s="1158"/>
      <c r="Q34" s="1158"/>
      <c r="R34" s="1158"/>
      <c r="S34" s="1158"/>
      <c r="T34" s="1158"/>
      <c r="U34" s="1158"/>
      <c r="V34" s="1158"/>
      <c r="W34" s="1158"/>
      <c r="X34" s="1158"/>
      <c r="Y34" s="1158"/>
      <c r="Z34" s="1158"/>
      <c r="AA34" s="1158"/>
      <c r="AB34" s="1158"/>
      <c r="AC34" s="1158"/>
    </row>
    <row r="35" spans="2:29" ht="20.1" customHeight="1">
      <c r="B35" s="140"/>
      <c r="C35" s="140"/>
      <c r="D35" s="140"/>
      <c r="E35" s="140"/>
      <c r="F35" s="46"/>
      <c r="H35" s="140"/>
      <c r="I35" s="668"/>
      <c r="J35" s="140"/>
      <c r="K35" s="848"/>
      <c r="L35" s="848"/>
      <c r="M35" s="847"/>
      <c r="N35" s="847"/>
      <c r="O35" s="847"/>
      <c r="P35" s="847"/>
      <c r="Q35" s="847"/>
      <c r="R35" s="847"/>
      <c r="S35" s="847"/>
      <c r="T35" s="847"/>
      <c r="U35" s="847"/>
      <c r="V35" s="847"/>
      <c r="W35" s="847"/>
      <c r="X35" s="847"/>
      <c r="Y35" s="847"/>
      <c r="Z35" s="847"/>
      <c r="AA35" s="847"/>
      <c r="AB35" s="847"/>
      <c r="AC35" s="847"/>
    </row>
    <row r="36" spans="2:29" ht="20.1" customHeight="1">
      <c r="B36" s="140"/>
      <c r="C36" s="140"/>
      <c r="D36" s="140"/>
      <c r="E36" s="140"/>
      <c r="F36" s="140"/>
      <c r="H36" s="140"/>
      <c r="I36" s="668"/>
      <c r="J36" s="140"/>
      <c r="K36" s="848"/>
      <c r="L36" s="848"/>
      <c r="M36" s="1158"/>
      <c r="N36" s="847"/>
      <c r="O36" s="847"/>
      <c r="P36" s="847"/>
      <c r="Q36" s="847"/>
      <c r="R36" s="1160"/>
      <c r="S36" s="847"/>
      <c r="T36" s="847"/>
      <c r="U36" s="847"/>
      <c r="V36" s="847"/>
      <c r="W36" s="847"/>
      <c r="X36" s="847"/>
      <c r="Y36" s="847"/>
      <c r="Z36" s="847"/>
      <c r="AA36" s="847"/>
      <c r="AB36" s="847"/>
      <c r="AC36" s="847"/>
    </row>
    <row r="37" spans="2:29" ht="45.75" customHeight="1">
      <c r="B37" s="140"/>
      <c r="C37" s="140"/>
      <c r="D37" s="140"/>
      <c r="E37" s="140"/>
      <c r="F37" s="507" t="s">
        <v>354</v>
      </c>
      <c r="G37" s="143" t="s">
        <v>355</v>
      </c>
      <c r="H37" s="143" t="s">
        <v>356</v>
      </c>
      <c r="I37" s="143" t="s">
        <v>758</v>
      </c>
      <c r="J37" s="843" t="s">
        <v>1120</v>
      </c>
      <c r="K37" s="843" t="s">
        <v>1120</v>
      </c>
      <c r="L37" s="849" t="s">
        <v>755</v>
      </c>
      <c r="M37" s="847"/>
      <c r="N37" s="847"/>
      <c r="O37" s="847"/>
      <c r="P37" s="847"/>
      <c r="Q37" s="847"/>
      <c r="R37" s="847"/>
      <c r="S37" s="847"/>
      <c r="T37" s="847"/>
      <c r="U37" s="847"/>
      <c r="V37" s="847"/>
      <c r="W37" s="847"/>
      <c r="X37" s="847"/>
      <c r="Y37" s="847"/>
      <c r="Z37" s="847"/>
      <c r="AA37" s="847"/>
      <c r="AB37" s="847"/>
      <c r="AC37" s="847"/>
    </row>
    <row r="38" spans="1:29" s="141" customFormat="1" ht="20.1" customHeight="1">
      <c r="A38" s="52"/>
      <c r="B38" s="140"/>
      <c r="C38" s="140"/>
      <c r="D38" s="140"/>
      <c r="E38" s="144">
        <f>C10</f>
        <v>2020</v>
      </c>
      <c r="F38" s="850">
        <v>0</v>
      </c>
      <c r="G38" s="156">
        <v>0</v>
      </c>
      <c r="H38" s="850">
        <v>20960712.82</v>
      </c>
      <c r="I38" s="850">
        <v>2863070.2400000002</v>
      </c>
      <c r="J38" s="156">
        <v>0</v>
      </c>
      <c r="K38" s="850">
        <v>0</v>
      </c>
      <c r="L38" s="851">
        <v>0</v>
      </c>
      <c r="M38" s="1158"/>
      <c r="N38" s="1158"/>
      <c r="O38" s="1158"/>
      <c r="P38" s="1158"/>
      <c r="Q38" s="1158"/>
      <c r="R38" s="1158"/>
      <c r="S38" s="1158"/>
      <c r="T38" s="1158"/>
      <c r="U38" s="1158"/>
      <c r="V38" s="1158"/>
      <c r="W38" s="1158"/>
      <c r="X38" s="1158"/>
      <c r="Y38" s="1158"/>
      <c r="Z38" s="1158"/>
      <c r="AA38" s="1158"/>
      <c r="AB38" s="1158"/>
      <c r="AC38" s="1158"/>
    </row>
    <row r="39" spans="1:29" s="141" customFormat="1" ht="20.1" customHeight="1">
      <c r="A39" s="52"/>
      <c r="B39" s="140"/>
      <c r="C39" s="140"/>
      <c r="D39" s="140"/>
      <c r="E39" s="144">
        <f>C11</f>
        <v>2021</v>
      </c>
      <c r="F39" s="850"/>
      <c r="G39" s="156">
        <v>13402</v>
      </c>
      <c r="H39" s="850">
        <v>22123619.049999997</v>
      </c>
      <c r="I39" s="850">
        <v>3164375.23</v>
      </c>
      <c r="J39" s="156">
        <v>90162</v>
      </c>
      <c r="K39" s="850"/>
      <c r="L39" s="851">
        <f>'Attch 5a - ADIT Normalization'!S26</f>
        <v>-3547620.2799999975</v>
      </c>
      <c r="M39" s="1158"/>
      <c r="N39" s="1158"/>
      <c r="O39" s="1158"/>
      <c r="P39" s="1158"/>
      <c r="Q39" s="1158"/>
      <c r="R39" s="1158"/>
      <c r="S39" s="1158"/>
      <c r="T39" s="1158"/>
      <c r="U39" s="1158"/>
      <c r="V39" s="1158"/>
      <c r="W39" s="1158"/>
      <c r="X39" s="1158"/>
      <c r="Y39" s="1158"/>
      <c r="Z39" s="1158"/>
      <c r="AA39" s="1158"/>
      <c r="AB39" s="1158"/>
      <c r="AC39" s="1158"/>
    </row>
    <row r="40" spans="1:29" s="141" customFormat="1" ht="20.1" customHeight="1">
      <c r="A40" s="52" t="s">
        <v>360</v>
      </c>
      <c r="B40" s="46" t="s">
        <v>359</v>
      </c>
      <c r="C40" s="46"/>
      <c r="D40" s="46"/>
      <c r="E40" s="46"/>
      <c r="F40" s="46"/>
      <c r="G40" s="46"/>
      <c r="H40" s="46"/>
      <c r="I40" s="46"/>
      <c r="J40" s="46"/>
      <c r="K40" s="844"/>
      <c r="L40" s="844"/>
      <c r="M40" s="1158"/>
      <c r="N40" s="1158"/>
      <c r="O40" s="1158"/>
      <c r="P40" s="1158"/>
      <c r="Q40" s="1158"/>
      <c r="R40" s="1158"/>
      <c r="S40" s="1158"/>
      <c r="T40" s="1158"/>
      <c r="U40" s="1158"/>
      <c r="V40" s="1158"/>
      <c r="W40" s="1158"/>
      <c r="X40" s="1158"/>
      <c r="Y40" s="1158"/>
      <c r="Z40" s="1158"/>
      <c r="AA40" s="1158"/>
      <c r="AB40" s="1158"/>
      <c r="AC40" s="1158"/>
    </row>
    <row r="41" spans="1:29" s="141" customFormat="1" ht="20.1" customHeight="1">
      <c r="A41" s="52"/>
      <c r="B41" s="140"/>
      <c r="C41" s="140"/>
      <c r="D41" s="140"/>
      <c r="E41" s="140"/>
      <c r="G41" s="52"/>
      <c r="H41" s="46"/>
      <c r="I41" s="46"/>
      <c r="J41" s="140"/>
      <c r="K41" s="848"/>
      <c r="L41" s="848"/>
      <c r="M41" s="1158"/>
      <c r="N41" s="1158"/>
      <c r="O41" s="1158"/>
      <c r="P41" s="1158"/>
      <c r="Q41" s="1158"/>
      <c r="R41" s="1158"/>
      <c r="S41" s="1158"/>
      <c r="T41" s="1158"/>
      <c r="U41" s="1158"/>
      <c r="V41" s="1158"/>
      <c r="W41" s="1158"/>
      <c r="X41" s="1158"/>
      <c r="Y41" s="1158"/>
      <c r="Z41" s="1158"/>
      <c r="AA41" s="1158"/>
      <c r="AB41" s="1158"/>
      <c r="AC41" s="1158"/>
    </row>
    <row r="42" spans="1:31" s="141" customFormat="1" ht="53.25" customHeight="1">
      <c r="A42" s="52"/>
      <c r="B42" s="140"/>
      <c r="C42" s="140"/>
      <c r="D42" s="140"/>
      <c r="E42" s="144"/>
      <c r="F42" s="146" t="s">
        <v>354</v>
      </c>
      <c r="G42" s="143" t="s">
        <v>355</v>
      </c>
      <c r="H42" s="143" t="s">
        <v>356</v>
      </c>
      <c r="I42" s="143" t="s">
        <v>758</v>
      </c>
      <c r="J42" s="1150" t="s">
        <v>1268</v>
      </c>
      <c r="K42" s="843" t="s">
        <v>1120</v>
      </c>
      <c r="L42" s="849" t="s">
        <v>755</v>
      </c>
      <c r="M42" s="1158"/>
      <c r="N42" s="1158"/>
      <c r="O42" s="1158"/>
      <c r="P42" s="1158"/>
      <c r="Q42" s="1158"/>
      <c r="R42" s="1158"/>
      <c r="S42" s="1158"/>
      <c r="T42" s="1158"/>
      <c r="U42" s="1158"/>
      <c r="V42" s="1158"/>
      <c r="W42" s="1158"/>
      <c r="X42" s="1158"/>
      <c r="Y42" s="1158"/>
      <c r="Z42" s="1158"/>
      <c r="AA42" s="1158"/>
      <c r="AB42" s="847"/>
      <c r="AC42" s="847"/>
      <c r="AD42" s="844"/>
      <c r="AE42" s="844"/>
    </row>
    <row r="43" spans="1:29" s="141" customFormat="1" ht="20.1" customHeight="1">
      <c r="A43" s="52"/>
      <c r="B43" s="140"/>
      <c r="C43" s="140"/>
      <c r="D43" s="140"/>
      <c r="E43" s="144">
        <f>C10</f>
        <v>2020</v>
      </c>
      <c r="F43" s="156">
        <v>7393</v>
      </c>
      <c r="G43" s="156">
        <v>0</v>
      </c>
      <c r="H43" s="156">
        <v>38437736.412190855</v>
      </c>
      <c r="I43" s="156">
        <v>10716856.610000001</v>
      </c>
      <c r="J43" s="156">
        <v>2519</v>
      </c>
      <c r="K43" s="850">
        <v>0</v>
      </c>
      <c r="L43" s="851">
        <v>0</v>
      </c>
      <c r="M43" s="1158"/>
      <c r="N43" s="1158"/>
      <c r="O43" s="1158"/>
      <c r="P43" s="1161"/>
      <c r="Q43" s="1158"/>
      <c r="R43" s="1158"/>
      <c r="S43" s="1158"/>
      <c r="T43" s="1158"/>
      <c r="U43" s="1158"/>
      <c r="V43" s="1158"/>
      <c r="W43" s="1158"/>
      <c r="X43" s="1158"/>
      <c r="Y43" s="1158"/>
      <c r="Z43" s="1158"/>
      <c r="AA43" s="1158"/>
      <c r="AB43" s="1158"/>
      <c r="AC43" s="1158"/>
    </row>
    <row r="44" spans="1:29" s="141" customFormat="1" ht="20.1" customHeight="1">
      <c r="A44" s="52"/>
      <c r="B44" s="140"/>
      <c r="C44" s="140"/>
      <c r="D44" s="140"/>
      <c r="E44" s="144">
        <f>C11</f>
        <v>2021</v>
      </c>
      <c r="F44" s="156">
        <v>36040</v>
      </c>
      <c r="G44" s="156">
        <v>0</v>
      </c>
      <c r="H44" s="156">
        <v>38603930.312227063</v>
      </c>
      <c r="I44" s="156">
        <v>10535775.23</v>
      </c>
      <c r="J44" s="156">
        <v>4454</v>
      </c>
      <c r="K44" s="850">
        <v>225406</v>
      </c>
      <c r="L44" s="851">
        <f>'Attch 5a - ADIT Normalization'!S12</f>
        <v>1299127.4577729404</v>
      </c>
      <c r="M44" s="1158"/>
      <c r="N44" s="1158"/>
      <c r="O44" s="1158"/>
      <c r="P44" s="1158"/>
      <c r="Q44" s="1158"/>
      <c r="R44" s="1158"/>
      <c r="S44" s="1158"/>
      <c r="T44" s="1158"/>
      <c r="U44" s="1158"/>
      <c r="V44" s="1158"/>
      <c r="W44" s="1158"/>
      <c r="X44" s="1158"/>
      <c r="Y44" s="1158"/>
      <c r="Z44" s="1158"/>
      <c r="AA44" s="1158"/>
      <c r="AB44" s="1158"/>
      <c r="AC44" s="1158"/>
    </row>
    <row r="45" spans="1:29" s="141" customFormat="1" ht="20.1" customHeight="1">
      <c r="A45" s="52"/>
      <c r="B45" s="140"/>
      <c r="C45" s="140"/>
      <c r="D45" s="140"/>
      <c r="E45" s="144"/>
      <c r="F45" s="145"/>
      <c r="G45" s="145"/>
      <c r="H45" s="140"/>
      <c r="I45" s="140"/>
      <c r="J45" s="140"/>
      <c r="K45" s="140"/>
      <c r="M45" s="1158"/>
      <c r="N45" s="1158"/>
      <c r="O45" s="1158"/>
      <c r="P45" s="1158"/>
      <c r="Q45" s="1158"/>
      <c r="R45" s="1158"/>
      <c r="S45" s="1158"/>
      <c r="T45" s="1158"/>
      <c r="U45" s="1158"/>
      <c r="V45" s="1158"/>
      <c r="W45" s="1158"/>
      <c r="X45" s="1158"/>
      <c r="Y45" s="1158"/>
      <c r="Z45" s="1158"/>
      <c r="AA45" s="1158"/>
      <c r="AB45" s="1158"/>
      <c r="AC45" s="1158"/>
    </row>
    <row r="46" spans="1:29" ht="47.45" customHeight="1">
      <c r="A46" s="142" t="s">
        <v>398</v>
      </c>
      <c r="B46" s="1190" t="s">
        <v>1124</v>
      </c>
      <c r="C46" s="1190"/>
      <c r="D46" s="1190"/>
      <c r="E46" s="1190"/>
      <c r="F46" s="1190"/>
      <c r="G46" s="1190"/>
      <c r="H46" s="1190"/>
      <c r="I46" s="1190"/>
      <c r="J46" s="1190"/>
      <c r="K46" s="1190"/>
      <c r="M46" s="847"/>
      <c r="N46" s="847"/>
      <c r="O46" s="847"/>
      <c r="P46" s="847"/>
      <c r="Q46" s="847"/>
      <c r="R46" s="847"/>
      <c r="S46" s="847"/>
      <c r="T46" s="847"/>
      <c r="U46" s="847"/>
      <c r="V46" s="847"/>
      <c r="W46" s="847"/>
      <c r="X46" s="847"/>
      <c r="Y46" s="847"/>
      <c r="Z46" s="847"/>
      <c r="AA46" s="847"/>
      <c r="AB46" s="847"/>
      <c r="AC46" s="847"/>
    </row>
    <row r="47" spans="1:2" ht="20.1" customHeight="1">
      <c r="A47" s="52" t="s">
        <v>754</v>
      </c>
      <c r="B47" s="46" t="s">
        <v>1125</v>
      </c>
    </row>
    <row r="48" spans="1:10" ht="20.1" customHeight="1">
      <c r="A48" s="845" t="s">
        <v>1118</v>
      </c>
      <c r="B48" s="847" t="s">
        <v>1119</v>
      </c>
      <c r="C48" s="847"/>
      <c r="D48" s="847"/>
      <c r="E48" s="845"/>
      <c r="F48" s="845"/>
      <c r="G48" s="845"/>
      <c r="H48" s="845"/>
      <c r="I48" s="845"/>
      <c r="J48" s="847"/>
    </row>
    <row r="49" spans="1:12" ht="38.25" customHeight="1">
      <c r="A49" s="1101"/>
      <c r="B49" s="1188"/>
      <c r="C49" s="1188"/>
      <c r="D49" s="1188"/>
      <c r="E49" s="1188"/>
      <c r="F49" s="1188"/>
      <c r="G49" s="1188"/>
      <c r="H49" s="1188"/>
      <c r="I49" s="1188"/>
      <c r="J49" s="1188"/>
      <c r="K49" s="1188"/>
      <c r="L49" s="1188"/>
    </row>
    <row r="55" spans="12:12" ht="31.5" customHeight="1">
      <c r="L55" s="1138"/>
    </row>
    <row r="56" spans="12:12" ht="20.1" customHeight="1">
      <c r="L56" s="51"/>
    </row>
    <row r="57" spans="12:12" ht="20.1" customHeight="1">
      <c r="L57" s="51"/>
    </row>
    <row r="58" spans="12:12" ht="30" customHeight="1">
      <c r="L58" s="1138"/>
    </row>
    <row r="59" spans="12:12" ht="20.1" customHeight="1">
      <c r="L59" s="51"/>
    </row>
    <row r="60" spans="12:12" ht="20.1" customHeight="1">
      <c r="L60" s="51"/>
    </row>
    <row r="61" spans="12:12" ht="20.1" customHeight="1">
      <c r="L61" s="51"/>
    </row>
    <row r="62" spans="12:12" ht="28.5" customHeight="1">
      <c r="L62" s="1138"/>
    </row>
    <row r="63" spans="12:12" ht="20.1" customHeight="1">
      <c r="L63" s="51"/>
    </row>
    <row r="64" spans="12:12" ht="20.1" customHeight="1">
      <c r="L64" s="51"/>
    </row>
    <row r="65" spans="12:12" ht="20.1" customHeight="1">
      <c r="L65" s="51"/>
    </row>
    <row r="66" spans="12:12" ht="27.6" customHeight="1">
      <c r="L66" s="1138"/>
    </row>
    <row r="67" ht="21" customHeight="1"/>
    <row r="70" spans="12:12" ht="27.6" customHeight="1">
      <c r="L70" s="1138"/>
    </row>
    <row r="71" spans="12:12" ht="28.5" customHeight="1">
      <c r="L71" s="1138"/>
    </row>
    <row r="75" ht="24.75" customHeight="1"/>
    <row r="79" ht="27" customHeight="1"/>
    <row r="80" ht="24" customHeight="1"/>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5">
    <mergeCell ref="B26:L26"/>
    <mergeCell ref="B46:K46"/>
    <mergeCell ref="B27:K27"/>
    <mergeCell ref="B28:K28"/>
    <mergeCell ref="B49:L49"/>
  </mergeCells>
  <pageMargins left="0.7" right="0.7" top="0.75" bottom="0.75" header="0.3" footer="0.3"/>
  <pageSetup orientation="portrait" scale="5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43"/>
  <sheetViews>
    <sheetView view="pageBreakPreview" zoomScale="70" zoomScaleNormal="80" zoomScaleSheetLayoutView="70" workbookViewId="0" topLeftCell="A1"/>
  </sheetViews>
  <sheetFormatPr defaultColWidth="8.88555555555556" defaultRowHeight="15"/>
  <cols>
    <col min="1" max="1" width="22.1111111111111" style="510" customWidth="1"/>
    <col min="2" max="2" width="3.11111111111111" style="511" customWidth="1"/>
    <col min="3" max="9" width="13.7777777777778" style="510" customWidth="1"/>
    <col min="10" max="10" width="12.4444444444444" style="510" customWidth="1"/>
    <col min="11" max="11" width="3.11111111111111" style="510" customWidth="1"/>
    <col min="12" max="12" width="13.4444444444444" style="510" customWidth="1"/>
    <col min="13" max="13" width="20.7777777777778" style="510" customWidth="1"/>
    <col min="14" max="14" width="1.77777777777778" style="527" customWidth="1"/>
    <col min="15" max="15" width="13.7777777777778" style="527" customWidth="1"/>
    <col min="16" max="16" width="2" style="527" customWidth="1"/>
    <col min="17" max="17" width="11.8888888888889" style="527" bestFit="1" customWidth="1"/>
    <col min="18" max="18" width="12.8888888888889" style="527" customWidth="1"/>
    <col min="19" max="19" width="13.6666666666667" style="527" bestFit="1" customWidth="1"/>
    <col min="20" max="20" width="12.6666666666667" style="527" customWidth="1"/>
    <col min="21" max="21" width="12.5555555555556" style="527" bestFit="1" customWidth="1"/>
    <col min="22" max="16384" width="8.88888888888889" style="527"/>
  </cols>
  <sheetData>
    <row r="1" spans="10:20" ht="15.75">
      <c r="J1" s="6" t="s">
        <v>681</v>
      </c>
      <c r="T1" s="6" t="s">
        <v>681</v>
      </c>
    </row>
    <row r="2" spans="10:20" ht="15.75">
      <c r="J2" s="6" t="s">
        <v>224</v>
      </c>
      <c r="T2" s="6" t="s">
        <v>227</v>
      </c>
    </row>
    <row r="3" spans="10:20" ht="15.75">
      <c r="J3" s="9" t="str">
        <f>'Attachment 1 - Sched 1A'!$J$3</f>
        <v>For the 12 months ended 12/31/2021</v>
      </c>
      <c r="T3" s="9" t="str">
        <f>'Attachment 1 - Sched 1A'!$J$3</f>
        <v>For the 12 months ended 12/31/2021</v>
      </c>
    </row>
    <row r="4" spans="1:15" ht="15.75">
      <c r="A4" s="55"/>
      <c r="F4" s="659" t="s">
        <v>682</v>
      </c>
      <c r="O4" s="659" t="s">
        <v>682</v>
      </c>
    </row>
    <row r="5" spans="1:20" ht="15.75" thickBot="1">
      <c r="A5" s="667" t="s">
        <v>606</v>
      </c>
      <c r="B5" s="527"/>
      <c r="C5" s="667" t="s">
        <v>607</v>
      </c>
      <c r="D5" s="667" t="s">
        <v>608</v>
      </c>
      <c r="E5" s="695" t="s">
        <v>609</v>
      </c>
      <c r="F5" s="695" t="s">
        <v>610</v>
      </c>
      <c r="G5" s="695" t="s">
        <v>611</v>
      </c>
      <c r="H5" s="695" t="s">
        <v>612</v>
      </c>
      <c r="I5" s="695" t="s">
        <v>811</v>
      </c>
      <c r="J5" s="695" t="s">
        <v>812</v>
      </c>
      <c r="O5" s="667" t="s">
        <v>606</v>
      </c>
      <c r="Q5" s="667" t="s">
        <v>607</v>
      </c>
      <c r="R5" s="667" t="s">
        <v>608</v>
      </c>
      <c r="S5" s="695" t="s">
        <v>609</v>
      </c>
      <c r="T5" s="695" t="s">
        <v>610</v>
      </c>
    </row>
    <row r="6" spans="1:20" ht="75.75" thickBot="1">
      <c r="A6" s="714"/>
      <c r="B6" s="512"/>
      <c r="C6" s="1192" t="s">
        <v>1151</v>
      </c>
      <c r="D6" s="1193"/>
      <c r="E6" s="1193"/>
      <c r="F6" s="1193"/>
      <c r="G6" s="1193"/>
      <c r="H6" s="1193"/>
      <c r="I6" s="1193"/>
      <c r="J6" s="1194"/>
      <c r="L6" s="1195" t="s">
        <v>1152</v>
      </c>
      <c r="M6" s="1196"/>
      <c r="O6" s="543" t="s">
        <v>850</v>
      </c>
      <c r="Q6" s="543" t="s">
        <v>553</v>
      </c>
      <c r="R6" s="543" t="s">
        <v>1116</v>
      </c>
      <c r="S6" s="744" t="s">
        <v>897</v>
      </c>
      <c r="T6" s="543" t="s">
        <v>813</v>
      </c>
    </row>
    <row r="7" spans="1:10" ht="15">
      <c r="A7" s="715"/>
      <c r="C7" s="513"/>
      <c r="D7" s="514"/>
      <c r="E7" s="514"/>
      <c r="F7" s="514"/>
      <c r="G7" s="514"/>
      <c r="H7" s="514"/>
      <c r="I7" s="514"/>
      <c r="J7" s="515"/>
    </row>
    <row r="8" spans="1:13" ht="46.5" customHeight="1">
      <c r="A8" s="716" t="s">
        <v>851</v>
      </c>
      <c r="B8" s="517"/>
      <c r="C8" s="726" t="s">
        <v>854</v>
      </c>
      <c r="D8" s="533" t="s">
        <v>855</v>
      </c>
      <c r="E8" s="727" t="s">
        <v>856</v>
      </c>
      <c r="F8" s="533" t="s">
        <v>857</v>
      </c>
      <c r="G8" s="727" t="s">
        <v>858</v>
      </c>
      <c r="H8" s="533" t="s">
        <v>859</v>
      </c>
      <c r="I8" s="727" t="s">
        <v>860</v>
      </c>
      <c r="J8" s="535" t="s">
        <v>861</v>
      </c>
      <c r="K8" s="518"/>
      <c r="L8" s="516"/>
      <c r="M8" s="519"/>
    </row>
    <row r="9" spans="1:15" ht="15.75" thickBot="1">
      <c r="A9" s="717">
        <f>'Attachment 5 - ADIT'!H19-'Attachment 5 - ADIT'!I43-'Attachment 5 - ADIT'!H43-'Attachment 5 - ADIT'!F43-'Attachment 5 - ADIT'!G43-'Attachment 5 - ADIT'!J43</f>
        <v>45899179.977809146</v>
      </c>
      <c r="B9" s="525"/>
      <c r="C9" s="532">
        <v>523331.96481707727</v>
      </c>
      <c r="D9" s="525">
        <f>SUM(A9:C9)</f>
        <v>46422511.942626223</v>
      </c>
      <c r="E9" s="531">
        <v>560649.50513456878</v>
      </c>
      <c r="F9" s="525">
        <f>SUM(D9:E9)</f>
        <v>46983161.447760791</v>
      </c>
      <c r="G9" s="531">
        <v>505088.78160152578</v>
      </c>
      <c r="H9" s="525">
        <f>SUM(F9:G9)</f>
        <v>47488250.229362316</v>
      </c>
      <c r="I9" s="531">
        <v>520065.09110036871</v>
      </c>
      <c r="J9" s="537">
        <f>SUM(H9:I9)</f>
        <v>48008315.320462689</v>
      </c>
      <c r="K9" s="524"/>
      <c r="L9" s="525"/>
      <c r="M9" s="525"/>
      <c r="N9" s="523"/>
      <c r="O9" s="523"/>
    </row>
    <row r="10" spans="1:17" ht="15">
      <c r="A10" s="718"/>
      <c r="B10" s="521"/>
      <c r="C10" s="522"/>
      <c r="D10" s="528"/>
      <c r="E10" s="523"/>
      <c r="F10" s="528"/>
      <c r="G10" s="523"/>
      <c r="H10" s="528"/>
      <c r="I10" s="523"/>
      <c r="J10" s="536"/>
      <c r="K10" s="520"/>
      <c r="L10" s="520"/>
      <c r="M10" s="521"/>
      <c r="N10" s="523"/>
      <c r="O10" s="523"/>
      <c r="Q10" s="664"/>
    </row>
    <row r="11" spans="1:15" ht="42" customHeight="1">
      <c r="A11" s="716" t="str">
        <f>A8</f>
        <v>Beginning  190 (including adjustments)</v>
      </c>
      <c r="B11" s="521"/>
      <c r="C11" s="530" t="s">
        <v>548</v>
      </c>
      <c r="D11" s="528"/>
      <c r="E11" s="529" t="s">
        <v>549</v>
      </c>
      <c r="F11" s="528"/>
      <c r="G11" s="529" t="s">
        <v>550</v>
      </c>
      <c r="H11" s="528"/>
      <c r="I11" s="529" t="s">
        <v>551</v>
      </c>
      <c r="J11" s="536"/>
      <c r="K11" s="520"/>
      <c r="L11" s="728" t="s">
        <v>552</v>
      </c>
      <c r="M11" s="538" t="s">
        <v>862</v>
      </c>
      <c r="N11" s="523"/>
      <c r="O11" s="523"/>
    </row>
    <row r="12" spans="1:21" ht="15">
      <c r="A12" s="719">
        <f>A9</f>
        <v>45899179.977809146</v>
      </c>
      <c r="B12" s="521"/>
      <c r="C12" s="530">
        <f>(276/365)*C9</f>
        <v>395724.99257400911</v>
      </c>
      <c r="D12" s="528"/>
      <c r="E12" s="529">
        <f>(185/365)*E9</f>
        <v>284164.81767094583</v>
      </c>
      <c r="F12" s="528"/>
      <c r="G12" s="529">
        <f>(93/365)*G9</f>
        <v>128693.85394230657</v>
      </c>
      <c r="H12" s="528"/>
      <c r="I12" s="529">
        <f>(1/365)*I9</f>
        <v>1424.8358660284075</v>
      </c>
      <c r="J12" s="536"/>
      <c r="K12" s="520"/>
      <c r="L12" s="728">
        <f>C12+E12+G12+I12</f>
        <v>810008.50005328993</v>
      </c>
      <c r="M12" s="538">
        <f>A12+L12</f>
        <v>46709188.477862433</v>
      </c>
      <c r="N12" s="523"/>
      <c r="O12" s="528">
        <f>'Attachment 5 - ADIT'!H20</f>
        <v>74620592</v>
      </c>
      <c r="Q12" s="528">
        <f>O12-23915859</f>
        <v>50704733</v>
      </c>
      <c r="R12" s="736">
        <f>SUM('Attachment 5 - ADIT'!F44:K44)</f>
        <v>49405605.54222706</v>
      </c>
      <c r="S12" s="544">
        <f>Q12-R12</f>
        <v>1299127.4577729404</v>
      </c>
      <c r="T12" s="1096">
        <f>O12-R12-S12</f>
        <v>23915859</v>
      </c>
      <c r="U12" s="663"/>
    </row>
    <row r="13" spans="1:21" ht="15">
      <c r="A13" s="719"/>
      <c r="B13" s="521"/>
      <c r="C13" s="530"/>
      <c r="D13" s="528"/>
      <c r="E13" s="529"/>
      <c r="F13" s="528"/>
      <c r="G13" s="529"/>
      <c r="H13" s="528"/>
      <c r="I13" s="529"/>
      <c r="J13" s="536"/>
      <c r="K13" s="520"/>
      <c r="L13" s="728"/>
      <c r="M13" s="538"/>
      <c r="N13" s="523"/>
      <c r="O13" s="528"/>
      <c r="Q13" s="523"/>
      <c r="R13" s="1095"/>
      <c r="S13" s="544"/>
      <c r="T13" s="1096"/>
      <c r="U13" s="663"/>
    </row>
    <row r="14" spans="1:21" ht="15">
      <c r="A14" s="719"/>
      <c r="B14" s="521"/>
      <c r="C14" s="530"/>
      <c r="D14" s="528"/>
      <c r="E14" s="529"/>
      <c r="F14" s="528"/>
      <c r="G14" s="529"/>
      <c r="H14" s="528"/>
      <c r="I14" s="529"/>
      <c r="J14" s="536"/>
      <c r="K14" s="520"/>
      <c r="L14" s="728"/>
      <c r="M14" s="538"/>
      <c r="N14" s="523"/>
      <c r="O14" s="528"/>
      <c r="Q14" s="523"/>
      <c r="R14" s="736"/>
      <c r="S14" s="544"/>
      <c r="T14" s="665"/>
      <c r="U14" s="663"/>
    </row>
    <row r="15" spans="1:21" ht="44.1" customHeight="1">
      <c r="A15" s="716" t="s">
        <v>852</v>
      </c>
      <c r="B15" s="521"/>
      <c r="C15" s="726" t="s">
        <v>854</v>
      </c>
      <c r="D15" s="533" t="s">
        <v>855</v>
      </c>
      <c r="E15" s="727" t="s">
        <v>856</v>
      </c>
      <c r="F15" s="533" t="s">
        <v>857</v>
      </c>
      <c r="G15" s="727" t="s">
        <v>858</v>
      </c>
      <c r="H15" s="533" t="s">
        <v>859</v>
      </c>
      <c r="I15" s="727" t="s">
        <v>860</v>
      </c>
      <c r="J15" s="535" t="s">
        <v>861</v>
      </c>
      <c r="K15" s="521"/>
      <c r="L15" s="728"/>
      <c r="M15" s="519"/>
      <c r="N15" s="523"/>
      <c r="O15" s="523"/>
      <c r="Q15" s="665"/>
      <c r="R15" s="736"/>
      <c r="U15" s="663"/>
    </row>
    <row r="16" spans="1:21" ht="15.75" thickBot="1">
      <c r="A16" s="717">
        <f>'Attachment 5 - ADIT'!F19-'Attachment 5 - ADIT'!H32-'Attachment 5 - ADIT'!G32-'Attachment 5 - ADIT'!F32-'Attachment 5 - ADIT'!J32</f>
        <v>350409371.38</v>
      </c>
      <c r="B16" s="525"/>
      <c r="C16" s="532">
        <v>7902754.8809151463</v>
      </c>
      <c r="D16" s="525">
        <f>SUM(A16:C16)</f>
        <v>358312126.26091516</v>
      </c>
      <c r="E16" s="531">
        <v>8466281.2727931701</v>
      </c>
      <c r="F16" s="525">
        <f>SUM(D16:E16)</f>
        <v>366778407.53370833</v>
      </c>
      <c r="G16" s="531">
        <v>7627267.3989866897</v>
      </c>
      <c r="H16" s="525">
        <f>SUM(F16:G16)</f>
        <v>374405674.93269503</v>
      </c>
      <c r="I16" s="531">
        <v>7853422.3273053635</v>
      </c>
      <c r="J16" s="537">
        <f>SUM(H16:I16)</f>
        <v>382259097.26000041</v>
      </c>
      <c r="K16" s="524"/>
      <c r="L16" s="729"/>
      <c r="M16" s="525"/>
      <c r="N16" s="523"/>
      <c r="O16" s="528"/>
      <c r="R16" s="736"/>
      <c r="U16" s="663"/>
    </row>
    <row r="17" spans="1:21" ht="15">
      <c r="A17" s="718"/>
      <c r="B17" s="521"/>
      <c r="C17" s="540"/>
      <c r="D17" s="528"/>
      <c r="E17" s="528"/>
      <c r="F17" s="528"/>
      <c r="G17" s="528"/>
      <c r="H17" s="528"/>
      <c r="I17" s="528"/>
      <c r="J17" s="536"/>
      <c r="K17" s="520"/>
      <c r="L17" s="730"/>
      <c r="M17" s="521"/>
      <c r="N17" s="523"/>
      <c r="O17" s="523"/>
      <c r="R17" s="736"/>
      <c r="U17" s="663"/>
    </row>
    <row r="18" spans="1:21" ht="44.1" customHeight="1">
      <c r="A18" s="716" t="str">
        <f>A15</f>
        <v>Beginning  282 (including adjustments)</v>
      </c>
      <c r="B18" s="521"/>
      <c r="C18" s="530" t="s">
        <v>548</v>
      </c>
      <c r="D18" s="528"/>
      <c r="E18" s="529" t="s">
        <v>549</v>
      </c>
      <c r="F18" s="528"/>
      <c r="G18" s="529" t="s">
        <v>550</v>
      </c>
      <c r="H18" s="528"/>
      <c r="I18" s="529" t="s">
        <v>551</v>
      </c>
      <c r="J18" s="536"/>
      <c r="K18" s="520"/>
      <c r="L18" s="728" t="s">
        <v>552</v>
      </c>
      <c r="M18" s="538" t="s">
        <v>863</v>
      </c>
      <c r="N18" s="523"/>
      <c r="O18" s="523"/>
      <c r="R18" s="736"/>
      <c r="U18" s="663"/>
    </row>
    <row r="19" spans="1:21" ht="15">
      <c r="A19" s="719">
        <f>A16</f>
        <v>350409371.38</v>
      </c>
      <c r="B19" s="521"/>
      <c r="C19" s="530">
        <f>(276/365)*C16</f>
        <v>5975781.7729659732</v>
      </c>
      <c r="D19" s="528"/>
      <c r="E19" s="529">
        <f>(185/365)*E16</f>
        <v>4291128.8642924288</v>
      </c>
      <c r="F19" s="528"/>
      <c r="G19" s="529">
        <f>(93/365)*G16</f>
        <v>1943385.9400157868</v>
      </c>
      <c r="H19" s="528"/>
      <c r="I19" s="529">
        <f>(1/365)*I16</f>
        <v>21516.225554261269</v>
      </c>
      <c r="J19" s="536"/>
      <c r="K19" s="520"/>
      <c r="L19" s="728">
        <f>C19+E19+G19+I19</f>
        <v>12231812.802828452</v>
      </c>
      <c r="M19" s="538">
        <f>A19+L19</f>
        <v>362641184.18282843</v>
      </c>
      <c r="N19" s="523"/>
      <c r="O19" s="528">
        <f>'Attachment 5 - ADIT'!F20</f>
        <v>327750646.15999979</v>
      </c>
      <c r="Q19" s="528">
        <f>O19-365641220</f>
        <v>-37890573.840000212</v>
      </c>
      <c r="R19" s="736">
        <f>SUM('Attachment 5 - ADIT'!F33:K33)</f>
        <v>-57508487.249999978</v>
      </c>
      <c r="S19" s="544">
        <f>Q19-R19</f>
        <v>19617913.409999765</v>
      </c>
      <c r="T19" s="1096">
        <f>O19-R19-S19</f>
        <v>365641220</v>
      </c>
      <c r="U19" s="663"/>
    </row>
    <row r="20" spans="1:21" ht="15">
      <c r="A20" s="719"/>
      <c r="B20" s="521"/>
      <c r="C20" s="530"/>
      <c r="D20" s="528"/>
      <c r="E20" s="529"/>
      <c r="F20" s="528"/>
      <c r="G20" s="529"/>
      <c r="H20" s="528"/>
      <c r="I20" s="529"/>
      <c r="J20" s="536"/>
      <c r="K20" s="520"/>
      <c r="L20" s="728"/>
      <c r="M20" s="538"/>
      <c r="N20" s="523"/>
      <c r="O20" s="528"/>
      <c r="Q20" s="523"/>
      <c r="R20" s="736"/>
      <c r="S20" s="544"/>
      <c r="T20" s="664"/>
      <c r="U20" s="663"/>
    </row>
    <row r="21" spans="1:21" ht="15">
      <c r="A21" s="719"/>
      <c r="B21" s="521"/>
      <c r="C21" s="530"/>
      <c r="D21" s="528"/>
      <c r="E21" s="529"/>
      <c r="F21" s="528"/>
      <c r="G21" s="529"/>
      <c r="H21" s="528"/>
      <c r="I21" s="529"/>
      <c r="J21" s="536"/>
      <c r="K21" s="520"/>
      <c r="L21" s="728"/>
      <c r="M21" s="538"/>
      <c r="N21" s="523"/>
      <c r="O21" s="528"/>
      <c r="Q21" s="523"/>
      <c r="R21" s="737"/>
      <c r="S21" s="544"/>
      <c r="T21" s="664"/>
      <c r="U21" s="663"/>
    </row>
    <row r="22" spans="1:21" ht="44.45" customHeight="1">
      <c r="A22" s="716" t="s">
        <v>853</v>
      </c>
      <c r="B22" s="521"/>
      <c r="C22" s="726" t="s">
        <v>854</v>
      </c>
      <c r="D22" s="533" t="s">
        <v>855</v>
      </c>
      <c r="E22" s="727" t="s">
        <v>856</v>
      </c>
      <c r="F22" s="533" t="s">
        <v>857</v>
      </c>
      <c r="G22" s="727" t="s">
        <v>858</v>
      </c>
      <c r="H22" s="533" t="s">
        <v>859</v>
      </c>
      <c r="I22" s="727" t="s">
        <v>860</v>
      </c>
      <c r="J22" s="535" t="s">
        <v>861</v>
      </c>
      <c r="K22" s="520"/>
      <c r="L22" s="728"/>
      <c r="M22" s="519"/>
      <c r="N22" s="523"/>
      <c r="O22" s="528"/>
      <c r="Q22" s="523"/>
      <c r="R22" s="736"/>
      <c r="S22" s="544"/>
      <c r="T22" s="664"/>
      <c r="U22" s="663"/>
    </row>
    <row r="23" spans="1:21" ht="15.75" thickBot="1">
      <c r="A23" s="717">
        <f>'Attachment 5 - ADIT'!G19-'Attachment 5 - ADIT'!H38-'Attachment 5 - ADIT'!F38-'Attachment 5 - ADIT'!G38-'Attachment 5 - ADIT'!I38</f>
        <v>37692278.939999998</v>
      </c>
      <c r="B23" s="525"/>
      <c r="C23" s="532">
        <v>-1429100.6072945811</v>
      </c>
      <c r="D23" s="525">
        <f>SUM(A23:C23)</f>
        <v>36263178.332705416</v>
      </c>
      <c r="E23" s="531">
        <v>-1531006.3251100562</v>
      </c>
      <c r="F23" s="525">
        <f>SUM(D23:E23)</f>
        <v>34732172.00759536</v>
      </c>
      <c r="G23" s="531">
        <v>-1379282.6218377906</v>
      </c>
      <c r="H23" s="525">
        <f>SUM(F23:G23)</f>
        <v>33352889.385757569</v>
      </c>
      <c r="I23" s="531">
        <v>-1420179.5179547877</v>
      </c>
      <c r="J23" s="537">
        <f>SUM(H23:I23)</f>
        <v>31932709.86780278</v>
      </c>
      <c r="K23" s="526"/>
      <c r="L23" s="729"/>
      <c r="M23" s="525"/>
      <c r="O23" s="534"/>
      <c r="R23" s="736"/>
      <c r="U23" s="663"/>
    </row>
    <row r="24" spans="1:21" ht="15">
      <c r="A24" s="718"/>
      <c r="B24" s="528"/>
      <c r="C24" s="522"/>
      <c r="D24" s="528"/>
      <c r="E24" s="523"/>
      <c r="F24" s="528"/>
      <c r="G24" s="523"/>
      <c r="H24" s="528"/>
      <c r="I24" s="523"/>
      <c r="J24" s="536"/>
      <c r="K24" s="527"/>
      <c r="L24" s="731"/>
      <c r="M24" s="528"/>
      <c r="R24" s="736"/>
      <c r="U24" s="663"/>
    </row>
    <row r="25" spans="1:21" ht="41.1" customHeight="1">
      <c r="A25" s="716" t="str">
        <f>A22</f>
        <v>Beginning  283 (including adjustments)</v>
      </c>
      <c r="B25" s="528"/>
      <c r="C25" s="530" t="s">
        <v>548</v>
      </c>
      <c r="D25" s="528"/>
      <c r="E25" s="529" t="s">
        <v>549</v>
      </c>
      <c r="F25" s="528"/>
      <c r="G25" s="529" t="s">
        <v>550</v>
      </c>
      <c r="H25" s="528"/>
      <c r="I25" s="529" t="s">
        <v>551</v>
      </c>
      <c r="J25" s="536"/>
      <c r="K25" s="527"/>
      <c r="L25" s="732" t="s">
        <v>552</v>
      </c>
      <c r="M25" s="529" t="s">
        <v>864</v>
      </c>
      <c r="R25" s="736"/>
      <c r="U25" s="663"/>
    </row>
    <row r="26" spans="1:21" ht="15.75" thickBot="1">
      <c r="A26" s="720">
        <f>A23</f>
        <v>37692278.939999998</v>
      </c>
      <c r="B26" s="528"/>
      <c r="C26" s="721">
        <f>(276/365)*C23</f>
        <v>-1080634.9797624778</v>
      </c>
      <c r="D26" s="733"/>
      <c r="E26" s="734">
        <f>(185/365)*E23</f>
        <v>-775989.50724756275</v>
      </c>
      <c r="F26" s="733"/>
      <c r="G26" s="734">
        <f>(93/365)*G23</f>
        <v>-351433.6543312727</v>
      </c>
      <c r="H26" s="733"/>
      <c r="I26" s="734">
        <f>(1/365)*I23</f>
        <v>-3890.9027889172266</v>
      </c>
      <c r="J26" s="722"/>
      <c r="K26" s="527"/>
      <c r="L26" s="732">
        <f>C26+E26+G26+I26</f>
        <v>-2211949.0441302303</v>
      </c>
      <c r="M26" s="529">
        <f>A26+L26</f>
        <v>35480329.895869769</v>
      </c>
      <c r="O26" s="735">
        <f>'Attachment 5 - ADIT'!G20</f>
        <v>32987771</v>
      </c>
      <c r="Q26" s="528">
        <f>O26-11143833</f>
        <v>21843938</v>
      </c>
      <c r="R26" s="736">
        <f>SUM('Attachment 5 - ADIT'!F39:K39)</f>
        <v>25391558.279999997</v>
      </c>
      <c r="S26" s="544">
        <f>Q26-R26</f>
        <v>-3547620.2799999975</v>
      </c>
      <c r="T26" s="1096">
        <f>O26-R26-S26</f>
        <v>11143833</v>
      </c>
      <c r="U26" s="663"/>
    </row>
    <row r="27" spans="1:19" ht="15">
      <c r="A27" s="529"/>
      <c r="B27" s="684"/>
      <c r="C27" s="528"/>
      <c r="D27" s="528"/>
      <c r="E27" s="528"/>
      <c r="F27" s="528"/>
      <c r="G27" s="528"/>
      <c r="H27" s="528"/>
      <c r="I27" s="528"/>
      <c r="J27" s="534"/>
      <c r="K27" s="685"/>
      <c r="L27" s="684"/>
      <c r="M27" s="683"/>
      <c r="O27" s="534"/>
      <c r="S27" s="545"/>
    </row>
    <row r="28" spans="1:17" ht="15.75">
      <c r="A28" s="511"/>
      <c r="M28" s="511"/>
      <c r="O28" s="664"/>
      <c r="Q28" s="666"/>
    </row>
    <row r="29" spans="1:13" ht="15">
      <c r="A29" s="539"/>
      <c r="C29" s="541"/>
      <c r="D29" s="511"/>
      <c r="E29" s="541"/>
      <c r="F29" s="511"/>
      <c r="G29" s="541"/>
      <c r="H29" s="511"/>
      <c r="I29" s="541"/>
      <c r="J29" s="511"/>
      <c r="L29" s="542"/>
      <c r="M29" s="542"/>
    </row>
    <row r="30" spans="1:15" ht="15">
      <c r="A30" s="538"/>
      <c r="B30" s="521"/>
      <c r="C30" s="538"/>
      <c r="D30" s="521"/>
      <c r="E30" s="538"/>
      <c r="F30" s="521"/>
      <c r="G30" s="538"/>
      <c r="H30" s="521"/>
      <c r="I30" s="538"/>
      <c r="J30" s="521"/>
      <c r="K30" s="520"/>
      <c r="L30" s="538"/>
      <c r="M30" s="538"/>
      <c r="N30" s="523"/>
      <c r="O30" s="523"/>
    </row>
    <row r="31" spans="1:15" ht="15">
      <c r="A31" s="521"/>
      <c r="B31" s="521"/>
      <c r="C31" s="520"/>
      <c r="D31" s="520"/>
      <c r="E31" s="520"/>
      <c r="F31" s="520"/>
      <c r="G31" s="520"/>
      <c r="H31" s="520"/>
      <c r="I31" s="520"/>
      <c r="J31" s="520"/>
      <c r="K31" s="520"/>
      <c r="L31" s="520"/>
      <c r="M31" s="521"/>
      <c r="N31" s="523"/>
      <c r="O31" s="523"/>
    </row>
    <row r="32" spans="1:15" ht="15">
      <c r="A32" s="521"/>
      <c r="B32" s="521"/>
      <c r="C32" s="520"/>
      <c r="D32" s="520"/>
      <c r="E32" s="520"/>
      <c r="F32" s="520"/>
      <c r="G32" s="520"/>
      <c r="H32" s="520"/>
      <c r="I32" s="520"/>
      <c r="J32" s="520"/>
      <c r="K32" s="520"/>
      <c r="L32" s="520"/>
      <c r="M32" s="538"/>
      <c r="N32" s="523"/>
      <c r="O32" s="523"/>
    </row>
    <row r="33" spans="1:15" ht="15">
      <c r="A33" s="521"/>
      <c r="B33" s="521"/>
      <c r="C33" s="520"/>
      <c r="D33" s="520"/>
      <c r="E33" s="520"/>
      <c r="F33" s="520"/>
      <c r="G33" s="520"/>
      <c r="H33" s="520"/>
      <c r="I33" s="520"/>
      <c r="J33" s="520"/>
      <c r="K33" s="520"/>
      <c r="L33" s="520"/>
      <c r="M33" s="538"/>
      <c r="N33" s="523"/>
      <c r="O33" s="523"/>
    </row>
    <row r="34" spans="1:15" ht="15">
      <c r="A34" s="521"/>
      <c r="B34" s="521"/>
      <c r="C34" s="520"/>
      <c r="D34" s="520"/>
      <c r="E34" s="520"/>
      <c r="F34" s="520"/>
      <c r="G34" s="520"/>
      <c r="H34" s="520"/>
      <c r="I34" s="520"/>
      <c r="J34" s="520"/>
      <c r="K34" s="520"/>
      <c r="L34" s="520"/>
      <c r="M34" s="521"/>
      <c r="N34" s="523"/>
      <c r="O34" s="523"/>
    </row>
    <row r="35" spans="1:15" ht="15">
      <c r="A35" s="521"/>
      <c r="B35" s="521"/>
      <c r="C35" s="520"/>
      <c r="D35" s="520"/>
      <c r="E35" s="520"/>
      <c r="F35" s="520"/>
      <c r="G35" s="520"/>
      <c r="H35" s="520"/>
      <c r="I35" s="520"/>
      <c r="J35" s="520"/>
      <c r="K35" s="520"/>
      <c r="L35" s="520"/>
      <c r="M35" s="538"/>
      <c r="N35" s="523"/>
      <c r="O35" s="523"/>
    </row>
    <row r="36" spans="1:15" ht="15">
      <c r="A36" s="521"/>
      <c r="B36" s="521"/>
      <c r="C36" s="520"/>
      <c r="D36" s="520"/>
      <c r="E36" s="520"/>
      <c r="F36" s="520"/>
      <c r="G36" s="520"/>
      <c r="H36" s="520"/>
      <c r="I36" s="520"/>
      <c r="J36" s="520"/>
      <c r="K36" s="520"/>
      <c r="L36" s="520"/>
      <c r="M36" s="538"/>
      <c r="N36" s="523"/>
      <c r="O36" s="523"/>
    </row>
    <row r="37" spans="1:1" ht="15">
      <c r="A37" s="511"/>
    </row>
    <row r="38" spans="1:1" ht="15">
      <c r="A38" s="511"/>
    </row>
    <row r="39" spans="1:1" ht="15">
      <c r="A39" s="511"/>
    </row>
    <row r="40" spans="1:1" ht="15">
      <c r="A40" s="511"/>
    </row>
    <row r="41" spans="1:1" ht="15">
      <c r="A41" s="511"/>
    </row>
    <row r="42" spans="1:1" ht="15">
      <c r="A42" s="511"/>
    </row>
    <row r="43" spans="1:1" ht="15">
      <c r="A43" s="511"/>
    </row>
  </sheetData>
  <mergeCells count="2">
    <mergeCell ref="C6:J6"/>
    <mergeCell ref="L6:M6"/>
  </mergeCells>
  <pageMargins left="0.7" right="0.7" top="0.75" bottom="0.75" header="0.3" footer="0.3"/>
  <pageSetup orientation="landscape" scale="69" r:id="rId1"/>
  <colBreaks count="1" manualBreakCount="1">
    <brk id="10" max="3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F182"/>
  <sheetViews>
    <sheetView view="pageBreakPreview" zoomScaleNormal="90" zoomScaleSheetLayoutView="100" workbookViewId="0" topLeftCell="A1"/>
  </sheetViews>
  <sheetFormatPr defaultColWidth="8.88555555555556" defaultRowHeight="15"/>
  <cols>
    <col min="1" max="1" width="2.33333333333333" style="769" customWidth="1"/>
    <col min="2" max="2" width="37.5555555555556" style="770" customWidth="1"/>
    <col min="3" max="3" width="14.4444444444444" style="770" customWidth="1"/>
    <col min="4" max="4" width="11.3333333333333" style="770" bestFit="1" customWidth="1"/>
    <col min="5" max="5" width="11.1111111111111" style="770" customWidth="1"/>
    <col min="6" max="16384" width="8.88888888888889" style="770"/>
  </cols>
  <sheetData>
    <row r="1" spans="5:5" ht="15">
      <c r="E1" s="771" t="s">
        <v>969</v>
      </c>
    </row>
    <row r="2" spans="5:5" ht="15">
      <c r="E2" s="771" t="s">
        <v>970</v>
      </c>
    </row>
    <row r="3" spans="2:5" ht="15">
      <c r="B3" s="772" t="s">
        <v>971</v>
      </c>
      <c r="E3" s="830" t="str">
        <f>'Attachment 1 - Sched 1A'!$J$3</f>
        <v>For the 12 months ended 12/31/2021</v>
      </c>
    </row>
    <row r="4" spans="1:5" ht="15">
      <c r="A4" s="1197"/>
      <c r="B4" s="1197"/>
      <c r="C4" s="1197"/>
      <c r="D4" s="1197"/>
      <c r="E4" s="774"/>
    </row>
    <row r="5" spans="1:5" ht="15">
      <c r="A5" s="775"/>
      <c r="B5" s="776" t="s">
        <v>972</v>
      </c>
      <c r="C5" s="776" t="s">
        <v>973</v>
      </c>
      <c r="D5" s="776" t="s">
        <v>974</v>
      </c>
      <c r="E5" s="776" t="s">
        <v>975</v>
      </c>
    </row>
    <row r="6" spans="1:4" ht="15">
      <c r="A6" s="775"/>
      <c r="B6" s="775"/>
      <c r="C6" s="775"/>
      <c r="D6" s="775"/>
    </row>
    <row r="7" spans="1:5" ht="15" customHeight="1">
      <c r="A7" s="775"/>
      <c r="B7" s="775"/>
      <c r="C7" s="777" t="s">
        <v>976</v>
      </c>
      <c r="D7" s="777" t="s">
        <v>976</v>
      </c>
      <c r="E7" s="772" t="s">
        <v>977</v>
      </c>
    </row>
    <row r="8" spans="1:5" ht="15">
      <c r="A8" s="775"/>
      <c r="B8" s="776"/>
      <c r="C8" s="778" t="s">
        <v>1153</v>
      </c>
      <c r="D8" s="778" t="s">
        <v>1270</v>
      </c>
      <c r="E8" s="779" t="s">
        <v>978</v>
      </c>
    </row>
    <row r="9" spans="1:4" ht="15">
      <c r="A9" s="775"/>
      <c r="B9" s="775"/>
      <c r="C9" s="775"/>
      <c r="D9" s="775"/>
    </row>
    <row r="10" spans="1:4" ht="15">
      <c r="A10" s="780"/>
      <c r="B10" s="775" t="s">
        <v>979</v>
      </c>
      <c r="C10" s="775"/>
      <c r="D10" s="775"/>
    </row>
    <row r="11" spans="1:4" ht="15">
      <c r="A11" s="780"/>
      <c r="B11" s="775"/>
      <c r="C11" s="775"/>
      <c r="D11" s="775"/>
    </row>
    <row r="12" spans="1:5" ht="15">
      <c r="A12" s="780"/>
      <c r="B12" s="789" t="s">
        <v>1225</v>
      </c>
      <c r="C12" s="781">
        <v>2130100</v>
      </c>
      <c r="D12" s="781">
        <v>2030415</v>
      </c>
      <c r="E12" s="782">
        <f>AVERAGE(C12:D12)</f>
        <v>2080257.5</v>
      </c>
    </row>
    <row r="13" spans="1:4" ht="15">
      <c r="A13" s="780"/>
      <c r="B13" s="775"/>
      <c r="C13" s="775"/>
      <c r="D13" s="775"/>
    </row>
    <row r="14" spans="1:4" ht="15.75" thickBot="1">
      <c r="A14" s="780">
        <v>1</v>
      </c>
      <c r="B14" s="775" t="s">
        <v>980</v>
      </c>
      <c r="C14" s="783">
        <f>SUM(C12)</f>
        <v>2130100</v>
      </c>
      <c r="D14" s="783">
        <f>SUM(D12)</f>
        <v>2030415</v>
      </c>
    </row>
    <row r="15" spans="1:4" ht="15.75" thickTop="1">
      <c r="A15" s="780"/>
      <c r="B15" s="775"/>
      <c r="C15" s="784"/>
      <c r="D15" s="784"/>
    </row>
    <row r="16" spans="1:4" ht="15">
      <c r="A16" s="780"/>
      <c r="B16" s="775"/>
      <c r="C16" s="775"/>
      <c r="D16" s="775"/>
    </row>
    <row r="17" spans="1:4" ht="15">
      <c r="A17" s="780"/>
      <c r="B17" s="785" t="s">
        <v>981</v>
      </c>
      <c r="C17" s="786"/>
      <c r="D17" s="786"/>
    </row>
    <row r="18" spans="1:4" ht="15">
      <c r="A18" s="780"/>
      <c r="B18" s="775"/>
      <c r="C18" s="786"/>
      <c r="D18" s="786"/>
    </row>
    <row r="19" spans="1:5" ht="15">
      <c r="A19" s="780"/>
      <c r="B19" s="1147" t="s">
        <v>1232</v>
      </c>
      <c r="C19" s="1136">
        <v>763336.43000000005</v>
      </c>
      <c r="D19" s="1136">
        <v>648744.06000000006</v>
      </c>
      <c r="E19" s="782">
        <f t="shared" si="0" ref="E19:E69">AVERAGE(C19:D19)</f>
        <v>706040.24500000011</v>
      </c>
    </row>
    <row r="20" spans="1:5" ht="15">
      <c r="A20" s="780"/>
      <c r="B20" s="1147" t="s">
        <v>1156</v>
      </c>
      <c r="C20" s="1136">
        <v>286872.72999999998</v>
      </c>
      <c r="D20" s="1136">
        <v>243807.28999999995</v>
      </c>
      <c r="E20" s="782">
        <f t="shared" si="0"/>
        <v>265340.00999999995</v>
      </c>
    </row>
    <row r="21" spans="1:5" ht="15">
      <c r="A21" s="780"/>
      <c r="B21" s="1147" t="s">
        <v>1233</v>
      </c>
      <c r="C21" s="1136">
        <v>10009534.77</v>
      </c>
      <c r="D21" s="1136">
        <v>9756164.290000001</v>
      </c>
      <c r="E21" s="782">
        <f t="shared" si="0"/>
        <v>9882849.5300000012</v>
      </c>
    </row>
    <row r="22" spans="1:5" ht="15">
      <c r="A22" s="780"/>
      <c r="B22" s="1147" t="s">
        <v>1157</v>
      </c>
      <c r="C22" s="1136">
        <v>3847378.5499999998</v>
      </c>
      <c r="D22" s="1136">
        <v>3734970.2899999996</v>
      </c>
      <c r="E22" s="782">
        <f t="shared" si="0"/>
        <v>3791174.4199999999</v>
      </c>
    </row>
    <row r="23" spans="1:5" ht="15">
      <c r="A23" s="780"/>
      <c r="B23" s="1147" t="s">
        <v>1158</v>
      </c>
      <c r="C23" s="1136">
        <v>6639314.2000000002</v>
      </c>
      <c r="D23" s="1136">
        <v>7174139.5700000003</v>
      </c>
      <c r="E23" s="782">
        <f t="shared" si="0"/>
        <v>6906726.8849999998</v>
      </c>
    </row>
    <row r="24" spans="1:5" ht="15">
      <c r="A24" s="780"/>
      <c r="B24" s="1147" t="s">
        <v>1160</v>
      </c>
      <c r="C24" s="1136">
        <v>157734837.84</v>
      </c>
      <c r="D24" s="1136">
        <v>176209340.69999999</v>
      </c>
      <c r="E24" s="782">
        <f t="shared" si="0"/>
        <v>166972089.26999998</v>
      </c>
    </row>
    <row r="25" spans="1:5" ht="15">
      <c r="A25" s="780"/>
      <c r="B25" s="1147" t="s">
        <v>1159</v>
      </c>
      <c r="C25" s="1136">
        <v>3312354</v>
      </c>
      <c r="D25" s="1136">
        <v>3404774.0699999998</v>
      </c>
      <c r="E25" s="782">
        <f t="shared" si="0"/>
        <v>3358564.0350000001</v>
      </c>
    </row>
    <row r="26" spans="1:5" ht="15">
      <c r="A26" s="780"/>
      <c r="B26" s="1147" t="s">
        <v>1234</v>
      </c>
      <c r="C26" s="1136">
        <v>36383953.509999998</v>
      </c>
      <c r="D26" s="1136">
        <v>44931740.689999998</v>
      </c>
      <c r="E26" s="782">
        <f t="shared" si="0"/>
        <v>40657847.099999994</v>
      </c>
    </row>
    <row r="27" spans="1:5" ht="15">
      <c r="A27" s="780"/>
      <c r="B27" s="1147" t="s">
        <v>1194</v>
      </c>
      <c r="C27" s="1136">
        <v>2560478.8399999999</v>
      </c>
      <c r="D27" s="1136">
        <v>2946453.4400000004</v>
      </c>
      <c r="E27" s="782">
        <f t="shared" si="0"/>
        <v>2753466.1400000001</v>
      </c>
    </row>
    <row r="28" spans="1:5" ht="15">
      <c r="A28" s="780"/>
      <c r="B28" s="1147" t="s">
        <v>1235</v>
      </c>
      <c r="C28" s="1136">
        <v>2016596.5</v>
      </c>
      <c r="D28" s="1136">
        <v>2746222.6400000001</v>
      </c>
      <c r="E28" s="782">
        <f t="shared" si="0"/>
        <v>2381409.5700000003</v>
      </c>
    </row>
    <row r="29" spans="1:5" ht="15">
      <c r="A29" s="780"/>
      <c r="B29" s="1147" t="s">
        <v>1236</v>
      </c>
      <c r="C29" s="1136">
        <v>-1085128.6000000001</v>
      </c>
      <c r="D29" s="1136">
        <v>-1573737.7200000002</v>
      </c>
      <c r="E29" s="782">
        <f t="shared" si="0"/>
        <v>-1329433.1600000001</v>
      </c>
    </row>
    <row r="30" spans="1:5" ht="15">
      <c r="A30" s="780"/>
      <c r="B30" s="1147" t="s">
        <v>1237</v>
      </c>
      <c r="C30" s="1136">
        <v>962264.52000000002</v>
      </c>
      <c r="D30" s="1136">
        <v>1107319.2899999998</v>
      </c>
      <c r="E30" s="782">
        <f t="shared" si="0"/>
        <v>1034791.9049999999</v>
      </c>
    </row>
    <row r="31" spans="1:5" ht="15">
      <c r="A31" s="780"/>
      <c r="B31" s="1147" t="s">
        <v>1238</v>
      </c>
      <c r="C31" s="1136">
        <v>757865.77000000002</v>
      </c>
      <c r="D31" s="1136">
        <v>1032069.7</v>
      </c>
      <c r="E31" s="782">
        <f t="shared" si="0"/>
        <v>894967.73499999999</v>
      </c>
    </row>
    <row r="32" spans="1:5" ht="15">
      <c r="A32" s="780"/>
      <c r="B32" s="1147" t="s">
        <v>1239</v>
      </c>
      <c r="C32" s="1136">
        <v>-407806.83000000002</v>
      </c>
      <c r="D32" s="1136">
        <v>-591433.12</v>
      </c>
      <c r="E32" s="782">
        <f t="shared" si="0"/>
        <v>-499619.97499999998</v>
      </c>
    </row>
    <row r="33" spans="1:5" ht="15">
      <c r="A33" s="780"/>
      <c r="B33" s="1147" t="s">
        <v>1164</v>
      </c>
      <c r="C33" s="1136">
        <v>7486102.2400000002</v>
      </c>
      <c r="D33" s="1136">
        <v>7844258.4500000011</v>
      </c>
      <c r="E33" s="782">
        <f t="shared" si="0"/>
        <v>7665180.3450000007</v>
      </c>
    </row>
    <row r="34" spans="1:5" ht="15">
      <c r="A34" s="780"/>
      <c r="B34" s="1147" t="s">
        <v>1240</v>
      </c>
      <c r="C34" s="1136">
        <v>11030200.640000001</v>
      </c>
      <c r="D34" s="1136">
        <v>12305896.49</v>
      </c>
      <c r="E34" s="782">
        <f t="shared" si="0"/>
        <v>11668048.565000001</v>
      </c>
    </row>
    <row r="35" spans="1:5" ht="15">
      <c r="A35" s="780"/>
      <c r="B35" s="1147" t="s">
        <v>1241</v>
      </c>
      <c r="C35" s="1136">
        <v>-7303879.4800000004</v>
      </c>
      <c r="D35" s="1136">
        <v>-7968753.4500000011</v>
      </c>
      <c r="E35" s="782">
        <f t="shared" si="0"/>
        <v>-7636316.4650000008</v>
      </c>
    </row>
    <row r="36" spans="1:5" ht="15">
      <c r="A36" s="780"/>
      <c r="B36" s="1147" t="s">
        <v>1166</v>
      </c>
      <c r="C36" s="1136">
        <v>2813384.1699999999</v>
      </c>
      <c r="D36" s="1136">
        <v>2947984.3899999997</v>
      </c>
      <c r="E36" s="782">
        <f t="shared" si="0"/>
        <v>2880684.2799999998</v>
      </c>
    </row>
    <row r="37" spans="1:5" ht="15">
      <c r="A37" s="780"/>
      <c r="B37" s="1147" t="s">
        <v>1242</v>
      </c>
      <c r="C37" s="1136">
        <v>4145306.98</v>
      </c>
      <c r="D37" s="1136">
        <v>4624731.7000000002</v>
      </c>
      <c r="E37" s="782">
        <f t="shared" si="0"/>
        <v>4385019.3399999999</v>
      </c>
    </row>
    <row r="38" spans="1:5" ht="15">
      <c r="A38" s="780"/>
      <c r="B38" s="1147" t="s">
        <v>1243</v>
      </c>
      <c r="C38" s="1136">
        <v>-2744902.25</v>
      </c>
      <c r="D38" s="1136">
        <v>-2994771.3899999997</v>
      </c>
      <c r="E38" s="782">
        <f t="shared" si="0"/>
        <v>-2869836.8199999998</v>
      </c>
    </row>
    <row r="39" spans="1:5" ht="15">
      <c r="A39" s="780"/>
      <c r="B39" s="1147" t="s">
        <v>1244</v>
      </c>
      <c r="C39" s="1136">
        <v>675.59000000000003</v>
      </c>
      <c r="D39" s="1136">
        <v>626.72000000000003</v>
      </c>
      <c r="E39" s="782">
        <f t="shared" si="0"/>
        <v>651.15499999999997</v>
      </c>
    </row>
    <row r="40" spans="1:5" ht="15">
      <c r="A40" s="780"/>
      <c r="B40" s="1147" t="s">
        <v>1245</v>
      </c>
      <c r="C40" s="1136">
        <v>253.90000000000001</v>
      </c>
      <c r="D40" s="1136">
        <v>235.53</v>
      </c>
      <c r="E40" s="782">
        <f t="shared" si="0"/>
        <v>244.715</v>
      </c>
    </row>
    <row r="41" spans="1:5" ht="15">
      <c r="A41" s="780"/>
      <c r="B41" s="1147" t="s">
        <v>1199</v>
      </c>
      <c r="C41" s="1136">
        <v>4882733</v>
      </c>
      <c r="D41" s="1136">
        <v>6787698.6600000001</v>
      </c>
      <c r="E41" s="782">
        <f t="shared" si="0"/>
        <v>5835215.8300000001</v>
      </c>
    </row>
    <row r="42" spans="1:5" ht="15">
      <c r="A42" s="780"/>
      <c r="B42" s="1147" t="s">
        <v>1168</v>
      </c>
      <c r="C42" s="1136">
        <v>2493693.8799999999</v>
      </c>
      <c r="D42" s="1136">
        <v>2550914.1199999996</v>
      </c>
      <c r="E42" s="782">
        <f t="shared" si="0"/>
        <v>2522304</v>
      </c>
    </row>
    <row r="43" spans="1:5" ht="15">
      <c r="A43" s="780"/>
      <c r="B43" s="1147" t="s">
        <v>1169</v>
      </c>
      <c r="C43" s="1136">
        <v>-336405.44</v>
      </c>
      <c r="D43" s="1136">
        <v>-636776.40999999992</v>
      </c>
      <c r="E43" s="782">
        <f t="shared" si="0"/>
        <v>-486590.92499999993</v>
      </c>
    </row>
    <row r="44" spans="1:5" ht="15">
      <c r="A44" s="780"/>
      <c r="B44" s="1147" t="s">
        <v>1246</v>
      </c>
      <c r="C44" s="1136">
        <v>967321.19999999995</v>
      </c>
      <c r="D44" s="1136">
        <v>818682.45999999996</v>
      </c>
      <c r="E44" s="782">
        <f t="shared" si="0"/>
        <v>893001.82999999996</v>
      </c>
    </row>
    <row r="45" spans="1:5" ht="15">
      <c r="A45" s="780"/>
      <c r="B45" s="1147" t="s">
        <v>1319</v>
      </c>
      <c r="C45" s="1136">
        <v>0</v>
      </c>
      <c r="D45" s="1136">
        <v>1133.4499999999998</v>
      </c>
      <c r="E45" s="782">
        <f t="shared" si="0"/>
        <v>566.72499999999991</v>
      </c>
    </row>
    <row r="46" spans="1:5" ht="15">
      <c r="A46" s="780"/>
      <c r="B46" s="1147" t="s">
        <v>1247</v>
      </c>
      <c r="C46" s="1136">
        <v>2561.0799999999999</v>
      </c>
      <c r="D46" s="1136">
        <v>2490.7699999999995</v>
      </c>
      <c r="E46" s="782">
        <f t="shared" si="0"/>
        <v>2525.9249999999997</v>
      </c>
    </row>
    <row r="47" spans="1:5" ht="15">
      <c r="A47" s="780"/>
      <c r="B47" s="1147" t="s">
        <v>1248</v>
      </c>
      <c r="C47" s="1136">
        <v>962.49000000000001</v>
      </c>
      <c r="D47" s="1136">
        <v>936.07000000000005</v>
      </c>
      <c r="E47" s="782">
        <f t="shared" si="0"/>
        <v>949.27999999999997</v>
      </c>
    </row>
    <row r="48" spans="1:5" ht="15">
      <c r="A48" s="780"/>
      <c r="B48" s="1147" t="s">
        <v>1249</v>
      </c>
      <c r="C48" s="1136">
        <v>-2867.8499999999999</v>
      </c>
      <c r="D48" s="1136">
        <v>-2857.2399999999993</v>
      </c>
      <c r="E48" s="782">
        <f t="shared" si="0"/>
        <v>-2862.5449999999996</v>
      </c>
    </row>
    <row r="49" spans="1:5" ht="15">
      <c r="A49" s="780"/>
      <c r="B49" s="1147" t="s">
        <v>1250</v>
      </c>
      <c r="C49" s="1136">
        <v>-1077.78</v>
      </c>
      <c r="D49" s="1136">
        <v>-1073.79</v>
      </c>
      <c r="E49" s="782">
        <f t="shared" si="0"/>
        <v>-1075.7849999999999</v>
      </c>
    </row>
    <row r="50" spans="1:5" ht="15">
      <c r="A50" s="780"/>
      <c r="B50" s="1147" t="s">
        <v>1251</v>
      </c>
      <c r="C50" s="1136">
        <v>46853.019999999997</v>
      </c>
      <c r="D50" s="1136">
        <v>45174.399999999994</v>
      </c>
      <c r="E50" s="782">
        <f t="shared" si="0"/>
        <v>46013.709999999992</v>
      </c>
    </row>
    <row r="51" spans="1:5" ht="15">
      <c r="A51" s="780"/>
      <c r="B51" s="1147" t="s">
        <v>1252</v>
      </c>
      <c r="C51" s="1136">
        <v>17608.029999999999</v>
      </c>
      <c r="D51" s="1136">
        <v>16977.189999999999</v>
      </c>
      <c r="E51" s="782">
        <f t="shared" si="0"/>
        <v>17292.610000000001</v>
      </c>
    </row>
    <row r="52" spans="1:5" ht="15">
      <c r="A52" s="780"/>
      <c r="B52" s="1147" t="s">
        <v>1209</v>
      </c>
      <c r="C52" s="1136">
        <v>3359325.1400000001</v>
      </c>
      <c r="D52" s="1136">
        <v>3202931.3300000001</v>
      </c>
      <c r="E52" s="782">
        <f t="shared" si="0"/>
        <v>3281128.2350000003</v>
      </c>
    </row>
    <row r="53" spans="1:5" ht="15">
      <c r="A53" s="780"/>
      <c r="B53" s="1147" t="s">
        <v>1177</v>
      </c>
      <c r="C53" s="1136">
        <v>1262482.3799999999</v>
      </c>
      <c r="D53" s="1136">
        <v>1203707.3500000001</v>
      </c>
      <c r="E53" s="782">
        <f t="shared" si="0"/>
        <v>1233094.865</v>
      </c>
    </row>
    <row r="54" spans="1:5" ht="15">
      <c r="A54" s="780"/>
      <c r="B54" s="1147" t="s">
        <v>1179</v>
      </c>
      <c r="C54" s="1136">
        <v>-25618.540000000001</v>
      </c>
      <c r="D54" s="1136">
        <v>-22678.07</v>
      </c>
      <c r="E54" s="782">
        <f t="shared" si="0"/>
        <v>-24148.305</v>
      </c>
    </row>
    <row r="55" spans="1:5" ht="15">
      <c r="A55" s="780"/>
      <c r="B55" s="1147" t="s">
        <v>1211</v>
      </c>
      <c r="C55" s="1136">
        <v>-12118.82</v>
      </c>
      <c r="D55" s="1136">
        <v>-11231.499999999998</v>
      </c>
      <c r="E55" s="782">
        <f t="shared" si="0"/>
        <v>-11675.16</v>
      </c>
    </row>
    <row r="56" spans="1:5" ht="15">
      <c r="A56" s="780"/>
      <c r="B56" s="1147" t="s">
        <v>1180</v>
      </c>
      <c r="C56" s="1136">
        <v>-3757465.21</v>
      </c>
      <c r="D56" s="1136">
        <v>-3627176.04</v>
      </c>
      <c r="E56" s="782">
        <f t="shared" si="0"/>
        <v>-3692320.625</v>
      </c>
    </row>
    <row r="57" spans="1:5" ht="15">
      <c r="A57" s="780"/>
      <c r="B57" s="1147" t="s">
        <v>1213</v>
      </c>
      <c r="C57" s="1136">
        <v>-1412109.1100000001</v>
      </c>
      <c r="D57" s="1136">
        <v>-1363144.5700000001</v>
      </c>
      <c r="E57" s="782">
        <f t="shared" si="0"/>
        <v>-1387626.8400000001</v>
      </c>
    </row>
    <row r="58" spans="1:5" ht="15">
      <c r="A58" s="780"/>
      <c r="B58" s="1147" t="s">
        <v>1181</v>
      </c>
      <c r="C58" s="1136">
        <v>-4771619.7800000003</v>
      </c>
      <c r="D58" s="1136">
        <v>-6225787.2200000007</v>
      </c>
      <c r="E58" s="782">
        <f t="shared" si="0"/>
        <v>-5498703.5</v>
      </c>
    </row>
    <row r="59" spans="1:5" ht="15">
      <c r="A59" s="780"/>
      <c r="B59" s="1147" t="s">
        <v>1214</v>
      </c>
      <c r="C59" s="1136">
        <v>-1779334.74</v>
      </c>
      <c r="D59" s="1136">
        <v>-2325027.02</v>
      </c>
      <c r="E59" s="782">
        <f t="shared" si="0"/>
        <v>-2052180.8799999999</v>
      </c>
    </row>
    <row r="60" spans="1:5" ht="15">
      <c r="A60" s="780"/>
      <c r="B60" s="1147" t="s">
        <v>1182</v>
      </c>
      <c r="C60" s="1136">
        <v>-782290.15000000002</v>
      </c>
      <c r="D60" s="1136">
        <v>-729101.57000000007</v>
      </c>
      <c r="E60" s="782">
        <f t="shared" si="0"/>
        <v>-755695.8600000001</v>
      </c>
    </row>
    <row r="61" spans="1:5" ht="15">
      <c r="A61" s="780"/>
      <c r="B61" s="1147" t="s">
        <v>1215</v>
      </c>
      <c r="C61" s="1136">
        <v>-293995.81</v>
      </c>
      <c r="D61" s="1136">
        <v>-274006.77999999997</v>
      </c>
      <c r="E61" s="782">
        <f>AVERAGE(C61:D61)</f>
        <v>-284001.29499999998</v>
      </c>
    </row>
    <row r="62" spans="1:5" ht="15">
      <c r="A62" s="780"/>
      <c r="B62" s="1147" t="s">
        <v>1253</v>
      </c>
      <c r="C62" s="1136">
        <v>-871126.92000000004</v>
      </c>
      <c r="D62" s="1136">
        <v>0</v>
      </c>
      <c r="E62" s="782">
        <f>AVERAGE(C62:D62)</f>
        <v>-435563.46000000002</v>
      </c>
    </row>
    <row r="63" spans="1:5" ht="15">
      <c r="A63" s="780"/>
      <c r="B63" s="1147" t="s">
        <v>1254</v>
      </c>
      <c r="C63" s="1136">
        <v>-26804.639999999999</v>
      </c>
      <c r="D63" s="1136">
        <v>1.8189894035458565E-12</v>
      </c>
      <c r="E63" s="782">
        <f t="shared" si="0"/>
        <v>-13402.32</v>
      </c>
    </row>
    <row r="64" spans="1:5" ht="15.6" customHeight="1">
      <c r="A64" s="780"/>
      <c r="B64" s="1147" t="s">
        <v>1320</v>
      </c>
      <c r="C64" s="1136">
        <v>0</v>
      </c>
      <c r="D64" s="1136">
        <v>-5929.3599999999997</v>
      </c>
      <c r="E64" s="782">
        <f t="shared" si="0"/>
        <v>-2964.6799999999998</v>
      </c>
    </row>
    <row r="65" spans="1:5" ht="15.6" customHeight="1">
      <c r="A65" s="780"/>
      <c r="B65" s="1147" t="s">
        <v>1321</v>
      </c>
      <c r="C65" s="1136">
        <v>0</v>
      </c>
      <c r="D65" s="1136">
        <v>-2228.3400000000006</v>
      </c>
      <c r="E65" s="782">
        <f t="shared" si="0"/>
        <v>-1114.1700000000003</v>
      </c>
    </row>
    <row r="66" spans="1:5" ht="15">
      <c r="A66" s="780"/>
      <c r="B66" s="1147" t="s">
        <v>1255</v>
      </c>
      <c r="C66" s="1136">
        <v>10284.719999999999</v>
      </c>
      <c r="D66" s="1136">
        <v>10284.719999999999</v>
      </c>
      <c r="E66" s="782">
        <f t="shared" si="0"/>
        <v>10284.719999999999</v>
      </c>
    </row>
    <row r="67" spans="1:5" ht="15">
      <c r="A67" s="780"/>
      <c r="B67" s="1147" t="s">
        <v>1221</v>
      </c>
      <c r="C67" s="1136">
        <v>35471027.600000001</v>
      </c>
      <c r="D67" s="1136">
        <v>42213050.970000006</v>
      </c>
      <c r="E67" s="782">
        <f t="shared" si="0"/>
        <v>38842039.285000004</v>
      </c>
    </row>
    <row r="68" spans="1:5" ht="15">
      <c r="A68" s="780"/>
      <c r="B68" s="1147" t="s">
        <v>1222</v>
      </c>
      <c r="C68" s="1136">
        <v>34382765.340000004</v>
      </c>
      <c r="D68" s="1136">
        <v>42138395.880000003</v>
      </c>
      <c r="E68" s="782">
        <f t="shared" si="0"/>
        <v>38260580.609999999</v>
      </c>
    </row>
    <row r="69" spans="1:5" ht="15">
      <c r="A69" s="780"/>
      <c r="B69" s="1147" t="s">
        <v>1188</v>
      </c>
      <c r="C69" s="1136">
        <v>-32082760.68</v>
      </c>
      <c r="D69" s="1136">
        <v>-40243331.139999993</v>
      </c>
      <c r="E69" s="782">
        <f t="shared" si="0"/>
        <v>-36163045.909999996</v>
      </c>
    </row>
    <row r="70" spans="1:5" ht="15">
      <c r="A70" s="780"/>
      <c r="B70" s="1147" t="s">
        <v>1256</v>
      </c>
      <c r="C70" s="1136">
        <v>-890592.10999999999</v>
      </c>
      <c r="D70" s="1136">
        <v>-891905.42999999993</v>
      </c>
      <c r="E70" s="782">
        <f>AVERAGE(C70:D70)</f>
        <v>-891248.77000000002</v>
      </c>
    </row>
    <row r="71" spans="1:5" ht="15">
      <c r="A71" s="780"/>
      <c r="B71" s="1147" t="s">
        <v>1189</v>
      </c>
      <c r="C71" s="1136">
        <v>13312985.84</v>
      </c>
      <c r="D71" s="1136">
        <v>15877547.239999996</v>
      </c>
      <c r="E71" s="782">
        <f t="shared" si="1" ref="E71:E73">AVERAGE(C71:D71)</f>
        <v>14595266.539999999</v>
      </c>
    </row>
    <row r="72" spans="1:5" ht="15">
      <c r="A72" s="780"/>
      <c r="B72" s="1147" t="s">
        <v>1223</v>
      </c>
      <c r="C72" s="1136">
        <v>12921534.390000001</v>
      </c>
      <c r="D72" s="1136">
        <v>15836211.149999999</v>
      </c>
      <c r="E72" s="782">
        <f t="shared" si="1"/>
        <v>14378872.77</v>
      </c>
    </row>
    <row r="73" spans="1:5" ht="15">
      <c r="A73" s="780"/>
      <c r="B73" s="1147" t="s">
        <v>1190</v>
      </c>
      <c r="C73" s="1136">
        <v>-12057159.789999999</v>
      </c>
      <c r="D73" s="1136">
        <v>-15124018.75</v>
      </c>
      <c r="E73" s="782">
        <f t="shared" si="1"/>
        <v>-13590589.27</v>
      </c>
    </row>
    <row r="74" spans="1:4" ht="15">
      <c r="A74" s="780"/>
      <c r="B74" s="775"/>
      <c r="C74" s="787"/>
      <c r="D74" s="787"/>
    </row>
    <row r="75" spans="1:4" ht="15.75" thickBot="1">
      <c r="A75" s="780">
        <v>2</v>
      </c>
      <c r="B75" s="788" t="s">
        <v>983</v>
      </c>
      <c r="C75" s="783">
        <f>SUM(C19:C73)</f>
        <v>289237784.75999993</v>
      </c>
      <c r="D75" s="783">
        <f>SUM(D19:D73)</f>
        <v>327750646.15999979</v>
      </c>
    </row>
    <row r="76" spans="1:4" ht="15.75" thickTop="1">
      <c r="A76" s="780"/>
      <c r="B76" s="775"/>
      <c r="C76" s="786"/>
      <c r="D76" s="786"/>
    </row>
    <row r="77" spans="1:5" ht="15">
      <c r="A77" s="780"/>
      <c r="B77" s="775"/>
      <c r="C77" s="786"/>
      <c r="D77" s="786"/>
      <c r="E77" s="771" t="s">
        <v>969</v>
      </c>
    </row>
    <row r="78" spans="1:5" ht="15">
      <c r="A78" s="780"/>
      <c r="B78" s="775"/>
      <c r="C78" s="786"/>
      <c r="D78" s="786"/>
      <c r="E78" s="771" t="s">
        <v>984</v>
      </c>
    </row>
    <row r="79" spans="1:5" ht="15">
      <c r="A79" s="780"/>
      <c r="B79" s="772" t="s">
        <v>971</v>
      </c>
      <c r="C79" s="786"/>
      <c r="D79" s="786"/>
      <c r="E79" s="773" t="str">
        <f>E3</f>
        <v>For the 12 months ended 12/31/2021</v>
      </c>
    </row>
    <row r="80" spans="1:5" ht="15">
      <c r="A80" s="780"/>
      <c r="B80" s="772"/>
      <c r="C80" s="786"/>
      <c r="D80" s="786"/>
      <c r="E80" s="773"/>
    </row>
    <row r="81" spans="1:5" ht="15">
      <c r="A81" s="780"/>
      <c r="B81" s="776" t="s">
        <v>972</v>
      </c>
      <c r="C81" s="776" t="s">
        <v>973</v>
      </c>
      <c r="D81" s="776" t="s">
        <v>974</v>
      </c>
      <c r="E81" s="776" t="s">
        <v>975</v>
      </c>
    </row>
    <row r="82" spans="1:4" ht="15">
      <c r="A82" s="780"/>
      <c r="B82" s="775"/>
      <c r="C82" s="775"/>
      <c r="D82" s="775"/>
    </row>
    <row r="83" spans="1:5" ht="15">
      <c r="A83" s="780"/>
      <c r="B83" s="775"/>
      <c r="C83" s="777" t="s">
        <v>976</v>
      </c>
      <c r="D83" s="777" t="s">
        <v>976</v>
      </c>
      <c r="E83" s="772" t="s">
        <v>977</v>
      </c>
    </row>
    <row r="84" spans="1:5" ht="15">
      <c r="A84" s="780"/>
      <c r="B84" s="776"/>
      <c r="C84" s="778" t="s">
        <v>1153</v>
      </c>
      <c r="D84" s="778" t="s">
        <v>1270</v>
      </c>
      <c r="E84" s="779" t="s">
        <v>978</v>
      </c>
    </row>
    <row r="85" spans="1:4" ht="15">
      <c r="A85" s="780"/>
      <c r="B85" s="785"/>
      <c r="C85" s="786"/>
      <c r="D85" s="786"/>
    </row>
    <row r="86" spans="1:4" ht="15">
      <c r="A86" s="780"/>
      <c r="B86" s="788" t="s">
        <v>985</v>
      </c>
      <c r="C86" s="786"/>
      <c r="D86" s="786"/>
    </row>
    <row r="87" spans="1:4" ht="15">
      <c r="A87" s="780"/>
      <c r="B87" s="788"/>
      <c r="C87" s="786"/>
      <c r="D87" s="786"/>
    </row>
    <row r="88" spans="1:5" ht="15">
      <c r="A88" s="780"/>
      <c r="B88" s="1137" t="s">
        <v>1156</v>
      </c>
      <c r="C88" s="781">
        <v>20656</v>
      </c>
      <c r="D88" s="781">
        <v>17555</v>
      </c>
      <c r="E88" s="782">
        <f>AVERAGE(C88:D88)</f>
        <v>19105.5</v>
      </c>
    </row>
    <row r="89" spans="1:5" ht="15">
      <c r="A89" s="780"/>
      <c r="B89" s="1137" t="s">
        <v>1157</v>
      </c>
      <c r="C89" s="781">
        <v>283376</v>
      </c>
      <c r="D89" s="781">
        <v>275129</v>
      </c>
      <c r="E89" s="782">
        <f t="shared" si="2" ref="E89:E128">AVERAGE(C89:D89)</f>
        <v>279252.5</v>
      </c>
    </row>
    <row r="90" spans="1:5" ht="15">
      <c r="A90" s="780"/>
      <c r="B90" s="1137" t="s">
        <v>1158</v>
      </c>
      <c r="C90" s="781">
        <v>2697643</v>
      </c>
      <c r="D90" s="781">
        <v>2914950</v>
      </c>
      <c r="E90" s="782">
        <f t="shared" si="2"/>
        <v>2806296.5</v>
      </c>
    </row>
    <row r="91" spans="1:5" ht="15">
      <c r="A91" s="780"/>
      <c r="B91" s="1137" t="s">
        <v>1159</v>
      </c>
      <c r="C91" s="781">
        <v>1345854</v>
      </c>
      <c r="D91" s="781">
        <v>1383406</v>
      </c>
      <c r="E91" s="782">
        <f t="shared" si="2"/>
        <v>1364630</v>
      </c>
    </row>
    <row r="92" spans="1:5" ht="15">
      <c r="A92" s="780"/>
      <c r="B92" s="1137" t="s">
        <v>1234</v>
      </c>
      <c r="C92" s="781">
        <v>1439120</v>
      </c>
      <c r="D92" s="781">
        <v>1427713</v>
      </c>
      <c r="E92" s="782">
        <f t="shared" si="2"/>
        <v>1433416.5</v>
      </c>
    </row>
    <row r="93" spans="1:5" ht="15">
      <c r="A93" s="780"/>
      <c r="B93" s="1137" t="s">
        <v>1161</v>
      </c>
      <c r="C93" s="781">
        <v>18474</v>
      </c>
      <c r="D93" s="781">
        <v>18474</v>
      </c>
      <c r="E93" s="782">
        <f t="shared" si="2"/>
        <v>18474</v>
      </c>
    </row>
    <row r="94" spans="1:5" ht="15">
      <c r="A94" s="780"/>
      <c r="B94" s="1137" t="s">
        <v>1162</v>
      </c>
      <c r="C94" s="781">
        <v>42639</v>
      </c>
      <c r="D94" s="781">
        <v>41033</v>
      </c>
      <c r="E94" s="782">
        <f t="shared" si="2"/>
        <v>41836</v>
      </c>
    </row>
    <row r="95" spans="1:5" ht="15">
      <c r="A95" s="780"/>
      <c r="B95" s="1137" t="s">
        <v>1193</v>
      </c>
      <c r="C95" s="781">
        <v>8849</v>
      </c>
      <c r="D95" s="781">
        <v>8849</v>
      </c>
      <c r="E95" s="782">
        <f t="shared" si="2"/>
        <v>8849</v>
      </c>
    </row>
    <row r="96" spans="1:5" ht="15">
      <c r="A96" s="780"/>
      <c r="B96" s="1137" t="s">
        <v>1164</v>
      </c>
      <c r="C96" s="781">
        <v>3041704</v>
      </c>
      <c r="D96" s="781">
        <v>3187228</v>
      </c>
      <c r="E96" s="782">
        <f t="shared" si="2"/>
        <v>3114466</v>
      </c>
    </row>
    <row r="97" spans="1:5" ht="15">
      <c r="A97" s="780"/>
      <c r="B97" s="1137" t="s">
        <v>1165</v>
      </c>
      <c r="C97" s="781">
        <v>4481719</v>
      </c>
      <c r="D97" s="781">
        <v>5000052</v>
      </c>
      <c r="E97" s="782">
        <f t="shared" si="2"/>
        <v>4740885.5</v>
      </c>
    </row>
    <row r="98" spans="1:5" ht="15">
      <c r="A98" s="780"/>
      <c r="B98" s="1137" t="s">
        <v>1166</v>
      </c>
      <c r="C98" s="781">
        <v>1143116</v>
      </c>
      <c r="D98" s="781">
        <v>1197806</v>
      </c>
      <c r="E98" s="782">
        <f t="shared" si="2"/>
        <v>1170461</v>
      </c>
    </row>
    <row r="99" spans="1:5" ht="15">
      <c r="A99" s="780"/>
      <c r="B99" s="1137" t="s">
        <v>1167</v>
      </c>
      <c r="C99" s="781">
        <v>1684294</v>
      </c>
      <c r="D99" s="781">
        <v>1879091</v>
      </c>
      <c r="E99" s="782">
        <f t="shared" si="2"/>
        <v>1781692.5</v>
      </c>
    </row>
    <row r="100" spans="1:5" ht="15">
      <c r="A100" s="780"/>
      <c r="B100" s="1137" t="s">
        <v>1168</v>
      </c>
      <c r="C100" s="781">
        <v>145623</v>
      </c>
      <c r="D100" s="781">
        <v>139634</v>
      </c>
      <c r="E100" s="782">
        <f>AVERAGE(C100:D100)</f>
        <v>142628.5</v>
      </c>
    </row>
    <row r="101" spans="1:5" ht="15">
      <c r="A101" s="780"/>
      <c r="B101" s="1137" t="s">
        <v>1169</v>
      </c>
      <c r="C101" s="781">
        <v>101272</v>
      </c>
      <c r="D101" s="781">
        <v>178330</v>
      </c>
      <c r="E101" s="782">
        <f>AVERAGE(C101:D101)</f>
        <v>139801</v>
      </c>
    </row>
    <row r="102" spans="1:5" ht="15">
      <c r="A102" s="780"/>
      <c r="B102" s="1137" t="s">
        <v>1170</v>
      </c>
      <c r="C102" s="781">
        <v>68848</v>
      </c>
      <c r="D102" s="781">
        <v>58559</v>
      </c>
      <c r="E102" s="782">
        <f t="shared" si="2"/>
        <v>63703.5</v>
      </c>
    </row>
    <row r="103" spans="1:5" ht="15">
      <c r="A103" s="780"/>
      <c r="B103" s="1137" t="s">
        <v>1171</v>
      </c>
      <c r="C103" s="781">
        <v>1349915</v>
      </c>
      <c r="D103" s="781">
        <v>1568916</v>
      </c>
      <c r="E103" s="782">
        <f t="shared" si="2"/>
        <v>1459415.5</v>
      </c>
    </row>
    <row r="104" spans="1:5" ht="15">
      <c r="A104" s="780"/>
      <c r="B104" s="1137" t="s">
        <v>1172</v>
      </c>
      <c r="C104" s="781">
        <v>640561</v>
      </c>
      <c r="D104" s="781">
        <v>722865</v>
      </c>
      <c r="E104" s="782">
        <f t="shared" si="2"/>
        <v>681713</v>
      </c>
    </row>
    <row r="105" spans="1:5" ht="15">
      <c r="A105" s="780"/>
      <c r="B105" s="1137" t="s">
        <v>1173</v>
      </c>
      <c r="C105" s="781">
        <v>56339</v>
      </c>
      <c r="D105" s="781">
        <v>87802</v>
      </c>
      <c r="E105" s="782">
        <f t="shared" si="2"/>
        <v>72070.5</v>
      </c>
    </row>
    <row r="106" spans="1:5" ht="15">
      <c r="A106" s="780"/>
      <c r="B106" s="1137" t="s">
        <v>1317</v>
      </c>
      <c r="C106" s="781">
        <v>150064</v>
      </c>
      <c r="D106" s="781">
        <v>146208</v>
      </c>
      <c r="E106" s="782">
        <f t="shared" si="2"/>
        <v>148136</v>
      </c>
    </row>
    <row r="107" spans="1:5" ht="15">
      <c r="A107" s="780"/>
      <c r="B107" s="1137" t="s">
        <v>1174</v>
      </c>
      <c r="C107" s="781">
        <v>71</v>
      </c>
      <c r="D107" s="781">
        <v>69</v>
      </c>
      <c r="E107" s="782">
        <f t="shared" si="2"/>
        <v>70</v>
      </c>
    </row>
    <row r="108" spans="1:5" ht="15">
      <c r="A108" s="780"/>
      <c r="B108" s="1137" t="s">
        <v>1175</v>
      </c>
      <c r="C108" s="781">
        <v>777</v>
      </c>
      <c r="D108" s="781">
        <v>774</v>
      </c>
      <c r="E108" s="782">
        <f t="shared" si="2"/>
        <v>775.5</v>
      </c>
    </row>
    <row r="109" spans="1:5" ht="15">
      <c r="A109" s="780"/>
      <c r="B109" s="1137" t="s">
        <v>1176</v>
      </c>
      <c r="C109" s="781">
        <v>1276</v>
      </c>
      <c r="D109" s="781">
        <v>1231</v>
      </c>
      <c r="E109" s="782">
        <f t="shared" si="2"/>
        <v>1253.5</v>
      </c>
    </row>
    <row r="110" spans="1:5" ht="15">
      <c r="A110" s="780"/>
      <c r="B110" s="1137" t="s">
        <v>1312</v>
      </c>
      <c r="C110" s="781">
        <v>0</v>
      </c>
      <c r="D110" s="781">
        <v>90162</v>
      </c>
      <c r="E110" s="782">
        <f t="shared" si="2"/>
        <v>45081</v>
      </c>
    </row>
    <row r="111" spans="1:5" ht="15">
      <c r="A111" s="780"/>
      <c r="B111" s="1137" t="s">
        <v>1177</v>
      </c>
      <c r="C111" s="781">
        <v>90929</v>
      </c>
      <c r="D111" s="781">
        <v>86700</v>
      </c>
      <c r="E111" s="782">
        <f t="shared" si="2"/>
        <v>88814.5</v>
      </c>
    </row>
    <row r="112" spans="1:5" ht="15">
      <c r="A112" s="780"/>
      <c r="B112" s="1137" t="s">
        <v>1178</v>
      </c>
      <c r="C112" s="781">
        <v>2305489</v>
      </c>
      <c r="D112" s="781">
        <v>2316704</v>
      </c>
      <c r="E112" s="782">
        <f t="shared" si="2"/>
        <v>2311096.5</v>
      </c>
    </row>
    <row r="113" spans="1:5" ht="15">
      <c r="A113" s="780"/>
      <c r="B113" s="1137" t="s">
        <v>1179</v>
      </c>
      <c r="C113" s="781">
        <v>6940</v>
      </c>
      <c r="D113" s="781">
        <v>6143</v>
      </c>
      <c r="E113" s="782">
        <f t="shared" si="2"/>
        <v>6541.5</v>
      </c>
    </row>
    <row r="114" spans="1:5" ht="15">
      <c r="A114" s="780"/>
      <c r="B114" s="1137" t="s">
        <v>1180</v>
      </c>
      <c r="C114" s="781">
        <v>1017806</v>
      </c>
      <c r="D114" s="781">
        <v>982514</v>
      </c>
      <c r="E114" s="782">
        <f t="shared" si="2"/>
        <v>1000160</v>
      </c>
    </row>
    <row r="115" spans="1:5" ht="15">
      <c r="A115" s="780"/>
      <c r="B115" s="1137" t="s">
        <v>1181</v>
      </c>
      <c r="C115" s="781">
        <v>1036791</v>
      </c>
      <c r="D115" s="781">
        <v>1063060</v>
      </c>
      <c r="E115" s="782">
        <f t="shared" si="2"/>
        <v>1049925.5</v>
      </c>
    </row>
    <row r="116" spans="1:5" ht="15">
      <c r="A116" s="780"/>
      <c r="B116" s="1137" t="s">
        <v>1313</v>
      </c>
      <c r="C116" s="781">
        <v>0</v>
      </c>
      <c r="D116" s="781">
        <v>178286</v>
      </c>
      <c r="E116" s="782">
        <f t="shared" si="2"/>
        <v>89143</v>
      </c>
    </row>
    <row r="117" spans="1:5" ht="15">
      <c r="A117" s="780"/>
      <c r="B117" s="1137" t="s">
        <v>1182</v>
      </c>
      <c r="C117" s="781">
        <v>211903</v>
      </c>
      <c r="D117" s="781">
        <v>197496</v>
      </c>
      <c r="E117" s="782">
        <f t="shared" si="2"/>
        <v>204699.5</v>
      </c>
    </row>
    <row r="118" spans="1:5" ht="15">
      <c r="A118" s="780"/>
      <c r="B118" s="1137" t="s">
        <v>1183</v>
      </c>
      <c r="C118" s="781">
        <v>30136957</v>
      </c>
      <c r="D118" s="781">
        <v>0</v>
      </c>
      <c r="E118" s="782">
        <f t="shared" si="2"/>
        <v>15068478.5</v>
      </c>
    </row>
    <row r="119" spans="1:5" ht="15">
      <c r="A119" s="780"/>
      <c r="B119" s="1137" t="s">
        <v>1314</v>
      </c>
      <c r="C119" s="781">
        <v>0</v>
      </c>
      <c r="D119" s="781">
        <v>13402</v>
      </c>
      <c r="E119" s="782">
        <f t="shared" si="2"/>
        <v>6701</v>
      </c>
    </row>
    <row r="120" spans="1:5" ht="15">
      <c r="A120" s="780"/>
      <c r="B120" s="1137" t="s">
        <v>1184</v>
      </c>
      <c r="C120" s="781">
        <v>665993</v>
      </c>
      <c r="D120" s="781">
        <v>146918</v>
      </c>
      <c r="E120" s="782">
        <f t="shared" si="2"/>
        <v>406455.5</v>
      </c>
    </row>
    <row r="121" spans="1:5" ht="15">
      <c r="A121" s="780"/>
      <c r="B121" s="1137" t="s">
        <v>1185</v>
      </c>
      <c r="C121" s="781">
        <v>0</v>
      </c>
      <c r="D121" s="781">
        <v>0</v>
      </c>
      <c r="E121" s="782">
        <f t="shared" si="2"/>
        <v>0</v>
      </c>
    </row>
    <row r="122" spans="1:5" ht="15">
      <c r="A122" s="780"/>
      <c r="B122" s="1137" t="s">
        <v>1186</v>
      </c>
      <c r="C122" s="781">
        <v>2379266</v>
      </c>
      <c r="D122" s="781">
        <v>3366881</v>
      </c>
      <c r="E122" s="782">
        <f t="shared" si="2"/>
        <v>2873073.5</v>
      </c>
    </row>
    <row r="123" spans="1:5" ht="15">
      <c r="A123" s="780"/>
      <c r="B123" s="1137" t="s">
        <v>1187</v>
      </c>
      <c r="C123" s="781">
        <v>905832</v>
      </c>
      <c r="D123" s="781">
        <v>1276991</v>
      </c>
      <c r="E123" s="782">
        <f t="shared" si="2"/>
        <v>1091411.5</v>
      </c>
    </row>
    <row r="124" spans="1:5" ht="15">
      <c r="A124" s="780"/>
      <c r="B124" s="1137" t="s">
        <v>1188</v>
      </c>
      <c r="C124" s="781">
        <v>2359623</v>
      </c>
      <c r="D124" s="781">
        <v>2359623</v>
      </c>
      <c r="E124" s="782">
        <f t="shared" si="2"/>
        <v>2359623</v>
      </c>
    </row>
    <row r="125" spans="1:5" ht="15">
      <c r="A125" s="780"/>
      <c r="B125" s="1137" t="s">
        <v>1189</v>
      </c>
      <c r="C125" s="781">
        <v>342308</v>
      </c>
      <c r="D125" s="781">
        <v>329100</v>
      </c>
      <c r="E125" s="782">
        <f t="shared" si="2"/>
        <v>335704</v>
      </c>
    </row>
    <row r="126" spans="1:5" ht="15">
      <c r="A126" s="780"/>
      <c r="B126" s="1137" t="s">
        <v>1223</v>
      </c>
      <c r="C126" s="781">
        <v>318117</v>
      </c>
      <c r="D126" s="781">
        <v>318117</v>
      </c>
      <c r="E126" s="782">
        <f>AVERAGE(C126:D126)</f>
        <v>318117</v>
      </c>
    </row>
    <row r="127" spans="1:5" ht="15">
      <c r="A127" s="780"/>
      <c r="B127" s="1137" t="s">
        <v>1191</v>
      </c>
      <c r="C127" s="781">
        <v>685170</v>
      </c>
      <c r="D127" s="781">
        <v>0</v>
      </c>
      <c r="E127" s="782">
        <f t="shared" si="2"/>
        <v>342585</v>
      </c>
    </row>
    <row r="128" spans="1:5" ht="15">
      <c r="A128" s="780"/>
      <c r="B128" s="1137" t="s">
        <v>1192</v>
      </c>
      <c r="C128" s="781">
        <v>330748</v>
      </c>
      <c r="D128" s="781">
        <v>0</v>
      </c>
      <c r="E128" s="782">
        <f t="shared" si="2"/>
        <v>165374</v>
      </c>
    </row>
    <row r="129" spans="1:4" ht="15">
      <c r="A129" s="780"/>
      <c r="B129" s="775"/>
      <c r="C129" s="786"/>
      <c r="D129" s="786"/>
    </row>
    <row r="130" spans="1:5" ht="15.75" thickBot="1">
      <c r="A130" s="780">
        <v>3</v>
      </c>
      <c r="B130" s="788" t="s">
        <v>986</v>
      </c>
      <c r="C130" s="783">
        <f>SUM(C88:C128)</f>
        <v>61516062</v>
      </c>
      <c r="D130" s="783">
        <f>SUM(D88:D128)</f>
        <v>32987771</v>
      </c>
      <c r="E130" s="782"/>
    </row>
    <row r="131" ht="15.75" thickTop="1"/>
    <row r="132" spans="5:5" ht="15">
      <c r="E132" s="771" t="s">
        <v>969</v>
      </c>
    </row>
    <row r="133" spans="5:5" ht="15">
      <c r="E133" s="771" t="s">
        <v>987</v>
      </c>
    </row>
    <row r="134" spans="2:5" ht="15">
      <c r="B134" s="772" t="s">
        <v>971</v>
      </c>
      <c r="E134" s="773" t="str">
        <f>E79</f>
        <v>For the 12 months ended 12/31/2021</v>
      </c>
    </row>
    <row r="135" spans="5:5" ht="15">
      <c r="E135" s="773"/>
    </row>
    <row r="136" spans="1:5" ht="15">
      <c r="A136" s="775"/>
      <c r="B136" s="776" t="s">
        <v>972</v>
      </c>
      <c r="C136" s="790" t="s">
        <v>973</v>
      </c>
      <c r="D136" s="790" t="s">
        <v>974</v>
      </c>
      <c r="E136" s="776" t="s">
        <v>975</v>
      </c>
    </row>
    <row r="137" spans="1:5" ht="15">
      <c r="A137" s="775"/>
      <c r="B137" s="775"/>
      <c r="C137" s="791"/>
      <c r="D137" s="791"/>
      <c r="E137" s="792"/>
    </row>
    <row r="138" spans="1:5" ht="15">
      <c r="A138" s="775"/>
      <c r="B138" s="775"/>
      <c r="C138" s="793" t="s">
        <v>976</v>
      </c>
      <c r="D138" s="793" t="s">
        <v>976</v>
      </c>
      <c r="E138" s="770" t="s">
        <v>977</v>
      </c>
    </row>
    <row r="139" spans="1:5" ht="15">
      <c r="A139" s="775"/>
      <c r="B139" s="776"/>
      <c r="C139" s="778" t="s">
        <v>1153</v>
      </c>
      <c r="D139" s="778" t="s">
        <v>1270</v>
      </c>
      <c r="E139" s="770" t="s">
        <v>978</v>
      </c>
    </row>
    <row r="140" spans="1:4" ht="15">
      <c r="A140" s="775"/>
      <c r="B140" s="775"/>
      <c r="C140" s="791"/>
      <c r="D140" s="791"/>
    </row>
    <row r="141" spans="1:4" ht="15">
      <c r="A141" s="780"/>
      <c r="B141" s="794" t="s">
        <v>988</v>
      </c>
      <c r="C141" s="795"/>
      <c r="D141" s="795"/>
    </row>
    <row r="142" spans="1:6" ht="15">
      <c r="A142" s="780"/>
      <c r="B142" s="789" t="s">
        <v>1156</v>
      </c>
      <c r="C142" s="781">
        <v>206769</v>
      </c>
      <c r="D142" s="781">
        <v>175729</v>
      </c>
      <c r="E142" s="782">
        <f>AVERAGE(C142:D142)</f>
        <v>191249</v>
      </c>
      <c r="F142" s="782"/>
    </row>
    <row r="143" spans="1:6" ht="15">
      <c r="A143" s="780"/>
      <c r="B143" s="789" t="s">
        <v>1157</v>
      </c>
      <c r="C143" s="781">
        <v>2711339</v>
      </c>
      <c r="D143" s="781">
        <v>2642708</v>
      </c>
      <c r="E143" s="782">
        <f t="shared" si="3" ref="E143:E180">AVERAGE(C143:D143)</f>
        <v>2677023.5</v>
      </c>
      <c r="F143" s="782"/>
    </row>
    <row r="144" spans="1:6" ht="15">
      <c r="A144" s="780"/>
      <c r="B144" s="789" t="s">
        <v>1160</v>
      </c>
      <c r="C144" s="781">
        <v>26370422</v>
      </c>
      <c r="D144" s="781">
        <v>26165987</v>
      </c>
      <c r="E144" s="782">
        <f t="shared" si="3"/>
        <v>26268204.5</v>
      </c>
      <c r="F144" s="782"/>
    </row>
    <row r="145" spans="1:6" ht="15">
      <c r="A145" s="780"/>
      <c r="B145" s="796" t="s">
        <v>1194</v>
      </c>
      <c r="C145" s="781">
        <v>425486</v>
      </c>
      <c r="D145" s="781">
        <v>409450</v>
      </c>
      <c r="E145" s="782">
        <f t="shared" si="3"/>
        <v>417468</v>
      </c>
      <c r="F145" s="782"/>
    </row>
    <row r="146" spans="1:6" ht="15">
      <c r="A146" s="780"/>
      <c r="B146" s="789" t="s">
        <v>1163</v>
      </c>
      <c r="C146" s="781">
        <v>88579</v>
      </c>
      <c r="D146" s="781">
        <v>88579</v>
      </c>
      <c r="E146" s="782">
        <f t="shared" si="3"/>
        <v>88579</v>
      </c>
      <c r="F146" s="782"/>
    </row>
    <row r="147" spans="1:6" ht="15">
      <c r="A147" s="780"/>
      <c r="B147" s="789" t="s">
        <v>1195</v>
      </c>
      <c r="C147" s="781">
        <v>1846</v>
      </c>
      <c r="D147" s="781">
        <v>1846</v>
      </c>
      <c r="E147" s="782">
        <f t="shared" si="3"/>
        <v>1846</v>
      </c>
      <c r="F147" s="782"/>
    </row>
    <row r="148" spans="1:6" ht="15">
      <c r="A148" s="780"/>
      <c r="B148" s="789" t="s">
        <v>1196</v>
      </c>
      <c r="C148" s="781">
        <v>2967665</v>
      </c>
      <c r="D148" s="781">
        <v>3237812</v>
      </c>
      <c r="E148" s="782">
        <f t="shared" si="3"/>
        <v>3102738.5</v>
      </c>
      <c r="F148" s="782"/>
    </row>
    <row r="149" spans="1:6" ht="15">
      <c r="A149" s="780"/>
      <c r="B149" s="789" t="s">
        <v>1197</v>
      </c>
      <c r="C149" s="781">
        <v>1115291</v>
      </c>
      <c r="D149" s="781">
        <v>1216816</v>
      </c>
      <c r="E149" s="782">
        <f t="shared" si="3"/>
        <v>1166053.5</v>
      </c>
      <c r="F149" s="782"/>
    </row>
    <row r="150" spans="1:6" ht="15">
      <c r="A150" s="780"/>
      <c r="B150" s="1088" t="s">
        <v>1198</v>
      </c>
      <c r="C150" s="781">
        <v>7393</v>
      </c>
      <c r="D150" s="781">
        <v>36040</v>
      </c>
      <c r="E150" s="782">
        <f>AVERAGE(C150:D150)</f>
        <v>21716.5</v>
      </c>
      <c r="F150" s="782"/>
    </row>
    <row r="151" spans="1:6" ht="15">
      <c r="A151" s="780"/>
      <c r="B151" s="789" t="s">
        <v>1199</v>
      </c>
      <c r="C151" s="781">
        <v>1449722</v>
      </c>
      <c r="D151" s="781">
        <v>1389945</v>
      </c>
      <c r="E151" s="782">
        <f>AVERAGE(C151:D151)</f>
        <v>1419833.5</v>
      </c>
      <c r="F151" s="782"/>
    </row>
    <row r="152" spans="1:6" ht="15">
      <c r="A152" s="780"/>
      <c r="B152" s="789" t="s">
        <v>1200</v>
      </c>
      <c r="C152" s="781">
        <v>2519</v>
      </c>
      <c r="D152" s="781">
        <v>4454</v>
      </c>
      <c r="E152" s="782">
        <f>AVERAGE(C152:D152)</f>
        <v>3486.5</v>
      </c>
      <c r="F152" s="782"/>
    </row>
    <row r="153" spans="1:6" ht="15">
      <c r="A153" s="780"/>
      <c r="B153" s="789" t="s">
        <v>1201</v>
      </c>
      <c r="C153" s="781">
        <v>2640234</v>
      </c>
      <c r="D153" s="781">
        <v>2522116</v>
      </c>
      <c r="E153" s="782">
        <f t="shared" si="3"/>
        <v>2581175</v>
      </c>
      <c r="F153" s="782"/>
    </row>
    <row r="154" spans="1:6" ht="15">
      <c r="A154" s="780"/>
      <c r="B154" s="789" t="s">
        <v>1202</v>
      </c>
      <c r="C154" s="781">
        <v>1741054</v>
      </c>
      <c r="D154" s="781">
        <v>1960055</v>
      </c>
      <c r="E154" s="782">
        <f t="shared" si="3"/>
        <v>1850554.5</v>
      </c>
      <c r="F154" s="782"/>
    </row>
    <row r="155" spans="1:6" ht="15">
      <c r="A155" s="780"/>
      <c r="B155" s="789" t="s">
        <v>1203</v>
      </c>
      <c r="C155" s="781">
        <v>1734313</v>
      </c>
      <c r="D155" s="781">
        <v>1671998</v>
      </c>
      <c r="E155" s="782">
        <f t="shared" si="3"/>
        <v>1703155.5</v>
      </c>
      <c r="F155" s="782"/>
    </row>
    <row r="156" spans="1:6" ht="15">
      <c r="A156" s="780"/>
      <c r="B156" s="789" t="s">
        <v>1204</v>
      </c>
      <c r="C156" s="781">
        <v>856684</v>
      </c>
      <c r="D156" s="781">
        <v>938987</v>
      </c>
      <c r="E156" s="782">
        <f t="shared" si="3"/>
        <v>897835.5</v>
      </c>
      <c r="F156" s="782"/>
    </row>
    <row r="157" spans="1:6" ht="15">
      <c r="A157" s="780"/>
      <c r="B157" s="789" t="s">
        <v>1205</v>
      </c>
      <c r="C157" s="781">
        <v>311492</v>
      </c>
      <c r="D157" s="781">
        <v>312595</v>
      </c>
      <c r="E157" s="782">
        <f t="shared" si="3"/>
        <v>312043.5</v>
      </c>
      <c r="F157" s="782"/>
    </row>
    <row r="158" spans="1:6" ht="15">
      <c r="A158" s="780"/>
      <c r="B158" s="789" t="s">
        <v>1206</v>
      </c>
      <c r="C158" s="781">
        <v>695</v>
      </c>
      <c r="D158" s="781">
        <v>675</v>
      </c>
      <c r="E158" s="782">
        <f t="shared" si="3"/>
        <v>685</v>
      </c>
      <c r="F158" s="782"/>
    </row>
    <row r="159" spans="1:6" ht="15">
      <c r="A159" s="780"/>
      <c r="B159" s="789" t="s">
        <v>1207</v>
      </c>
      <c r="C159" s="781">
        <v>78</v>
      </c>
      <c r="D159" s="781">
        <v>77</v>
      </c>
      <c r="E159" s="782">
        <f t="shared" si="3"/>
        <v>77.5</v>
      </c>
      <c r="F159" s="782"/>
    </row>
    <row r="160" spans="1:6" ht="15">
      <c r="A160" s="780"/>
      <c r="B160" s="789" t="s">
        <v>1208</v>
      </c>
      <c r="C160" s="781">
        <v>12691</v>
      </c>
      <c r="D160" s="781">
        <v>12237</v>
      </c>
      <c r="E160" s="782">
        <f t="shared" si="3"/>
        <v>12464</v>
      </c>
      <c r="F160" s="782"/>
    </row>
    <row r="161" spans="1:6" ht="15">
      <c r="A161" s="780"/>
      <c r="B161" s="789" t="s">
        <v>1209</v>
      </c>
      <c r="C161" s="781">
        <v>909959</v>
      </c>
      <c r="D161" s="781">
        <v>867596</v>
      </c>
      <c r="E161" s="782">
        <f t="shared" si="3"/>
        <v>888777.5</v>
      </c>
      <c r="F161" s="782"/>
    </row>
    <row r="162" spans="1:6" ht="15">
      <c r="A162" s="780"/>
      <c r="B162" s="789" t="s">
        <v>1315</v>
      </c>
      <c r="C162" s="781">
        <v>0</v>
      </c>
      <c r="D162" s="781">
        <v>225406</v>
      </c>
      <c r="E162" s="782">
        <f t="shared" si="3"/>
        <v>112703</v>
      </c>
      <c r="F162" s="782"/>
    </row>
    <row r="163" spans="1:6" ht="15">
      <c r="A163" s="780"/>
      <c r="B163" s="1157" t="s">
        <v>1210</v>
      </c>
      <c r="C163" s="781">
        <v>865488</v>
      </c>
      <c r="D163" s="781">
        <v>824985</v>
      </c>
      <c r="E163" s="782">
        <f t="shared" si="3"/>
        <v>845236.5</v>
      </c>
      <c r="F163" s="782"/>
    </row>
    <row r="164" spans="1:6" ht="15">
      <c r="A164" s="780"/>
      <c r="B164" s="1088" t="s">
        <v>1211</v>
      </c>
      <c r="C164" s="781">
        <v>873</v>
      </c>
      <c r="D164" s="781">
        <v>809</v>
      </c>
      <c r="E164" s="782">
        <f t="shared" si="3"/>
        <v>841</v>
      </c>
      <c r="F164" s="782"/>
    </row>
    <row r="165" spans="1:6" ht="15">
      <c r="A165" s="780"/>
      <c r="B165" s="1116" t="s">
        <v>1212</v>
      </c>
      <c r="C165" s="781">
        <v>5442263</v>
      </c>
      <c r="D165" s="781">
        <v>4139433</v>
      </c>
      <c r="E165" s="782">
        <f>AVERAGE(C165:D165)</f>
        <v>4790848</v>
      </c>
      <c r="F165" s="782"/>
    </row>
    <row r="166" spans="1:6" ht="15">
      <c r="A166" s="780"/>
      <c r="B166" s="1088" t="s">
        <v>1213</v>
      </c>
      <c r="C166" s="781">
        <v>102256</v>
      </c>
      <c r="D166" s="781">
        <v>98717</v>
      </c>
      <c r="E166" s="782">
        <f t="shared" si="3"/>
        <v>100486.5</v>
      </c>
      <c r="F166" s="782"/>
    </row>
    <row r="167" spans="1:6" ht="15">
      <c r="A167" s="780"/>
      <c r="B167" s="796" t="s">
        <v>1214</v>
      </c>
      <c r="C167" s="781">
        <v>128136</v>
      </c>
      <c r="D167" s="781">
        <v>128175</v>
      </c>
      <c r="E167" s="782">
        <f t="shared" si="3"/>
        <v>128155.5</v>
      </c>
      <c r="F167" s="782"/>
    </row>
    <row r="168" spans="1:6" ht="15">
      <c r="A168" s="780"/>
      <c r="B168" s="796" t="s">
        <v>1215</v>
      </c>
      <c r="C168" s="781">
        <v>21169</v>
      </c>
      <c r="D168" s="781">
        <v>19730</v>
      </c>
      <c r="E168" s="782">
        <f t="shared" si="3"/>
        <v>20449.5</v>
      </c>
      <c r="F168" s="782"/>
    </row>
    <row r="169" spans="1:6" ht="15">
      <c r="A169" s="780"/>
      <c r="B169" s="796" t="s">
        <v>1224</v>
      </c>
      <c r="C169" s="781">
        <v>3173</v>
      </c>
      <c r="D169" s="781">
        <v>0</v>
      </c>
      <c r="E169" s="782">
        <f t="shared" si="3"/>
        <v>1586.5</v>
      </c>
      <c r="F169" s="782"/>
    </row>
    <row r="170" spans="1:6" ht="15">
      <c r="A170" s="780"/>
      <c r="B170" s="1088" t="s">
        <v>1216</v>
      </c>
      <c r="C170" s="781">
        <v>26856534</v>
      </c>
      <c r="D170" s="781">
        <v>0</v>
      </c>
      <c r="E170" s="782">
        <f t="shared" si="3"/>
        <v>13428267</v>
      </c>
      <c r="F170" s="782"/>
    </row>
    <row r="171" spans="1:6" ht="15">
      <c r="A171" s="780"/>
      <c r="B171" s="1088" t="s">
        <v>1183</v>
      </c>
      <c r="C171" s="781">
        <v>0</v>
      </c>
      <c r="D171" s="781">
        <v>4815157</v>
      </c>
      <c r="E171" s="782">
        <f>AVERAGE(C171:D171)</f>
        <v>2407578.5</v>
      </c>
      <c r="F171" s="782"/>
    </row>
    <row r="172" spans="1:6" ht="15">
      <c r="A172" s="780"/>
      <c r="B172" s="1088" t="s">
        <v>1316</v>
      </c>
      <c r="C172" s="781">
        <v>0</v>
      </c>
      <c r="D172" s="781">
        <v>409</v>
      </c>
      <c r="E172" s="782">
        <f t="shared" si="3"/>
        <v>204.5</v>
      </c>
      <c r="F172" s="782"/>
    </row>
    <row r="173" spans="1:6" ht="15">
      <c r="A173" s="780"/>
      <c r="B173" s="789" t="s">
        <v>1217</v>
      </c>
      <c r="C173" s="781">
        <v>2713236</v>
      </c>
      <c r="D173" s="781">
        <v>3311182</v>
      </c>
      <c r="E173" s="782">
        <f t="shared" si="3"/>
        <v>3012209</v>
      </c>
      <c r="F173" s="782"/>
    </row>
    <row r="174" spans="1:6" ht="15">
      <c r="A174" s="780"/>
      <c r="B174" s="789" t="s">
        <v>1218</v>
      </c>
      <c r="C174" s="781">
        <v>4910812</v>
      </c>
      <c r="D174" s="781">
        <v>6336376</v>
      </c>
      <c r="E174" s="782">
        <f t="shared" si="3"/>
        <v>5623594</v>
      </c>
      <c r="F174" s="782"/>
    </row>
    <row r="175" spans="1:6" ht="15">
      <c r="A175" s="780"/>
      <c r="B175" s="789" t="s">
        <v>1219</v>
      </c>
      <c r="C175" s="781">
        <v>1226056</v>
      </c>
      <c r="D175" s="781">
        <v>1443227</v>
      </c>
      <c r="E175" s="782">
        <f t="shared" si="3"/>
        <v>1334641.5</v>
      </c>
      <c r="F175" s="782"/>
    </row>
    <row r="176" spans="1:6" ht="15">
      <c r="A176" s="780"/>
      <c r="B176" s="789" t="s">
        <v>1220</v>
      </c>
      <c r="C176" s="781">
        <v>2014395</v>
      </c>
      <c r="D176" s="781">
        <v>2550143</v>
      </c>
      <c r="E176" s="782">
        <f>AVERAGE(C176:D176)</f>
        <v>2282269</v>
      </c>
      <c r="F176" s="782"/>
    </row>
    <row r="177" spans="1:6" ht="15">
      <c r="A177" s="780"/>
      <c r="B177" s="789" t="s">
        <v>1221</v>
      </c>
      <c r="C177" s="781">
        <v>3443124</v>
      </c>
      <c r="D177" s="781">
        <v>3288669</v>
      </c>
      <c r="E177" s="782">
        <f t="shared" si="3"/>
        <v>3365896.5</v>
      </c>
      <c r="F177" s="782"/>
    </row>
    <row r="178" spans="1:6" ht="15">
      <c r="A178" s="780"/>
      <c r="B178" s="789" t="s">
        <v>1222</v>
      </c>
      <c r="C178" s="781">
        <v>3184353</v>
      </c>
      <c r="D178" s="781">
        <v>3184353</v>
      </c>
      <c r="E178" s="782">
        <f t="shared" si="3"/>
        <v>3184353</v>
      </c>
      <c r="F178" s="782"/>
    </row>
    <row r="179" spans="1:6" ht="15">
      <c r="A179" s="780"/>
      <c r="B179" s="789" t="s">
        <v>1256</v>
      </c>
      <c r="C179" s="781">
        <v>361860</v>
      </c>
      <c r="D179" s="781">
        <v>362393</v>
      </c>
      <c r="E179" s="782">
        <f t="shared" si="3"/>
        <v>362126.5</v>
      </c>
      <c r="F179" s="782"/>
    </row>
    <row r="180" spans="1:6" ht="15">
      <c r="A180" s="780"/>
      <c r="B180" s="789" t="s">
        <v>1190</v>
      </c>
      <c r="C180" s="781">
        <v>235726</v>
      </c>
      <c r="D180" s="781">
        <v>235726</v>
      </c>
      <c r="E180" s="782">
        <f t="shared" si="3"/>
        <v>235726</v>
      </c>
      <c r="F180" s="782"/>
    </row>
    <row r="181" spans="1:5" ht="15">
      <c r="A181" s="780"/>
      <c r="B181" s="786"/>
      <c r="C181" s="786"/>
      <c r="D181" s="786"/>
      <c r="E181" s="792"/>
    </row>
    <row r="182" spans="1:5" ht="15.75" thickBot="1">
      <c r="A182" s="780">
        <v>4</v>
      </c>
      <c r="B182" s="794" t="s">
        <v>989</v>
      </c>
      <c r="C182" s="797">
        <f>SUM(C142:C180)</f>
        <v>95063685</v>
      </c>
      <c r="D182" s="797">
        <f>SUM(D142:D180)</f>
        <v>74620592</v>
      </c>
      <c r="E182" s="797">
        <f>SUM(E142:E180)</f>
        <v>84842138.5</v>
      </c>
    </row>
    <row r="183" ht="15.75" thickTop="1"/>
  </sheetData>
  <mergeCells count="1">
    <mergeCell ref="A4:D4"/>
  </mergeCells>
  <pageMargins left="0.7" right="0.7" top="0.75" bottom="0.75" header="0.3" footer="0.3"/>
  <pageSetup orientation="portrait" scale="63" r:id="rId1"/>
  <rowBreaks count="2" manualBreakCount="2">
    <brk id="76" max="4" man="1"/>
    <brk id="131" max="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21"/>
  <sheetViews>
    <sheetView view="pageBreakPreview" zoomScale="80" zoomScaleNormal="110" zoomScaleSheetLayoutView="80" workbookViewId="0" topLeftCell="A1"/>
  </sheetViews>
  <sheetFormatPr defaultRowHeight="15"/>
  <cols>
    <col min="1" max="1" width="3" customWidth="1"/>
    <col min="2" max="2" width="1.77777777777778" customWidth="1"/>
    <col min="3" max="3" width="46.5555555555556" customWidth="1"/>
    <col min="4" max="4" width="4" customWidth="1"/>
    <col min="5" max="5" width="13.3333333333333" customWidth="1"/>
    <col min="6" max="6" width="2" customWidth="1"/>
    <col min="10" max="10" width="4.11111111111111" customWidth="1"/>
  </cols>
  <sheetData>
    <row r="1" spans="5:10" ht="15.75">
      <c r="E1" s="6"/>
      <c r="I1" s="6"/>
      <c r="J1" s="6" t="s">
        <v>683</v>
      </c>
    </row>
    <row r="2" spans="5:10" ht="15.75">
      <c r="E2" s="6"/>
      <c r="I2" s="6"/>
      <c r="J2" s="6" t="s">
        <v>221</v>
      </c>
    </row>
    <row r="3" spans="1:10" ht="15.75">
      <c r="A3" s="55"/>
      <c r="B3" s="130"/>
      <c r="C3" s="130"/>
      <c r="D3" s="130"/>
      <c r="E3" s="9"/>
      <c r="I3" s="9"/>
      <c r="J3" s="9" t="str">
        <f>'Attachment 1 - Sched 1A'!$J$3</f>
        <v>For the 12 months ended 12/31/2021</v>
      </c>
    </row>
    <row r="4" spans="1:5" ht="15.75">
      <c r="A4" s="55"/>
      <c r="B4" s="130"/>
      <c r="C4" s="130"/>
      <c r="D4" s="130"/>
      <c r="E4" s="130"/>
    </row>
    <row r="5" spans="1:5" ht="15">
      <c r="A5" s="270">
        <v>1</v>
      </c>
      <c r="B5" s="267"/>
      <c r="C5" s="268" t="s">
        <v>403</v>
      </c>
      <c r="D5" s="269"/>
      <c r="E5" s="270"/>
    </row>
    <row r="6" spans="1:5" ht="15">
      <c r="A6" s="270"/>
      <c r="B6" s="267"/>
      <c r="C6" s="268"/>
      <c r="D6" s="269"/>
      <c r="E6" s="270"/>
    </row>
    <row r="7" spans="1:7" ht="15">
      <c r="A7" s="270">
        <f>+A5+1</f>
        <v>2</v>
      </c>
      <c r="B7" s="271"/>
      <c r="C7" s="272" t="s">
        <v>757</v>
      </c>
      <c r="D7" s="273"/>
      <c r="E7" s="823" t="s">
        <v>8</v>
      </c>
      <c r="F7" s="822"/>
      <c r="G7" s="822" t="s">
        <v>374</v>
      </c>
    </row>
    <row r="8" spans="1:7" ht="15">
      <c r="A8" s="270">
        <f>+A7+1</f>
        <v>3</v>
      </c>
      <c r="B8" s="267"/>
      <c r="C8" s="277" t="s">
        <v>814</v>
      </c>
      <c r="D8" s="277"/>
      <c r="E8" s="703">
        <v>-108686300</v>
      </c>
      <c r="F8" s="555"/>
      <c r="G8" s="555" t="s">
        <v>1059</v>
      </c>
    </row>
    <row r="9" spans="1:7" ht="15">
      <c r="A9" s="270">
        <f>+A8+1</f>
        <v>4</v>
      </c>
      <c r="B9" s="271"/>
      <c r="C9" s="277" t="s">
        <v>815</v>
      </c>
      <c r="D9" s="277"/>
      <c r="E9" s="703">
        <v>2024261894</v>
      </c>
      <c r="F9" s="555"/>
      <c r="G9" s="555" t="s">
        <v>1060</v>
      </c>
    </row>
    <row r="10" spans="1:7" ht="15">
      <c r="A10" s="270">
        <f t="shared" si="0" ref="A10:A14">+A9+1</f>
        <v>5</v>
      </c>
      <c r="B10" s="270"/>
      <c r="C10" s="274" t="s">
        <v>790</v>
      </c>
      <c r="D10" s="274"/>
      <c r="E10" s="279">
        <f>E8/E9</f>
        <v>-0.053691817408681605</v>
      </c>
      <c r="F10" s="555"/>
      <c r="G10" s="555"/>
    </row>
    <row r="11" spans="1:7" ht="15">
      <c r="A11" s="270">
        <f t="shared" si="0"/>
        <v>6</v>
      </c>
      <c r="B11" s="270"/>
      <c r="C11" s="274" t="s">
        <v>405</v>
      </c>
      <c r="D11" s="274"/>
      <c r="E11" s="561">
        <v>18808910</v>
      </c>
      <c r="F11" s="555"/>
      <c r="G11" s="555" t="s">
        <v>1061</v>
      </c>
    </row>
    <row r="12" spans="1:6" ht="15">
      <c r="A12" s="270">
        <f t="shared" si="0"/>
        <v>7</v>
      </c>
      <c r="B12" s="270"/>
      <c r="C12" s="274" t="s">
        <v>791</v>
      </c>
      <c r="D12" s="275"/>
      <c r="E12" s="278">
        <f>E10*E11</f>
        <v>-1009884.5613763256</v>
      </c>
      <c r="F12" s="555"/>
    </row>
    <row r="13" spans="1:7" ht="15">
      <c r="A13" s="270">
        <f t="shared" si="0"/>
        <v>8</v>
      </c>
      <c r="B13" s="270"/>
      <c r="C13" s="274" t="s">
        <v>1062</v>
      </c>
      <c r="D13" s="274"/>
      <c r="E13" s="561">
        <v>-3178235</v>
      </c>
      <c r="F13" s="555"/>
      <c r="G13" s="555" t="s">
        <v>1063</v>
      </c>
    </row>
    <row r="14" spans="1:6" ht="15">
      <c r="A14" s="270">
        <f t="shared" si="0"/>
        <v>9</v>
      </c>
      <c r="B14" s="270"/>
      <c r="C14" s="274" t="s">
        <v>792</v>
      </c>
      <c r="D14" s="274"/>
      <c r="E14" s="278">
        <f>E12-E13</f>
        <v>2168350.4386236742</v>
      </c>
      <c r="F14" s="555"/>
    </row>
    <row r="15" spans="1:5" ht="15">
      <c r="A15" s="270"/>
      <c r="B15" s="270"/>
      <c r="C15" s="274"/>
      <c r="D15" s="274"/>
      <c r="E15" s="280"/>
    </row>
    <row r="16" spans="1:5" ht="15">
      <c r="A16" s="270"/>
      <c r="B16" s="270"/>
      <c r="C16" s="277"/>
      <c r="D16" s="277"/>
      <c r="E16" s="278"/>
    </row>
    <row r="17" spans="1:5" ht="15">
      <c r="A17" s="270">
        <v>10</v>
      </c>
      <c r="B17" s="270"/>
      <c r="C17" s="274" t="s">
        <v>1089</v>
      </c>
      <c r="D17" s="274"/>
      <c r="E17" s="277"/>
    </row>
    <row r="21" spans="3:5" ht="15">
      <c r="C21" s="508"/>
      <c r="D21" s="508"/>
      <c r="E21" s="508"/>
    </row>
  </sheetData>
  <pageMargins left="0.7" right="0.7" top="0.75" bottom="0.75" header="0.3" footer="0.3"/>
  <pageSetup orientation="portrait" scale="57"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60" zoomScaleNormal="100" workbookViewId="0" topLeftCell="A1"/>
  </sheetViews>
  <sheetFormatPr defaultColWidth="8.88555555555556" defaultRowHeight="20.1" customHeight="1"/>
  <cols>
    <col min="1" max="1" width="3.88888888888889" style="52" customWidth="1"/>
    <col min="2" max="2" width="40.7777777777778" style="46" customWidth="1"/>
    <col min="3" max="3" width="10.7777777777778" style="51" customWidth="1"/>
    <col min="4" max="4" width="15.8888888888889" style="62" customWidth="1"/>
    <col min="5" max="7" width="12.7777777777778" style="52" customWidth="1"/>
    <col min="8" max="16384" width="8.88888888888889" style="46"/>
  </cols>
  <sheetData>
    <row r="1" spans="1:7" ht="20.1" customHeight="1">
      <c r="A1" s="655"/>
      <c r="D1" s="6" t="s">
        <v>684</v>
      </c>
      <c r="E1" s="655"/>
      <c r="F1" s="655"/>
      <c r="G1" s="655"/>
    </row>
    <row r="2" spans="1:7" ht="20.1" customHeight="1">
      <c r="A2" s="655"/>
      <c r="D2" s="6" t="s">
        <v>221</v>
      </c>
      <c r="E2" s="655"/>
      <c r="F2" s="655"/>
      <c r="G2" s="655"/>
    </row>
    <row r="3" spans="1:7" ht="20.1" customHeight="1">
      <c r="A3" s="655"/>
      <c r="D3" s="9" t="str">
        <f>'Attachment 1 - Sched 1A'!$J$3</f>
        <v>For the 12 months ended 12/31/2021</v>
      </c>
      <c r="E3" s="655"/>
      <c r="F3" s="655"/>
      <c r="G3" s="655"/>
    </row>
    <row r="4" spans="1:2" ht="20.1" customHeight="1">
      <c r="A4" s="55"/>
      <c r="B4" s="656" t="s">
        <v>685</v>
      </c>
    </row>
    <row r="5" spans="3:3" ht="20.1" customHeight="1">
      <c r="C5" s="135"/>
    </row>
    <row r="6" spans="2:9" ht="20.1" customHeight="1">
      <c r="B6" s="51"/>
      <c r="C6" s="53" t="s">
        <v>260</v>
      </c>
      <c r="D6" s="551" t="s">
        <v>1271</v>
      </c>
      <c r="E6" s="60"/>
      <c r="F6" s="54"/>
      <c r="G6" s="54"/>
      <c r="I6" s="54"/>
    </row>
    <row r="7" spans="1:7" ht="20.1" customHeight="1">
      <c r="A7" s="66">
        <v>1</v>
      </c>
      <c r="B7" s="57" t="s">
        <v>278</v>
      </c>
      <c r="C7" s="62"/>
      <c r="D7" s="61"/>
      <c r="F7" s="54"/>
      <c r="G7" s="54"/>
    </row>
    <row r="8" spans="1:7" ht="20.1" customHeight="1">
      <c r="A8" s="66" t="s">
        <v>624</v>
      </c>
      <c r="B8" s="840" t="s">
        <v>1131</v>
      </c>
      <c r="C8" s="62" t="s">
        <v>67</v>
      </c>
      <c r="D8" s="122">
        <v>552125</v>
      </c>
      <c r="F8" s="54"/>
      <c r="G8" s="54"/>
    </row>
    <row r="9" spans="1:7" ht="20.1" customHeight="1">
      <c r="A9" s="66" t="s">
        <v>625</v>
      </c>
      <c r="B9" s="840"/>
      <c r="C9" s="62" t="s">
        <v>67</v>
      </c>
      <c r="D9" s="122">
        <v>0</v>
      </c>
      <c r="F9" s="53"/>
      <c r="G9" s="53"/>
    </row>
    <row r="10" spans="1:9" ht="20.1" customHeight="1" thickBot="1">
      <c r="A10" s="66" t="s">
        <v>626</v>
      </c>
      <c r="B10" s="840"/>
      <c r="C10" s="62" t="s">
        <v>67</v>
      </c>
      <c r="D10" s="127">
        <v>0</v>
      </c>
      <c r="F10" s="60"/>
      <c r="G10" s="60"/>
      <c r="I10" s="47"/>
    </row>
    <row r="11" spans="1:9" ht="20.1" customHeight="1">
      <c r="A11" s="66" t="s">
        <v>633</v>
      </c>
      <c r="B11" s="63" t="s">
        <v>281</v>
      </c>
      <c r="C11" s="62"/>
      <c r="D11" s="128">
        <f>SUM(D8:D10)</f>
        <v>552125</v>
      </c>
      <c r="F11" s="60"/>
      <c r="G11" s="60"/>
      <c r="I11" s="47"/>
    </row>
    <row r="12" spans="1:4" ht="20.1" customHeight="1">
      <c r="A12" s="66"/>
      <c r="B12" s="57"/>
      <c r="C12" s="62"/>
      <c r="D12" s="128"/>
    </row>
    <row r="13" spans="1:9" ht="20.1" customHeight="1">
      <c r="A13" s="66" t="s">
        <v>627</v>
      </c>
      <c r="B13" s="57" t="s">
        <v>277</v>
      </c>
      <c r="C13" s="62"/>
      <c r="D13" s="128"/>
      <c r="F13" s="58"/>
      <c r="G13" s="58"/>
      <c r="H13" s="58"/>
      <c r="I13" s="58"/>
    </row>
    <row r="14" spans="1:9" ht="20.1" customHeight="1" thickBot="1">
      <c r="A14" s="66" t="s">
        <v>559</v>
      </c>
      <c r="B14" s="840"/>
      <c r="C14" s="62" t="s">
        <v>67</v>
      </c>
      <c r="D14" s="127">
        <v>0</v>
      </c>
      <c r="F14" s="58"/>
      <c r="G14" s="58"/>
      <c r="H14" s="58"/>
      <c r="I14" s="58"/>
    </row>
    <row r="15" spans="1:9" ht="20.1" customHeight="1">
      <c r="A15" s="66" t="s">
        <v>634</v>
      </c>
      <c r="B15" s="64" t="s">
        <v>277</v>
      </c>
      <c r="C15" s="62"/>
      <c r="D15" s="128">
        <f>SUM(D14)</f>
        <v>0</v>
      </c>
      <c r="F15" s="58"/>
      <c r="G15" s="58"/>
      <c r="H15" s="58"/>
      <c r="I15" s="58"/>
    </row>
    <row r="16" spans="1:9" ht="20.1" customHeight="1">
      <c r="A16" s="66"/>
      <c r="B16" s="57"/>
      <c r="C16" s="62"/>
      <c r="D16" s="128"/>
      <c r="F16" s="58"/>
      <c r="G16" s="58"/>
      <c r="H16" s="58"/>
      <c r="I16" s="58"/>
    </row>
    <row r="17" spans="1:9" ht="20.1" customHeight="1">
      <c r="A17" s="66" t="s">
        <v>245</v>
      </c>
      <c r="B17" s="57" t="s">
        <v>275</v>
      </c>
      <c r="C17" s="62"/>
      <c r="D17" s="128"/>
      <c r="F17" s="58"/>
      <c r="G17" s="58"/>
      <c r="H17" s="58"/>
      <c r="I17" s="58"/>
    </row>
    <row r="18" spans="1:9" ht="20.1" customHeight="1">
      <c r="A18" s="66" t="s">
        <v>728</v>
      </c>
      <c r="B18" s="840" t="s">
        <v>872</v>
      </c>
      <c r="C18" s="62" t="s">
        <v>67</v>
      </c>
      <c r="D18" s="856">
        <v>125574</v>
      </c>
      <c r="F18" s="58"/>
      <c r="G18" s="58"/>
      <c r="H18" s="58"/>
      <c r="I18" s="58"/>
    </row>
    <row r="19" spans="1:9" ht="20.1" customHeight="1">
      <c r="A19" s="66" t="s">
        <v>628</v>
      </c>
      <c r="B19" s="840"/>
      <c r="C19" s="62"/>
      <c r="D19" s="122">
        <v>0</v>
      </c>
      <c r="F19" s="58"/>
      <c r="G19" s="58"/>
      <c r="H19" s="58"/>
      <c r="I19" s="58"/>
    </row>
    <row r="20" spans="1:9" ht="20.1" customHeight="1" thickBot="1">
      <c r="A20" s="66" t="s">
        <v>629</v>
      </c>
      <c r="B20" s="840"/>
      <c r="C20" s="62"/>
      <c r="D20" s="127">
        <v>0</v>
      </c>
      <c r="F20" s="58"/>
      <c r="G20" s="58"/>
      <c r="H20" s="58"/>
      <c r="I20" s="58"/>
    </row>
    <row r="21" spans="1:9" ht="20.1" customHeight="1">
      <c r="A21" s="66" t="s">
        <v>635</v>
      </c>
      <c r="B21" s="64" t="s">
        <v>275</v>
      </c>
      <c r="C21" s="62"/>
      <c r="D21" s="128">
        <f>SUM(D18:D20)</f>
        <v>125574</v>
      </c>
      <c r="F21" s="58"/>
      <c r="G21" s="58"/>
      <c r="H21" s="58"/>
      <c r="I21" s="58"/>
    </row>
    <row r="22" spans="1:9" ht="20.1" customHeight="1">
      <c r="A22" s="66"/>
      <c r="B22" s="57"/>
      <c r="C22" s="62"/>
      <c r="D22" s="128"/>
      <c r="F22" s="58"/>
      <c r="G22" s="58"/>
      <c r="H22" s="58"/>
      <c r="I22" s="58"/>
    </row>
    <row r="23" spans="1:9" ht="20.1" customHeight="1">
      <c r="A23" s="66" t="s">
        <v>246</v>
      </c>
      <c r="B23" s="57" t="s">
        <v>276</v>
      </c>
      <c r="C23" s="46"/>
      <c r="D23" s="128"/>
      <c r="F23" s="58"/>
      <c r="G23" s="58"/>
      <c r="H23" s="58"/>
      <c r="I23" s="58"/>
    </row>
    <row r="24" spans="1:9" ht="20.1" customHeight="1" thickBot="1">
      <c r="A24" s="66" t="s">
        <v>569</v>
      </c>
      <c r="B24" s="840"/>
      <c r="C24" s="62" t="s">
        <v>67</v>
      </c>
      <c r="D24" s="127">
        <v>0</v>
      </c>
      <c r="F24" s="58"/>
      <c r="G24" s="58"/>
      <c r="H24" s="58"/>
      <c r="I24" s="58"/>
    </row>
    <row r="25" spans="1:9" ht="20.1" customHeight="1">
      <c r="A25" s="66" t="s">
        <v>636</v>
      </c>
      <c r="B25" s="64" t="s">
        <v>276</v>
      </c>
      <c r="C25" s="46"/>
      <c r="D25" s="123">
        <f>SUM(D24:D24)</f>
        <v>0</v>
      </c>
      <c r="F25" s="58"/>
      <c r="G25" s="58"/>
      <c r="H25" s="58"/>
      <c r="I25" s="58"/>
    </row>
    <row r="26" spans="1:9" ht="20.1" customHeight="1">
      <c r="A26" s="66"/>
      <c r="B26" s="57"/>
      <c r="C26" s="62"/>
      <c r="D26" s="128"/>
      <c r="F26" s="58"/>
      <c r="G26" s="58"/>
      <c r="H26" s="58"/>
      <c r="I26" s="58"/>
    </row>
    <row r="27" spans="1:9" ht="20.1" customHeight="1">
      <c r="A27" s="66" t="s">
        <v>197</v>
      </c>
      <c r="B27" s="57" t="s">
        <v>279</v>
      </c>
      <c r="C27" s="62"/>
      <c r="D27" s="128"/>
      <c r="F27" s="58"/>
      <c r="G27" s="58"/>
      <c r="H27" s="58"/>
      <c r="I27" s="58"/>
    </row>
    <row r="28" spans="1:9" ht="20.1" customHeight="1">
      <c r="A28" s="66" t="s">
        <v>630</v>
      </c>
      <c r="B28" s="841" t="s">
        <v>280</v>
      </c>
      <c r="C28" s="62" t="s">
        <v>67</v>
      </c>
      <c r="D28" s="122"/>
      <c r="F28" s="58"/>
      <c r="G28" s="58"/>
      <c r="H28" s="58"/>
      <c r="I28" s="58"/>
    </row>
    <row r="29" spans="1:9" ht="20.1" customHeight="1">
      <c r="A29" s="66" t="s">
        <v>631</v>
      </c>
      <c r="B29" s="841"/>
      <c r="C29" s="62" t="s">
        <v>67</v>
      </c>
      <c r="D29" s="122">
        <v>0</v>
      </c>
      <c r="F29" s="58"/>
      <c r="G29" s="58"/>
      <c r="H29" s="58"/>
      <c r="I29" s="58"/>
    </row>
    <row r="30" spans="1:4" ht="20.1" customHeight="1" thickBot="1">
      <c r="A30" s="66" t="s">
        <v>632</v>
      </c>
      <c r="B30" s="841"/>
      <c r="C30" s="62"/>
      <c r="D30" s="127">
        <v>0</v>
      </c>
    </row>
    <row r="31" spans="1:4" ht="20.1" customHeight="1">
      <c r="A31" s="66" t="s">
        <v>637</v>
      </c>
      <c r="B31" s="64" t="s">
        <v>279</v>
      </c>
      <c r="C31" s="62"/>
      <c r="D31" s="128">
        <f>SUM(D28:D30)</f>
        <v>0</v>
      </c>
    </row>
    <row r="32" spans="1:4" ht="20.1" customHeight="1">
      <c r="A32" s="66"/>
      <c r="B32" s="51"/>
      <c r="C32" s="62"/>
      <c r="D32" s="128"/>
    </row>
    <row r="33" spans="1:4" ht="20.1" customHeight="1">
      <c r="A33" s="66" t="s">
        <v>638</v>
      </c>
      <c r="B33" s="57" t="s">
        <v>282</v>
      </c>
      <c r="C33" s="62"/>
      <c r="D33" s="122"/>
    </row>
    <row r="34" spans="5:5" ht="20.1" customHeight="1">
      <c r="E34" s="60"/>
    </row>
    <row r="35" spans="1:5" ht="31.5" customHeight="1">
      <c r="A35" s="66" t="s">
        <v>200</v>
      </c>
      <c r="B35" s="1198" t="s">
        <v>639</v>
      </c>
      <c r="C35" s="1198"/>
      <c r="D35" s="1079">
        <f>D11+D15+D21+D25+D31+D33</f>
        <v>677699</v>
      </c>
      <c r="E35" s="60"/>
    </row>
    <row r="36" spans="5:5" ht="20.1" customHeight="1">
      <c r="E36" s="60"/>
    </row>
    <row r="37" spans="5:5" ht="20.1" customHeight="1">
      <c r="E37" s="60"/>
    </row>
    <row r="38" spans="5:5" ht="20.1" customHeight="1">
      <c r="E38" s="60"/>
    </row>
    <row r="39" spans="1:2" ht="20.1" customHeight="1">
      <c r="A39" s="46" t="s">
        <v>261</v>
      </c>
      <c r="B39" s="51"/>
    </row>
    <row r="40" spans="1:9" s="62" customFormat="1" ht="20.1" customHeight="1">
      <c r="A40" s="52" t="s">
        <v>260</v>
      </c>
      <c r="B40" s="46" t="s">
        <v>262</v>
      </c>
      <c r="E40" s="52"/>
      <c r="F40" s="52"/>
      <c r="G40" s="52"/>
      <c r="H40" s="46"/>
      <c r="I40" s="46"/>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1">
    <mergeCell ref="B35:C35"/>
  </mergeCells>
  <pageMargins left="0.7" right="0.7" top="0.75" bottom="0.75" header="0.3" footer="0.3"/>
  <pageSetup orientation="portrait" scale="6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7"/>
  <sheetViews>
    <sheetView view="pageBreakPreview" zoomScale="80" zoomScaleNormal="90" zoomScaleSheetLayoutView="80" workbookViewId="0" topLeftCell="A1"/>
  </sheetViews>
  <sheetFormatPr defaultColWidth="8.88555555555556" defaultRowHeight="20.1" customHeight="1"/>
  <cols>
    <col min="1" max="1" width="2.77777777777778" style="52" customWidth="1"/>
    <col min="2" max="2" width="10.7777777777778" style="46" customWidth="1"/>
    <col min="3" max="3" width="8.88888888888889" style="46"/>
    <col min="4" max="4" width="2.77777777777778" style="46" customWidth="1"/>
    <col min="5" max="5" width="13.2222222222222" style="52" bestFit="1" customWidth="1"/>
    <col min="6" max="7" width="12.7777777777778" style="52" customWidth="1"/>
    <col min="8" max="8" width="12.7777777777778" style="336" customWidth="1"/>
    <col min="9" max="9" width="12.7777777777778" style="547" customWidth="1"/>
    <col min="10" max="10" width="14.1111111111111" style="52" bestFit="1" customWidth="1"/>
    <col min="11" max="11" width="14.8888888888889" style="52" customWidth="1"/>
    <col min="12" max="13" width="8.88888888888889" style="46"/>
    <col min="14" max="15" width="13.5555555555556" style="46" bestFit="1" customWidth="1"/>
    <col min="16" max="16384" width="8.88888888888889" style="46"/>
  </cols>
  <sheetData>
    <row r="1" spans="1:13" ht="20.1" customHeight="1">
      <c r="A1" s="655"/>
      <c r="E1" s="655"/>
      <c r="F1" s="655"/>
      <c r="G1" s="655"/>
      <c r="H1" s="655"/>
      <c r="I1" s="655"/>
      <c r="J1" s="655"/>
      <c r="K1" s="655"/>
      <c r="M1" s="6" t="s">
        <v>686</v>
      </c>
    </row>
    <row r="2" spans="1:13" ht="20.1" customHeight="1">
      <c r="A2" s="655"/>
      <c r="E2" s="655"/>
      <c r="F2" s="655"/>
      <c r="G2" s="655"/>
      <c r="H2" s="655"/>
      <c r="I2" s="655"/>
      <c r="J2" s="655"/>
      <c r="K2" s="655"/>
      <c r="M2" s="6" t="s">
        <v>221</v>
      </c>
    </row>
    <row r="3" spans="1:13" ht="20.1" customHeight="1">
      <c r="A3" s="655"/>
      <c r="E3" s="655"/>
      <c r="F3" s="655"/>
      <c r="G3" s="655"/>
      <c r="H3" s="656" t="s">
        <v>687</v>
      </c>
      <c r="I3" s="655"/>
      <c r="J3" s="655"/>
      <c r="K3" s="655"/>
      <c r="M3" s="9" t="str">
        <f>'Attachment 1 - Sched 1A'!$J$3</f>
        <v>For the 12 months ended 12/31/2021</v>
      </c>
    </row>
    <row r="4" spans="1:1" ht="20.1" customHeight="1">
      <c r="A4" s="55"/>
    </row>
    <row r="5" spans="3:11" ht="20.1" customHeight="1">
      <c r="C5" s="134"/>
      <c r="E5" s="65" t="s">
        <v>606</v>
      </c>
      <c r="F5" s="65" t="s">
        <v>607</v>
      </c>
      <c r="G5" s="65" t="s">
        <v>608</v>
      </c>
      <c r="H5" s="65" t="s">
        <v>609</v>
      </c>
      <c r="I5" s="65" t="s">
        <v>610</v>
      </c>
      <c r="J5" s="65" t="s">
        <v>611</v>
      </c>
      <c r="K5" s="65" t="s">
        <v>612</v>
      </c>
    </row>
    <row r="6" spans="5:11" ht="20.1" customHeight="1">
      <c r="E6" s="54" t="s">
        <v>283</v>
      </c>
      <c r="F6" s="54" t="s">
        <v>285</v>
      </c>
      <c r="G6" s="54" t="s">
        <v>286</v>
      </c>
      <c r="H6" s="319" t="s">
        <v>536</v>
      </c>
      <c r="I6" s="548" t="s">
        <v>582</v>
      </c>
      <c r="J6" s="54" t="s">
        <v>107</v>
      </c>
      <c r="K6" s="54" t="s">
        <v>287</v>
      </c>
    </row>
    <row r="7" spans="5:11" ht="20.1" customHeight="1">
      <c r="E7" s="54" t="s">
        <v>284</v>
      </c>
      <c r="F7" s="54"/>
      <c r="G7" s="54"/>
      <c r="H7" s="319"/>
      <c r="I7" s="548"/>
      <c r="J7" s="54"/>
      <c r="K7" s="54"/>
    </row>
    <row r="8" spans="4:11" ht="20.1" customHeight="1">
      <c r="D8" s="50" t="s">
        <v>260</v>
      </c>
      <c r="E8" s="53" t="s">
        <v>288</v>
      </c>
      <c r="F8" s="53" t="s">
        <v>289</v>
      </c>
      <c r="G8" s="53" t="s">
        <v>290</v>
      </c>
      <c r="H8" s="53" t="s">
        <v>535</v>
      </c>
      <c r="I8" s="53" t="s">
        <v>583</v>
      </c>
      <c r="J8" s="53" t="s">
        <v>584</v>
      </c>
      <c r="K8" s="56" t="s">
        <v>767</v>
      </c>
    </row>
    <row r="9" spans="1:11" ht="20.1" customHeight="1">
      <c r="A9" s="56">
        <v>1</v>
      </c>
      <c r="B9" s="46" t="s">
        <v>234</v>
      </c>
      <c r="C9" s="49">
        <v>2020</v>
      </c>
      <c r="D9" s="50"/>
      <c r="E9" s="1134">
        <v>1189468114</v>
      </c>
      <c r="F9" s="122"/>
      <c r="G9" s="122"/>
      <c r="H9" s="122"/>
      <c r="I9" s="1134">
        <v>223591970</v>
      </c>
      <c r="J9" s="128">
        <f>E9-F9-G9-H9-I9</f>
        <v>965876144</v>
      </c>
      <c r="K9" s="1134">
        <v>699917177.52999997</v>
      </c>
    </row>
    <row r="10" spans="1:11" ht="20.1" customHeight="1">
      <c r="A10" s="56">
        <v>2</v>
      </c>
      <c r="B10" s="46" t="s">
        <v>235</v>
      </c>
      <c r="C10" s="121">
        <f>C9+1</f>
        <v>2021</v>
      </c>
      <c r="E10" s="1134">
        <v>1198224990</v>
      </c>
      <c r="F10" s="122"/>
      <c r="G10" s="122"/>
      <c r="H10" s="122"/>
      <c r="I10" s="1134">
        <v>223591970</v>
      </c>
      <c r="J10" s="128">
        <f t="shared" si="0" ref="J10:J21">E10-F10-G10-H10-I10</f>
        <v>974633020</v>
      </c>
      <c r="K10" s="1134">
        <v>699918114</v>
      </c>
    </row>
    <row r="11" spans="1:11" ht="20.1" customHeight="1">
      <c r="A11" s="56">
        <v>3</v>
      </c>
      <c r="B11" s="46" t="s">
        <v>236</v>
      </c>
      <c r="C11" s="48">
        <f>C10</f>
        <v>2021</v>
      </c>
      <c r="E11" s="1134">
        <v>1207008639</v>
      </c>
      <c r="F11" s="122"/>
      <c r="G11" s="122"/>
      <c r="H11" s="122"/>
      <c r="I11" s="1134">
        <v>223591970</v>
      </c>
      <c r="J11" s="128">
        <f t="shared" si="0"/>
        <v>983416669</v>
      </c>
      <c r="K11" s="1134">
        <v>699919050</v>
      </c>
    </row>
    <row r="12" spans="1:11" ht="20.1" customHeight="1">
      <c r="A12" s="56">
        <v>4</v>
      </c>
      <c r="B12" s="46" t="s">
        <v>237</v>
      </c>
      <c r="C12" s="48">
        <f t="shared" si="1" ref="C12:C21">C11</f>
        <v>2021</v>
      </c>
      <c r="E12" s="1134">
        <v>1210406401</v>
      </c>
      <c r="F12" s="122"/>
      <c r="G12" s="122"/>
      <c r="H12" s="122"/>
      <c r="I12" s="1134">
        <v>223591970</v>
      </c>
      <c r="J12" s="128">
        <f t="shared" si="0"/>
        <v>986814431</v>
      </c>
      <c r="K12" s="1134">
        <v>699919986</v>
      </c>
    </row>
    <row r="13" spans="1:11" ht="20.1" customHeight="1">
      <c r="A13" s="56">
        <v>5</v>
      </c>
      <c r="B13" s="46" t="s">
        <v>238</v>
      </c>
      <c r="C13" s="48">
        <f t="shared" si="1"/>
        <v>2021</v>
      </c>
      <c r="E13" s="1134">
        <v>1220405842</v>
      </c>
      <c r="F13" s="122"/>
      <c r="G13" s="122"/>
      <c r="H13" s="122"/>
      <c r="I13" s="1134">
        <v>223591970</v>
      </c>
      <c r="J13" s="128">
        <f t="shared" si="0"/>
        <v>996813872</v>
      </c>
      <c r="K13" s="1134">
        <v>699920922</v>
      </c>
    </row>
    <row r="14" spans="1:11" ht="20.1" customHeight="1">
      <c r="A14" s="56">
        <v>6</v>
      </c>
      <c r="B14" s="46" t="s">
        <v>239</v>
      </c>
      <c r="C14" s="48">
        <f t="shared" si="1"/>
        <v>2021</v>
      </c>
      <c r="E14" s="1134">
        <v>1234901886</v>
      </c>
      <c r="F14" s="122"/>
      <c r="G14" s="122"/>
      <c r="H14" s="122"/>
      <c r="I14" s="1134">
        <v>223591970</v>
      </c>
      <c r="J14" s="128">
        <f t="shared" si="0"/>
        <v>1011309916</v>
      </c>
      <c r="K14" s="1134">
        <v>864218891</v>
      </c>
    </row>
    <row r="15" spans="1:11" ht="20.1" customHeight="1">
      <c r="A15" s="56">
        <v>7</v>
      </c>
      <c r="B15" s="46" t="s">
        <v>250</v>
      </c>
      <c r="C15" s="48">
        <f t="shared" si="1"/>
        <v>2021</v>
      </c>
      <c r="E15" s="1134">
        <v>1517597469</v>
      </c>
      <c r="F15" s="122"/>
      <c r="G15" s="122"/>
      <c r="H15" s="122"/>
      <c r="I15" s="1134">
        <v>223591970</v>
      </c>
      <c r="J15" s="128">
        <f t="shared" si="0"/>
        <v>1294005499</v>
      </c>
      <c r="K15" s="1134">
        <v>864048537</v>
      </c>
    </row>
    <row r="16" spans="1:11" ht="20.1" customHeight="1">
      <c r="A16" s="56">
        <v>8</v>
      </c>
      <c r="B16" s="46" t="s">
        <v>240</v>
      </c>
      <c r="C16" s="48">
        <f t="shared" si="1"/>
        <v>2021</v>
      </c>
      <c r="E16" s="1134">
        <v>1466384772</v>
      </c>
      <c r="F16" s="122"/>
      <c r="G16" s="122"/>
      <c r="H16" s="122"/>
      <c r="I16" s="1134">
        <v>223591970</v>
      </c>
      <c r="J16" s="128">
        <f t="shared" si="0"/>
        <v>1242792802</v>
      </c>
      <c r="K16" s="1134">
        <v>863878183</v>
      </c>
    </row>
    <row r="17" spans="1:11" ht="20.1" customHeight="1">
      <c r="A17" s="56">
        <v>9</v>
      </c>
      <c r="B17" s="46" t="s">
        <v>241</v>
      </c>
      <c r="C17" s="48">
        <f t="shared" si="1"/>
        <v>2021</v>
      </c>
      <c r="E17" s="1134">
        <v>1465496320</v>
      </c>
      <c r="F17" s="122"/>
      <c r="G17" s="122"/>
      <c r="H17" s="122"/>
      <c r="I17" s="1134">
        <v>223591970</v>
      </c>
      <c r="J17" s="128">
        <f t="shared" si="0"/>
        <v>1241904350</v>
      </c>
      <c r="K17" s="1134">
        <v>863707828</v>
      </c>
    </row>
    <row r="18" spans="1:11" ht="20.1" customHeight="1">
      <c r="A18" s="56">
        <v>10</v>
      </c>
      <c r="B18" s="46" t="s">
        <v>242</v>
      </c>
      <c r="C18" s="48">
        <f t="shared" si="1"/>
        <v>2021</v>
      </c>
      <c r="E18" s="1134">
        <v>1476562024</v>
      </c>
      <c r="F18" s="122"/>
      <c r="G18" s="122"/>
      <c r="H18" s="122"/>
      <c r="I18" s="1134">
        <v>223591970</v>
      </c>
      <c r="J18" s="128">
        <f t="shared" si="0"/>
        <v>1252970054</v>
      </c>
      <c r="K18" s="1134">
        <v>863537474</v>
      </c>
    </row>
    <row r="19" spans="1:11" ht="20.1" customHeight="1">
      <c r="A19" s="56">
        <v>11</v>
      </c>
      <c r="B19" s="46" t="s">
        <v>244</v>
      </c>
      <c r="C19" s="48">
        <f t="shared" si="1"/>
        <v>2021</v>
      </c>
      <c r="E19" s="1134">
        <v>1485926739</v>
      </c>
      <c r="F19" s="122"/>
      <c r="G19" s="122"/>
      <c r="H19" s="122"/>
      <c r="I19" s="1134">
        <v>223591970</v>
      </c>
      <c r="J19" s="128">
        <f t="shared" si="0"/>
        <v>1262334769</v>
      </c>
      <c r="K19" s="1134">
        <v>863367120</v>
      </c>
    </row>
    <row r="20" spans="1:11" ht="20.1" customHeight="1">
      <c r="A20" s="56">
        <v>12</v>
      </c>
      <c r="B20" s="46" t="s">
        <v>243</v>
      </c>
      <c r="C20" s="48">
        <f t="shared" si="1"/>
        <v>2021</v>
      </c>
      <c r="E20" s="1134">
        <v>1495243812</v>
      </c>
      <c r="F20" s="122"/>
      <c r="G20" s="122"/>
      <c r="H20" s="122"/>
      <c r="I20" s="1134">
        <v>223591970</v>
      </c>
      <c r="J20" s="128">
        <f t="shared" si="0"/>
        <v>1271651842</v>
      </c>
      <c r="K20" s="1134">
        <v>863196766</v>
      </c>
    </row>
    <row r="21" spans="1:11" ht="20.1" customHeight="1">
      <c r="A21" s="56">
        <v>13</v>
      </c>
      <c r="B21" s="46" t="s">
        <v>234</v>
      </c>
      <c r="C21" s="48">
        <f t="shared" si="1"/>
        <v>2021</v>
      </c>
      <c r="E21" s="1134">
        <v>1468079001</v>
      </c>
      <c r="F21" s="122"/>
      <c r="G21" s="122"/>
      <c r="H21" s="122"/>
      <c r="I21" s="1134">
        <v>223591970</v>
      </c>
      <c r="J21" s="128">
        <f t="shared" si="0"/>
        <v>1244487031</v>
      </c>
      <c r="K21" s="1134">
        <v>863026412</v>
      </c>
    </row>
    <row r="22" spans="1:11" ht="20.1" customHeight="1">
      <c r="A22" s="46"/>
      <c r="E22" s="124"/>
      <c r="F22" s="124"/>
      <c r="G22" s="124"/>
      <c r="H22" s="124"/>
      <c r="I22" s="124"/>
      <c r="J22" s="124"/>
      <c r="K22" s="124"/>
    </row>
    <row r="23" spans="1:11" ht="20.1" customHeight="1">
      <c r="A23" s="56">
        <v>14</v>
      </c>
      <c r="B23" s="46" t="s">
        <v>259</v>
      </c>
      <c r="E23" s="124">
        <f t="shared" si="2" ref="E23:K23">SUM(E9:E21)/13</f>
        <v>1356592769.9230769</v>
      </c>
      <c r="F23" s="124">
        <f t="shared" si="2"/>
        <v>0</v>
      </c>
      <c r="G23" s="124">
        <f t="shared" si="2"/>
        <v>0</v>
      </c>
      <c r="H23" s="124">
        <f t="shared" si="2"/>
        <v>0</v>
      </c>
      <c r="I23" s="124">
        <f t="shared" si="2"/>
        <v>223591970</v>
      </c>
      <c r="J23" s="124">
        <f t="shared" si="2"/>
        <v>1133000799.9230769</v>
      </c>
      <c r="K23" s="124">
        <f t="shared" si="2"/>
        <v>800659727.73307681</v>
      </c>
    </row>
    <row r="24" spans="1:1" ht="20.1" customHeight="1">
      <c r="A24" s="56"/>
    </row>
    <row r="26" spans="1:1" ht="20.1" customHeight="1">
      <c r="A26" s="46" t="s">
        <v>261</v>
      </c>
    </row>
    <row r="27" spans="1:10" ht="20.1" customHeight="1">
      <c r="A27" s="52" t="s">
        <v>260</v>
      </c>
      <c r="B27" s="46" t="s">
        <v>262</v>
      </c>
      <c r="J27" s="67"/>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55"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80" zoomScaleNormal="100" zoomScaleSheetLayoutView="80" workbookViewId="0" topLeftCell="A1"/>
  </sheetViews>
  <sheetFormatPr defaultColWidth="8.88555555555556" defaultRowHeight="12.75"/>
  <cols>
    <col min="1" max="1" width="8.88888888888889" style="130"/>
    <col min="2" max="2" width="14.7777777777778" style="130" customWidth="1"/>
    <col min="3" max="3" width="12.7777777777778" style="130" bestFit="1" customWidth="1"/>
    <col min="4" max="8" width="8.88888888888889" style="130"/>
    <col min="9" max="9" width="12" style="130" customWidth="1"/>
    <col min="10" max="16384" width="8.88888888888889" style="130"/>
  </cols>
  <sheetData>
    <row r="1" spans="1:9" ht="15.75">
      <c r="A1" s="55"/>
      <c r="I1" s="6" t="s">
        <v>688</v>
      </c>
    </row>
    <row r="2" spans="1:9" ht="15.75">
      <c r="A2" s="55"/>
      <c r="I2" s="6" t="s">
        <v>221</v>
      </c>
    </row>
    <row r="3" spans="1:9" ht="15.75">
      <c r="A3" s="55"/>
      <c r="D3" s="131" t="s">
        <v>689</v>
      </c>
      <c r="I3" s="9" t="str">
        <f>'Attachment 1 - Sched 1A'!$J$3</f>
        <v>For the 12 months ended 12/31/2021</v>
      </c>
    </row>
    <row r="4" spans="1:1" ht="15.75">
      <c r="A4" s="55"/>
    </row>
    <row r="5" spans="1:3" ht="12.75">
      <c r="A5" s="131"/>
      <c r="C5" s="133"/>
    </row>
    <row r="6" spans="1:1" ht="12.75">
      <c r="A6" s="131" t="s">
        <v>345</v>
      </c>
    </row>
    <row r="7" spans="1:1" ht="12.75">
      <c r="A7" s="147" t="s">
        <v>362</v>
      </c>
    </row>
    <row r="8" spans="1:1" ht="12.75">
      <c r="A8" s="131"/>
    </row>
    <row r="10" spans="1:1" ht="12.75">
      <c r="A10" s="131" t="s">
        <v>346</v>
      </c>
    </row>
    <row r="12" spans="1:9" ht="15" customHeight="1">
      <c r="A12" s="1199" t="s">
        <v>1099</v>
      </c>
      <c r="B12" s="1200"/>
      <c r="C12" s="1200"/>
      <c r="D12" s="1200"/>
      <c r="E12" s="1200"/>
      <c r="F12" s="1200"/>
      <c r="G12" s="1200"/>
      <c r="H12" s="1200"/>
      <c r="I12" s="1200"/>
    </row>
    <row r="15" spans="1:9" ht="12.75">
      <c r="A15" s="711" t="s">
        <v>347</v>
      </c>
      <c r="B15" s="133"/>
      <c r="C15" s="133"/>
      <c r="D15" s="133"/>
      <c r="E15" s="133"/>
      <c r="F15" s="133"/>
      <c r="G15" s="133"/>
      <c r="H15" s="133"/>
      <c r="I15" s="133"/>
    </row>
    <row r="16" spans="1:9" ht="12.75">
      <c r="A16" s="711"/>
      <c r="B16" s="712" t="s">
        <v>348</v>
      </c>
      <c r="C16" s="133"/>
      <c r="D16" s="133"/>
      <c r="E16" s="133"/>
      <c r="F16" s="133"/>
      <c r="G16" s="133"/>
      <c r="H16" s="133"/>
      <c r="I16" s="133"/>
    </row>
    <row r="17" spans="1:15" s="132" customFormat="1" ht="15" customHeight="1">
      <c r="A17" s="277" t="s">
        <v>814</v>
      </c>
      <c r="B17" s="277"/>
      <c r="C17" s="703">
        <v>-108686300</v>
      </c>
      <c r="D17" s="277"/>
      <c r="E17" s="277"/>
      <c r="F17" s="703"/>
      <c r="G17" s="277"/>
      <c r="H17" s="277"/>
      <c r="I17" s="703"/>
      <c r="J17" s="138"/>
      <c r="K17" s="138"/>
      <c r="L17" s="157"/>
      <c r="M17" s="138"/>
      <c r="N17" s="138"/>
      <c r="O17" s="138"/>
    </row>
    <row r="18" spans="1:9" ht="14.25" customHeight="1">
      <c r="A18" s="277" t="s">
        <v>815</v>
      </c>
      <c r="B18" s="277"/>
      <c r="C18" s="703">
        <v>2024261894</v>
      </c>
      <c r="D18" s="277"/>
      <c r="E18" s="277"/>
      <c r="F18" s="703"/>
      <c r="G18" s="277"/>
      <c r="H18" s="277"/>
      <c r="I18" s="703"/>
    </row>
    <row r="20" spans="1:1" ht="12.75">
      <c r="A20" s="131" t="s">
        <v>349</v>
      </c>
    </row>
    <row r="21" spans="1:1" ht="12.75">
      <c r="A21" s="131"/>
    </row>
    <row r="22" spans="1:3" ht="12.75">
      <c r="A22" s="130" t="s">
        <v>350</v>
      </c>
      <c r="C22" s="710" t="s">
        <v>351</v>
      </c>
    </row>
    <row r="23" spans="1:10" ht="15">
      <c r="A23" s="652">
        <v>352</v>
      </c>
      <c r="C23" s="709">
        <v>0.012800000000000001</v>
      </c>
      <c r="J23" s="651"/>
    </row>
    <row r="24" spans="1:10" ht="15">
      <c r="A24" s="652">
        <v>353</v>
      </c>
      <c r="C24" s="709">
        <v>0.020499999999999997</v>
      </c>
      <c r="J24" s="651"/>
    </row>
    <row r="25" spans="1:10" ht="15">
      <c r="A25" s="652">
        <v>354</v>
      </c>
      <c r="C25" s="709">
        <v>0.013899999999999999</v>
      </c>
      <c r="J25" s="651"/>
    </row>
    <row r="26" spans="1:10" ht="15">
      <c r="A26" s="652">
        <v>355</v>
      </c>
      <c r="C26" s="709">
        <v>0.023199999999999998</v>
      </c>
      <c r="J26" s="651"/>
    </row>
    <row r="27" spans="1:10" ht="15">
      <c r="A27" s="652">
        <v>356</v>
      </c>
      <c r="C27" s="709">
        <v>0.026800000000000001</v>
      </c>
      <c r="J27" s="651"/>
    </row>
    <row r="28" spans="1:10" ht="15">
      <c r="A28" s="652">
        <v>356.10000000000002</v>
      </c>
      <c r="C28" s="709">
        <v>0.012699999999999999</v>
      </c>
      <c r="J28" s="651"/>
    </row>
    <row r="29" spans="1:10" ht="15">
      <c r="A29" s="652">
        <v>358</v>
      </c>
      <c r="C29" s="709">
        <v>0.0252</v>
      </c>
      <c r="J29" s="651"/>
    </row>
    <row r="30" spans="1:10" ht="15">
      <c r="A30" s="652">
        <v>359</v>
      </c>
      <c r="C30" s="709">
        <v>0.0086999999999999994</v>
      </c>
      <c r="J30" s="651"/>
    </row>
    <row r="31" spans="1:10" ht="15">
      <c r="A31" s="834">
        <v>390.10000000000002</v>
      </c>
      <c r="B31" s="835"/>
      <c r="C31" s="836">
        <v>0.029000000000000001</v>
      </c>
      <c r="J31" s="651"/>
    </row>
    <row r="32" spans="1:10" ht="15">
      <c r="A32" s="834">
        <v>390.19999999999999</v>
      </c>
      <c r="B32" s="835"/>
      <c r="C32" s="836">
        <v>0.0124</v>
      </c>
      <c r="J32" s="651"/>
    </row>
    <row r="33" spans="1:10" ht="15">
      <c r="A33" s="834">
        <v>391.10000000000002</v>
      </c>
      <c r="B33" s="835"/>
      <c r="C33" s="836">
        <v>0.0063</v>
      </c>
      <c r="J33" s="651"/>
    </row>
    <row r="34" spans="1:10" ht="15">
      <c r="A34" s="834">
        <v>391.19999999999999</v>
      </c>
      <c r="B34" s="835"/>
      <c r="C34" s="836">
        <v>0.18820000000000001</v>
      </c>
      <c r="J34" s="651"/>
    </row>
    <row r="35" spans="1:10" ht="15">
      <c r="A35" s="834">
        <v>392</v>
      </c>
      <c r="B35" s="835"/>
      <c r="C35" s="836">
        <v>0.048399999999999999</v>
      </c>
      <c r="J35" s="651"/>
    </row>
    <row r="36" spans="1:10" ht="15">
      <c r="A36" s="834">
        <v>393</v>
      </c>
      <c r="B36" s="835"/>
      <c r="C36" s="836">
        <v>0.0001</v>
      </c>
      <c r="J36" s="651"/>
    </row>
    <row r="37" spans="1:10" ht="15">
      <c r="A37" s="834">
        <v>394</v>
      </c>
      <c r="B37" s="835"/>
      <c r="C37" s="836">
        <v>0.046199999999999998</v>
      </c>
      <c r="J37" s="651"/>
    </row>
    <row r="38" spans="1:10" ht="15">
      <c r="A38" s="834">
        <v>395</v>
      </c>
      <c r="B38" s="835"/>
      <c r="C38" s="836">
        <v>0</v>
      </c>
      <c r="J38" s="651"/>
    </row>
    <row r="39" spans="1:10" ht="15">
      <c r="A39" s="834">
        <v>396</v>
      </c>
      <c r="B39" s="835"/>
      <c r="C39" s="836">
        <v>0.0047000000000000002</v>
      </c>
      <c r="J39" s="651"/>
    </row>
    <row r="40" spans="1:10" ht="15">
      <c r="A40" s="834">
        <v>397</v>
      </c>
      <c r="B40" s="835"/>
      <c r="C40" s="836">
        <v>0.017999999999999999</v>
      </c>
      <c r="J40" s="651"/>
    </row>
    <row r="41" spans="1:10" ht="15">
      <c r="A41" s="834">
        <v>398</v>
      </c>
      <c r="B41" s="835"/>
      <c r="C41" s="836">
        <v>0.0032000000000000002</v>
      </c>
      <c r="J41" s="651"/>
    </row>
    <row r="42" spans="1:10" ht="15">
      <c r="A42" s="837">
        <v>303</v>
      </c>
      <c r="B42" s="838"/>
      <c r="C42" s="839">
        <v>0.1429</v>
      </c>
      <c r="J42" s="651"/>
    </row>
    <row r="43" spans="1:9" ht="12.75">
      <c r="A43" s="711"/>
      <c r="B43" s="133"/>
      <c r="C43" s="133"/>
      <c r="D43" s="133"/>
      <c r="E43" s="133"/>
      <c r="F43" s="133"/>
      <c r="G43" s="133"/>
      <c r="H43" s="133"/>
      <c r="I43" s="133"/>
    </row>
    <row r="44" spans="1:9" ht="12.75">
      <c r="A44" s="711" t="s">
        <v>1067</v>
      </c>
      <c r="B44" s="133"/>
      <c r="C44" s="133"/>
      <c r="D44" s="133"/>
      <c r="E44" s="133"/>
      <c r="F44" s="133"/>
      <c r="G44" s="133"/>
      <c r="H44" s="133"/>
      <c r="I44" s="133"/>
    </row>
    <row r="45" spans="1:9" ht="27.75" customHeight="1">
      <c r="A45" s="1199" t="s">
        <v>1100</v>
      </c>
      <c r="B45" s="1199"/>
      <c r="C45" s="1199"/>
      <c r="D45" s="1199"/>
      <c r="E45" s="1199"/>
      <c r="F45" s="1199"/>
      <c r="G45" s="1199"/>
      <c r="H45" s="1199"/>
      <c r="I45" s="1199"/>
    </row>
    <row r="47" spans="1:1" ht="12.75">
      <c r="A47" s="711" t="s">
        <v>1096</v>
      </c>
    </row>
    <row r="48" spans="1:1" ht="12.75">
      <c r="A48" s="130" t="s">
        <v>1097</v>
      </c>
    </row>
  </sheetData>
  <mergeCells count="2">
    <mergeCell ref="A12:I12"/>
    <mergeCell ref="A45:I45"/>
  </mergeCells>
  <pageMargins left="0.7" right="0.7" top="0.75" bottom="0.75" header="0.3" footer="0.3"/>
  <pageSetup orientation="portrait" scale="6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AZ149"/>
  <sheetViews>
    <sheetView view="pageBreakPreview" zoomScale="60" zoomScaleNormal="70" workbookViewId="0" topLeftCell="A1"/>
  </sheetViews>
  <sheetFormatPr defaultColWidth="13.3355555555556" defaultRowHeight="12.75"/>
  <cols>
    <col min="1" max="1" width="3.22222222222222" style="337" customWidth="1"/>
    <col min="2" max="2" width="14.4444444444444" style="337" customWidth="1"/>
    <col min="3" max="3" width="13.5555555555556" style="337" bestFit="1" customWidth="1"/>
    <col min="4" max="4" width="15.6666666666667" style="337" bestFit="1" customWidth="1"/>
    <col min="5" max="6" width="3.22222222222222" style="337" customWidth="1"/>
    <col min="7" max="7" width="13.5555555555556" style="337" bestFit="1" customWidth="1"/>
    <col min="8" max="8" width="4.44444444444444" style="337" customWidth="1"/>
    <col min="9" max="9" width="13.5555555555556" style="337" bestFit="1" customWidth="1"/>
    <col min="10" max="10" width="4.44444444444444" style="337" customWidth="1"/>
    <col min="11" max="11" width="13.8888888888889" style="337" bestFit="1" customWidth="1"/>
    <col min="12" max="12" width="4.44444444444444" style="337" customWidth="1"/>
    <col min="13" max="13" width="13.5555555555556" style="337" bestFit="1" customWidth="1"/>
    <col min="14" max="14" width="4.44444444444444" style="337" customWidth="1"/>
    <col min="15" max="15" width="13.5555555555556" style="337" bestFit="1" customWidth="1"/>
    <col min="16" max="16" width="4.44444444444444" style="337" customWidth="1"/>
    <col min="17" max="17" width="15.5555555555556" style="337" customWidth="1"/>
    <col min="18" max="18" width="4.44444444444444" style="337" customWidth="1"/>
    <col min="19" max="19" width="13.5555555555556" style="337" bestFit="1" customWidth="1"/>
    <col min="20" max="20" width="4.44444444444444" style="337" customWidth="1"/>
    <col min="21" max="21" width="13.3333333333333" style="337" bestFit="1" customWidth="1"/>
    <col min="22" max="22" width="4.44444444444444" style="337" customWidth="1"/>
    <col min="23" max="23" width="13.3333333333333" style="337" bestFit="1" customWidth="1"/>
    <col min="24" max="24" width="4.44444444444444" style="337" customWidth="1"/>
    <col min="25" max="25" width="13.3333333333333" style="337" bestFit="1" customWidth="1"/>
    <col min="26" max="26" width="4.44444444444444" style="337" customWidth="1"/>
    <col min="27" max="27" width="13.3333333333333" style="337" bestFit="1" customWidth="1"/>
    <col min="28" max="257" width="13.3333333333333" style="337"/>
    <col min="258" max="258" width="14.4444444444444" style="337" customWidth="1"/>
    <col min="259" max="259" width="13.4444444444444" style="337" bestFit="1" customWidth="1"/>
    <col min="260" max="260" width="14.3333333333333" style="337" bestFit="1" customWidth="1"/>
    <col min="261" max="262" width="13.3333333333333" style="337"/>
    <col min="263" max="263" width="13.4444444444444" style="337" bestFit="1" customWidth="1"/>
    <col min="264" max="264" width="13.3333333333333" style="337"/>
    <col min="265" max="265" width="13.4444444444444" style="337" bestFit="1" customWidth="1"/>
    <col min="266" max="266" width="13.3333333333333" style="337"/>
    <col min="267" max="269" width="13.4444444444444" style="337" bestFit="1" customWidth="1"/>
    <col min="270" max="270" width="13.3333333333333" style="337"/>
    <col min="271" max="271" width="13.4444444444444" style="337" bestFit="1" customWidth="1"/>
    <col min="272" max="272" width="13.3333333333333" style="337"/>
    <col min="273" max="273" width="14.2222222222222" style="337" bestFit="1" customWidth="1"/>
    <col min="274" max="274" width="13.3333333333333" style="337"/>
    <col min="275" max="275" width="13.4444444444444" style="337" bestFit="1" customWidth="1"/>
    <col min="276" max="513" width="13.3333333333333" style="337"/>
    <col min="514" max="514" width="14.4444444444444" style="337" customWidth="1"/>
    <col min="515" max="515" width="13.4444444444444" style="337" bestFit="1" customWidth="1"/>
    <col min="516" max="516" width="14.3333333333333" style="337" bestFit="1" customWidth="1"/>
    <col min="517" max="518" width="13.3333333333333" style="337"/>
    <col min="519" max="519" width="13.4444444444444" style="337" bestFit="1" customWidth="1"/>
    <col min="520" max="520" width="13.3333333333333" style="337"/>
    <col min="521" max="521" width="13.4444444444444" style="337" bestFit="1" customWidth="1"/>
    <col min="522" max="522" width="13.3333333333333" style="337"/>
    <col min="523" max="525" width="13.4444444444444" style="337" bestFit="1" customWidth="1"/>
    <col min="526" max="526" width="13.3333333333333" style="337"/>
    <col min="527" max="527" width="13.4444444444444" style="337" bestFit="1" customWidth="1"/>
    <col min="528" max="528" width="13.3333333333333" style="337"/>
    <col min="529" max="529" width="14.2222222222222" style="337" bestFit="1" customWidth="1"/>
    <col min="530" max="530" width="13.3333333333333" style="337"/>
    <col min="531" max="531" width="13.4444444444444" style="337" bestFit="1" customWidth="1"/>
    <col min="532" max="769" width="13.3333333333333" style="337"/>
    <col min="770" max="770" width="14.4444444444444" style="337" customWidth="1"/>
    <col min="771" max="771" width="13.4444444444444" style="337" bestFit="1" customWidth="1"/>
    <col min="772" max="772" width="14.3333333333333" style="337" bestFit="1" customWidth="1"/>
    <col min="773" max="774" width="13.3333333333333" style="337"/>
    <col min="775" max="775" width="13.4444444444444" style="337" bestFit="1" customWidth="1"/>
    <col min="776" max="776" width="13.3333333333333" style="337"/>
    <col min="777" max="777" width="13.4444444444444" style="337" bestFit="1" customWidth="1"/>
    <col min="778" max="778" width="13.3333333333333" style="337"/>
    <col min="779" max="781" width="13.4444444444444" style="337" bestFit="1" customWidth="1"/>
    <col min="782" max="782" width="13.3333333333333" style="337"/>
    <col min="783" max="783" width="13.4444444444444" style="337" bestFit="1" customWidth="1"/>
    <col min="784" max="784" width="13.3333333333333" style="337"/>
    <col min="785" max="785" width="14.2222222222222" style="337" bestFit="1" customWidth="1"/>
    <col min="786" max="786" width="13.3333333333333" style="337"/>
    <col min="787" max="787" width="13.4444444444444" style="337" bestFit="1" customWidth="1"/>
    <col min="788" max="1025" width="13.3333333333333" style="337"/>
    <col min="1026" max="1026" width="14.4444444444444" style="337" customWidth="1"/>
    <col min="1027" max="1027" width="13.4444444444444" style="337" bestFit="1" customWidth="1"/>
    <col min="1028" max="1028" width="14.3333333333333" style="337" bestFit="1" customWidth="1"/>
    <col min="1029" max="1030" width="13.3333333333333" style="337"/>
    <col min="1031" max="1031" width="13.4444444444444" style="337" bestFit="1" customWidth="1"/>
    <col min="1032" max="1032" width="13.3333333333333" style="337"/>
    <col min="1033" max="1033" width="13.4444444444444" style="337" bestFit="1" customWidth="1"/>
    <col min="1034" max="1034" width="13.3333333333333" style="337"/>
    <col min="1035" max="1037" width="13.4444444444444" style="337" bestFit="1" customWidth="1"/>
    <col min="1038" max="1038" width="13.3333333333333" style="337"/>
    <col min="1039" max="1039" width="13.4444444444444" style="337" bestFit="1" customWidth="1"/>
    <col min="1040" max="1040" width="13.3333333333333" style="337"/>
    <col min="1041" max="1041" width="14.2222222222222" style="337" bestFit="1" customWidth="1"/>
    <col min="1042" max="1042" width="13.3333333333333" style="337"/>
    <col min="1043" max="1043" width="13.4444444444444" style="337" bestFit="1" customWidth="1"/>
    <col min="1044" max="1281" width="13.3333333333333" style="337"/>
    <col min="1282" max="1282" width="14.4444444444444" style="337" customWidth="1"/>
    <col min="1283" max="1283" width="13.4444444444444" style="337" bestFit="1" customWidth="1"/>
    <col min="1284" max="1284" width="14.3333333333333" style="337" bestFit="1" customWidth="1"/>
    <col min="1285" max="1286" width="13.3333333333333" style="337"/>
    <col min="1287" max="1287" width="13.4444444444444" style="337" bestFit="1" customWidth="1"/>
    <col min="1288" max="1288" width="13.3333333333333" style="337"/>
    <col min="1289" max="1289" width="13.4444444444444" style="337" bestFit="1" customWidth="1"/>
    <col min="1290" max="1290" width="13.3333333333333" style="337"/>
    <col min="1291" max="1293" width="13.4444444444444" style="337" bestFit="1" customWidth="1"/>
    <col min="1294" max="1294" width="13.3333333333333" style="337"/>
    <col min="1295" max="1295" width="13.4444444444444" style="337" bestFit="1" customWidth="1"/>
    <col min="1296" max="1296" width="13.3333333333333" style="337"/>
    <col min="1297" max="1297" width="14.2222222222222" style="337" bestFit="1" customWidth="1"/>
    <col min="1298" max="1298" width="13.3333333333333" style="337"/>
    <col min="1299" max="1299" width="13.4444444444444" style="337" bestFit="1" customWidth="1"/>
    <col min="1300" max="1537" width="13.3333333333333" style="337"/>
    <col min="1538" max="1538" width="14.4444444444444" style="337" customWidth="1"/>
    <col min="1539" max="1539" width="13.4444444444444" style="337" bestFit="1" customWidth="1"/>
    <col min="1540" max="1540" width="14.3333333333333" style="337" bestFit="1" customWidth="1"/>
    <col min="1541" max="1542" width="13.3333333333333" style="337"/>
    <col min="1543" max="1543" width="13.4444444444444" style="337" bestFit="1" customWidth="1"/>
    <col min="1544" max="1544" width="13.3333333333333" style="337"/>
    <col min="1545" max="1545" width="13.4444444444444" style="337" bestFit="1" customWidth="1"/>
    <col min="1546" max="1546" width="13.3333333333333" style="337"/>
    <col min="1547" max="1549" width="13.4444444444444" style="337" bestFit="1" customWidth="1"/>
    <col min="1550" max="1550" width="13.3333333333333" style="337"/>
    <col min="1551" max="1551" width="13.4444444444444" style="337" bestFit="1" customWidth="1"/>
    <col min="1552" max="1552" width="13.3333333333333" style="337"/>
    <col min="1553" max="1553" width="14.2222222222222" style="337" bestFit="1" customWidth="1"/>
    <col min="1554" max="1554" width="13.3333333333333" style="337"/>
    <col min="1555" max="1555" width="13.4444444444444" style="337" bestFit="1" customWidth="1"/>
    <col min="1556" max="1793" width="13.3333333333333" style="337"/>
    <col min="1794" max="1794" width="14.4444444444444" style="337" customWidth="1"/>
    <col min="1795" max="1795" width="13.4444444444444" style="337" bestFit="1" customWidth="1"/>
    <col min="1796" max="1796" width="14.3333333333333" style="337" bestFit="1" customWidth="1"/>
    <col min="1797" max="1798" width="13.3333333333333" style="337"/>
    <col min="1799" max="1799" width="13.4444444444444" style="337" bestFit="1" customWidth="1"/>
    <col min="1800" max="1800" width="13.3333333333333" style="337"/>
    <col min="1801" max="1801" width="13.4444444444444" style="337" bestFit="1" customWidth="1"/>
    <col min="1802" max="1802" width="13.3333333333333" style="337"/>
    <col min="1803" max="1805" width="13.4444444444444" style="337" bestFit="1" customWidth="1"/>
    <col min="1806" max="1806" width="13.3333333333333" style="337"/>
    <col min="1807" max="1807" width="13.4444444444444" style="337" bestFit="1" customWidth="1"/>
    <col min="1808" max="1808" width="13.3333333333333" style="337"/>
    <col min="1809" max="1809" width="14.2222222222222" style="337" bestFit="1" customWidth="1"/>
    <col min="1810" max="1810" width="13.3333333333333" style="337"/>
    <col min="1811" max="1811" width="13.4444444444444" style="337" bestFit="1" customWidth="1"/>
    <col min="1812" max="2049" width="13.3333333333333" style="337"/>
    <col min="2050" max="2050" width="14.4444444444444" style="337" customWidth="1"/>
    <col min="2051" max="2051" width="13.4444444444444" style="337" bestFit="1" customWidth="1"/>
    <col min="2052" max="2052" width="14.3333333333333" style="337" bestFit="1" customWidth="1"/>
    <col min="2053" max="2054" width="13.3333333333333" style="337"/>
    <col min="2055" max="2055" width="13.4444444444444" style="337" bestFit="1" customWidth="1"/>
    <col min="2056" max="2056" width="13.3333333333333" style="337"/>
    <col min="2057" max="2057" width="13.4444444444444" style="337" bestFit="1" customWidth="1"/>
    <col min="2058" max="2058" width="13.3333333333333" style="337"/>
    <col min="2059" max="2061" width="13.4444444444444" style="337" bestFit="1" customWidth="1"/>
    <col min="2062" max="2062" width="13.3333333333333" style="337"/>
    <col min="2063" max="2063" width="13.4444444444444" style="337" bestFit="1" customWidth="1"/>
    <col min="2064" max="2064" width="13.3333333333333" style="337"/>
    <col min="2065" max="2065" width="14.2222222222222" style="337" bestFit="1" customWidth="1"/>
    <col min="2066" max="2066" width="13.3333333333333" style="337"/>
    <col min="2067" max="2067" width="13.4444444444444" style="337" bestFit="1" customWidth="1"/>
    <col min="2068" max="2305" width="13.3333333333333" style="337"/>
    <col min="2306" max="2306" width="14.4444444444444" style="337" customWidth="1"/>
    <col min="2307" max="2307" width="13.4444444444444" style="337" bestFit="1" customWidth="1"/>
    <col min="2308" max="2308" width="14.3333333333333" style="337" bestFit="1" customWidth="1"/>
    <col min="2309" max="2310" width="13.3333333333333" style="337"/>
    <col min="2311" max="2311" width="13.4444444444444" style="337" bestFit="1" customWidth="1"/>
    <col min="2312" max="2312" width="13.3333333333333" style="337"/>
    <col min="2313" max="2313" width="13.4444444444444" style="337" bestFit="1" customWidth="1"/>
    <col min="2314" max="2314" width="13.3333333333333" style="337"/>
    <col min="2315" max="2317" width="13.4444444444444" style="337" bestFit="1" customWidth="1"/>
    <col min="2318" max="2318" width="13.3333333333333" style="337"/>
    <col min="2319" max="2319" width="13.4444444444444" style="337" bestFit="1" customWidth="1"/>
    <col min="2320" max="2320" width="13.3333333333333" style="337"/>
    <col min="2321" max="2321" width="14.2222222222222" style="337" bestFit="1" customWidth="1"/>
    <col min="2322" max="2322" width="13.3333333333333" style="337"/>
    <col min="2323" max="2323" width="13.4444444444444" style="337" bestFit="1" customWidth="1"/>
    <col min="2324" max="2561" width="13.3333333333333" style="337"/>
    <col min="2562" max="2562" width="14.4444444444444" style="337" customWidth="1"/>
    <col min="2563" max="2563" width="13.4444444444444" style="337" bestFit="1" customWidth="1"/>
    <col min="2564" max="2564" width="14.3333333333333" style="337" bestFit="1" customWidth="1"/>
    <col min="2565" max="2566" width="13.3333333333333" style="337"/>
    <col min="2567" max="2567" width="13.4444444444444" style="337" bestFit="1" customWidth="1"/>
    <col min="2568" max="2568" width="13.3333333333333" style="337"/>
    <col min="2569" max="2569" width="13.4444444444444" style="337" bestFit="1" customWidth="1"/>
    <col min="2570" max="2570" width="13.3333333333333" style="337"/>
    <col min="2571" max="2573" width="13.4444444444444" style="337" bestFit="1" customWidth="1"/>
    <col min="2574" max="2574" width="13.3333333333333" style="337"/>
    <col min="2575" max="2575" width="13.4444444444444" style="337" bestFit="1" customWidth="1"/>
    <col min="2576" max="2576" width="13.3333333333333" style="337"/>
    <col min="2577" max="2577" width="14.2222222222222" style="337" bestFit="1" customWidth="1"/>
    <col min="2578" max="2578" width="13.3333333333333" style="337"/>
    <col min="2579" max="2579" width="13.4444444444444" style="337" bestFit="1" customWidth="1"/>
    <col min="2580" max="2817" width="13.3333333333333" style="337"/>
    <col min="2818" max="2818" width="14.4444444444444" style="337" customWidth="1"/>
    <col min="2819" max="2819" width="13.4444444444444" style="337" bestFit="1" customWidth="1"/>
    <col min="2820" max="2820" width="14.3333333333333" style="337" bestFit="1" customWidth="1"/>
    <col min="2821" max="2822" width="13.3333333333333" style="337"/>
    <col min="2823" max="2823" width="13.4444444444444" style="337" bestFit="1" customWidth="1"/>
    <col min="2824" max="2824" width="13.3333333333333" style="337"/>
    <col min="2825" max="2825" width="13.4444444444444" style="337" bestFit="1" customWidth="1"/>
    <col min="2826" max="2826" width="13.3333333333333" style="337"/>
    <col min="2827" max="2829" width="13.4444444444444" style="337" bestFit="1" customWidth="1"/>
    <col min="2830" max="2830" width="13.3333333333333" style="337"/>
    <col min="2831" max="2831" width="13.4444444444444" style="337" bestFit="1" customWidth="1"/>
    <col min="2832" max="2832" width="13.3333333333333" style="337"/>
    <col min="2833" max="2833" width="14.2222222222222" style="337" bestFit="1" customWidth="1"/>
    <col min="2834" max="2834" width="13.3333333333333" style="337"/>
    <col min="2835" max="2835" width="13.4444444444444" style="337" bestFit="1" customWidth="1"/>
    <col min="2836" max="3073" width="13.3333333333333" style="337"/>
    <col min="3074" max="3074" width="14.4444444444444" style="337" customWidth="1"/>
    <col min="3075" max="3075" width="13.4444444444444" style="337" bestFit="1" customWidth="1"/>
    <col min="3076" max="3076" width="14.3333333333333" style="337" bestFit="1" customWidth="1"/>
    <col min="3077" max="3078" width="13.3333333333333" style="337"/>
    <col min="3079" max="3079" width="13.4444444444444" style="337" bestFit="1" customWidth="1"/>
    <col min="3080" max="3080" width="13.3333333333333" style="337"/>
    <col min="3081" max="3081" width="13.4444444444444" style="337" bestFit="1" customWidth="1"/>
    <col min="3082" max="3082" width="13.3333333333333" style="337"/>
    <col min="3083" max="3085" width="13.4444444444444" style="337" bestFit="1" customWidth="1"/>
    <col min="3086" max="3086" width="13.3333333333333" style="337"/>
    <col min="3087" max="3087" width="13.4444444444444" style="337" bestFit="1" customWidth="1"/>
    <col min="3088" max="3088" width="13.3333333333333" style="337"/>
    <col min="3089" max="3089" width="14.2222222222222" style="337" bestFit="1" customWidth="1"/>
    <col min="3090" max="3090" width="13.3333333333333" style="337"/>
    <col min="3091" max="3091" width="13.4444444444444" style="337" bestFit="1" customWidth="1"/>
    <col min="3092" max="3329" width="13.3333333333333" style="337"/>
    <col min="3330" max="3330" width="14.4444444444444" style="337" customWidth="1"/>
    <col min="3331" max="3331" width="13.4444444444444" style="337" bestFit="1" customWidth="1"/>
    <col min="3332" max="3332" width="14.3333333333333" style="337" bestFit="1" customWidth="1"/>
    <col min="3333" max="3334" width="13.3333333333333" style="337"/>
    <col min="3335" max="3335" width="13.4444444444444" style="337" bestFit="1" customWidth="1"/>
    <col min="3336" max="3336" width="13.3333333333333" style="337"/>
    <col min="3337" max="3337" width="13.4444444444444" style="337" bestFit="1" customWidth="1"/>
    <col min="3338" max="3338" width="13.3333333333333" style="337"/>
    <col min="3339" max="3341" width="13.4444444444444" style="337" bestFit="1" customWidth="1"/>
    <col min="3342" max="3342" width="13.3333333333333" style="337"/>
    <col min="3343" max="3343" width="13.4444444444444" style="337" bestFit="1" customWidth="1"/>
    <col min="3344" max="3344" width="13.3333333333333" style="337"/>
    <col min="3345" max="3345" width="14.2222222222222" style="337" bestFit="1" customWidth="1"/>
    <col min="3346" max="3346" width="13.3333333333333" style="337"/>
    <col min="3347" max="3347" width="13.4444444444444" style="337" bestFit="1" customWidth="1"/>
    <col min="3348" max="3585" width="13.3333333333333" style="337"/>
    <col min="3586" max="3586" width="14.4444444444444" style="337" customWidth="1"/>
    <col min="3587" max="3587" width="13.4444444444444" style="337" bestFit="1" customWidth="1"/>
    <col min="3588" max="3588" width="14.3333333333333" style="337" bestFit="1" customWidth="1"/>
    <col min="3589" max="3590" width="13.3333333333333" style="337"/>
    <col min="3591" max="3591" width="13.4444444444444" style="337" bestFit="1" customWidth="1"/>
    <col min="3592" max="3592" width="13.3333333333333" style="337"/>
    <col min="3593" max="3593" width="13.4444444444444" style="337" bestFit="1" customWidth="1"/>
    <col min="3594" max="3594" width="13.3333333333333" style="337"/>
    <col min="3595" max="3597" width="13.4444444444444" style="337" bestFit="1" customWidth="1"/>
    <col min="3598" max="3598" width="13.3333333333333" style="337"/>
    <col min="3599" max="3599" width="13.4444444444444" style="337" bestFit="1" customWidth="1"/>
    <col min="3600" max="3600" width="13.3333333333333" style="337"/>
    <col min="3601" max="3601" width="14.2222222222222" style="337" bestFit="1" customWidth="1"/>
    <col min="3602" max="3602" width="13.3333333333333" style="337"/>
    <col min="3603" max="3603" width="13.4444444444444" style="337" bestFit="1" customWidth="1"/>
    <col min="3604" max="3841" width="13.3333333333333" style="337"/>
    <col min="3842" max="3842" width="14.4444444444444" style="337" customWidth="1"/>
    <col min="3843" max="3843" width="13.4444444444444" style="337" bestFit="1" customWidth="1"/>
    <col min="3844" max="3844" width="14.3333333333333" style="337" bestFit="1" customWidth="1"/>
    <col min="3845" max="3846" width="13.3333333333333" style="337"/>
    <col min="3847" max="3847" width="13.4444444444444" style="337" bestFit="1" customWidth="1"/>
    <col min="3848" max="3848" width="13.3333333333333" style="337"/>
    <col min="3849" max="3849" width="13.4444444444444" style="337" bestFit="1" customWidth="1"/>
    <col min="3850" max="3850" width="13.3333333333333" style="337"/>
    <col min="3851" max="3853" width="13.4444444444444" style="337" bestFit="1" customWidth="1"/>
    <col min="3854" max="3854" width="13.3333333333333" style="337"/>
    <col min="3855" max="3855" width="13.4444444444444" style="337" bestFit="1" customWidth="1"/>
    <col min="3856" max="3856" width="13.3333333333333" style="337"/>
    <col min="3857" max="3857" width="14.2222222222222" style="337" bestFit="1" customWidth="1"/>
    <col min="3858" max="3858" width="13.3333333333333" style="337"/>
    <col min="3859" max="3859" width="13.4444444444444" style="337" bestFit="1" customWidth="1"/>
    <col min="3860" max="4097" width="13.3333333333333" style="337"/>
    <col min="4098" max="4098" width="14.4444444444444" style="337" customWidth="1"/>
    <col min="4099" max="4099" width="13.4444444444444" style="337" bestFit="1" customWidth="1"/>
    <col min="4100" max="4100" width="14.3333333333333" style="337" bestFit="1" customWidth="1"/>
    <col min="4101" max="4102" width="13.3333333333333" style="337"/>
    <col min="4103" max="4103" width="13.4444444444444" style="337" bestFit="1" customWidth="1"/>
    <col min="4104" max="4104" width="13.3333333333333" style="337"/>
    <col min="4105" max="4105" width="13.4444444444444" style="337" bestFit="1" customWidth="1"/>
    <col min="4106" max="4106" width="13.3333333333333" style="337"/>
    <col min="4107" max="4109" width="13.4444444444444" style="337" bestFit="1" customWidth="1"/>
    <col min="4110" max="4110" width="13.3333333333333" style="337"/>
    <col min="4111" max="4111" width="13.4444444444444" style="337" bestFit="1" customWidth="1"/>
    <col min="4112" max="4112" width="13.3333333333333" style="337"/>
    <col min="4113" max="4113" width="14.2222222222222" style="337" bestFit="1" customWidth="1"/>
    <col min="4114" max="4114" width="13.3333333333333" style="337"/>
    <col min="4115" max="4115" width="13.4444444444444" style="337" bestFit="1" customWidth="1"/>
    <col min="4116" max="4353" width="13.3333333333333" style="337"/>
    <col min="4354" max="4354" width="14.4444444444444" style="337" customWidth="1"/>
    <col min="4355" max="4355" width="13.4444444444444" style="337" bestFit="1" customWidth="1"/>
    <col min="4356" max="4356" width="14.3333333333333" style="337" bestFit="1" customWidth="1"/>
    <col min="4357" max="4358" width="13.3333333333333" style="337"/>
    <col min="4359" max="4359" width="13.4444444444444" style="337" bestFit="1" customWidth="1"/>
    <col min="4360" max="4360" width="13.3333333333333" style="337"/>
    <col min="4361" max="4361" width="13.4444444444444" style="337" bestFit="1" customWidth="1"/>
    <col min="4362" max="4362" width="13.3333333333333" style="337"/>
    <col min="4363" max="4365" width="13.4444444444444" style="337" bestFit="1" customWidth="1"/>
    <col min="4366" max="4366" width="13.3333333333333" style="337"/>
    <col min="4367" max="4367" width="13.4444444444444" style="337" bestFit="1" customWidth="1"/>
    <col min="4368" max="4368" width="13.3333333333333" style="337"/>
    <col min="4369" max="4369" width="14.2222222222222" style="337" bestFit="1" customWidth="1"/>
    <col min="4370" max="4370" width="13.3333333333333" style="337"/>
    <col min="4371" max="4371" width="13.4444444444444" style="337" bestFit="1" customWidth="1"/>
    <col min="4372" max="4609" width="13.3333333333333" style="337"/>
    <col min="4610" max="4610" width="14.4444444444444" style="337" customWidth="1"/>
    <col min="4611" max="4611" width="13.4444444444444" style="337" bestFit="1" customWidth="1"/>
    <col min="4612" max="4612" width="14.3333333333333" style="337" bestFit="1" customWidth="1"/>
    <col min="4613" max="4614" width="13.3333333333333" style="337"/>
    <col min="4615" max="4615" width="13.4444444444444" style="337" bestFit="1" customWidth="1"/>
    <col min="4616" max="4616" width="13.3333333333333" style="337"/>
    <col min="4617" max="4617" width="13.4444444444444" style="337" bestFit="1" customWidth="1"/>
    <col min="4618" max="4618" width="13.3333333333333" style="337"/>
    <col min="4619" max="4621" width="13.4444444444444" style="337" bestFit="1" customWidth="1"/>
    <col min="4622" max="4622" width="13.3333333333333" style="337"/>
    <col min="4623" max="4623" width="13.4444444444444" style="337" bestFit="1" customWidth="1"/>
    <col min="4624" max="4624" width="13.3333333333333" style="337"/>
    <col min="4625" max="4625" width="14.2222222222222" style="337" bestFit="1" customWidth="1"/>
    <col min="4626" max="4626" width="13.3333333333333" style="337"/>
    <col min="4627" max="4627" width="13.4444444444444" style="337" bestFit="1" customWidth="1"/>
    <col min="4628" max="4865" width="13.3333333333333" style="337"/>
    <col min="4866" max="4866" width="14.4444444444444" style="337" customWidth="1"/>
    <col min="4867" max="4867" width="13.4444444444444" style="337" bestFit="1" customWidth="1"/>
    <col min="4868" max="4868" width="14.3333333333333" style="337" bestFit="1" customWidth="1"/>
    <col min="4869" max="4870" width="13.3333333333333" style="337"/>
    <col min="4871" max="4871" width="13.4444444444444" style="337" bestFit="1" customWidth="1"/>
    <col min="4872" max="4872" width="13.3333333333333" style="337"/>
    <col min="4873" max="4873" width="13.4444444444444" style="337" bestFit="1" customWidth="1"/>
    <col min="4874" max="4874" width="13.3333333333333" style="337"/>
    <col min="4875" max="4877" width="13.4444444444444" style="337" bestFit="1" customWidth="1"/>
    <col min="4878" max="4878" width="13.3333333333333" style="337"/>
    <col min="4879" max="4879" width="13.4444444444444" style="337" bestFit="1" customWidth="1"/>
    <col min="4880" max="4880" width="13.3333333333333" style="337"/>
    <col min="4881" max="4881" width="14.2222222222222" style="337" bestFit="1" customWidth="1"/>
    <col min="4882" max="4882" width="13.3333333333333" style="337"/>
    <col min="4883" max="4883" width="13.4444444444444" style="337" bestFit="1" customWidth="1"/>
    <col min="4884" max="5121" width="13.3333333333333" style="337"/>
    <col min="5122" max="5122" width="14.4444444444444" style="337" customWidth="1"/>
    <col min="5123" max="5123" width="13.4444444444444" style="337" bestFit="1" customWidth="1"/>
    <col min="5124" max="5124" width="14.3333333333333" style="337" bestFit="1" customWidth="1"/>
    <col min="5125" max="5126" width="13.3333333333333" style="337"/>
    <col min="5127" max="5127" width="13.4444444444444" style="337" bestFit="1" customWidth="1"/>
    <col min="5128" max="5128" width="13.3333333333333" style="337"/>
    <col min="5129" max="5129" width="13.4444444444444" style="337" bestFit="1" customWidth="1"/>
    <col min="5130" max="5130" width="13.3333333333333" style="337"/>
    <col min="5131" max="5133" width="13.4444444444444" style="337" bestFit="1" customWidth="1"/>
    <col min="5134" max="5134" width="13.3333333333333" style="337"/>
    <col min="5135" max="5135" width="13.4444444444444" style="337" bestFit="1" customWidth="1"/>
    <col min="5136" max="5136" width="13.3333333333333" style="337"/>
    <col min="5137" max="5137" width="14.2222222222222" style="337" bestFit="1" customWidth="1"/>
    <col min="5138" max="5138" width="13.3333333333333" style="337"/>
    <col min="5139" max="5139" width="13.4444444444444" style="337" bestFit="1" customWidth="1"/>
    <col min="5140" max="5377" width="13.3333333333333" style="337"/>
    <col min="5378" max="5378" width="14.4444444444444" style="337" customWidth="1"/>
    <col min="5379" max="5379" width="13.4444444444444" style="337" bestFit="1" customWidth="1"/>
    <col min="5380" max="5380" width="14.3333333333333" style="337" bestFit="1" customWidth="1"/>
    <col min="5381" max="5382" width="13.3333333333333" style="337"/>
    <col min="5383" max="5383" width="13.4444444444444" style="337" bestFit="1" customWidth="1"/>
    <col min="5384" max="5384" width="13.3333333333333" style="337"/>
    <col min="5385" max="5385" width="13.4444444444444" style="337" bestFit="1" customWidth="1"/>
    <col min="5386" max="5386" width="13.3333333333333" style="337"/>
    <col min="5387" max="5389" width="13.4444444444444" style="337" bestFit="1" customWidth="1"/>
    <col min="5390" max="5390" width="13.3333333333333" style="337"/>
    <col min="5391" max="5391" width="13.4444444444444" style="337" bestFit="1" customWidth="1"/>
    <col min="5392" max="5392" width="13.3333333333333" style="337"/>
    <col min="5393" max="5393" width="14.2222222222222" style="337" bestFit="1" customWidth="1"/>
    <col min="5394" max="5394" width="13.3333333333333" style="337"/>
    <col min="5395" max="5395" width="13.4444444444444" style="337" bestFit="1" customWidth="1"/>
    <col min="5396" max="5633" width="13.3333333333333" style="337"/>
    <col min="5634" max="5634" width="14.4444444444444" style="337" customWidth="1"/>
    <col min="5635" max="5635" width="13.4444444444444" style="337" bestFit="1" customWidth="1"/>
    <col min="5636" max="5636" width="14.3333333333333" style="337" bestFit="1" customWidth="1"/>
    <col min="5637" max="5638" width="13.3333333333333" style="337"/>
    <col min="5639" max="5639" width="13.4444444444444" style="337" bestFit="1" customWidth="1"/>
    <col min="5640" max="5640" width="13.3333333333333" style="337"/>
    <col min="5641" max="5641" width="13.4444444444444" style="337" bestFit="1" customWidth="1"/>
    <col min="5642" max="5642" width="13.3333333333333" style="337"/>
    <col min="5643" max="5645" width="13.4444444444444" style="337" bestFit="1" customWidth="1"/>
    <col min="5646" max="5646" width="13.3333333333333" style="337"/>
    <col min="5647" max="5647" width="13.4444444444444" style="337" bestFit="1" customWidth="1"/>
    <col min="5648" max="5648" width="13.3333333333333" style="337"/>
    <col min="5649" max="5649" width="14.2222222222222" style="337" bestFit="1" customWidth="1"/>
    <col min="5650" max="5650" width="13.3333333333333" style="337"/>
    <col min="5651" max="5651" width="13.4444444444444" style="337" bestFit="1" customWidth="1"/>
    <col min="5652" max="5889" width="13.3333333333333" style="337"/>
    <col min="5890" max="5890" width="14.4444444444444" style="337" customWidth="1"/>
    <col min="5891" max="5891" width="13.4444444444444" style="337" bestFit="1" customWidth="1"/>
    <col min="5892" max="5892" width="14.3333333333333" style="337" bestFit="1" customWidth="1"/>
    <col min="5893" max="5894" width="13.3333333333333" style="337"/>
    <col min="5895" max="5895" width="13.4444444444444" style="337" bestFit="1" customWidth="1"/>
    <col min="5896" max="5896" width="13.3333333333333" style="337"/>
    <col min="5897" max="5897" width="13.4444444444444" style="337" bestFit="1" customWidth="1"/>
    <col min="5898" max="5898" width="13.3333333333333" style="337"/>
    <col min="5899" max="5901" width="13.4444444444444" style="337" bestFit="1" customWidth="1"/>
    <col min="5902" max="5902" width="13.3333333333333" style="337"/>
    <col min="5903" max="5903" width="13.4444444444444" style="337" bestFit="1" customWidth="1"/>
    <col min="5904" max="5904" width="13.3333333333333" style="337"/>
    <col min="5905" max="5905" width="14.2222222222222" style="337" bestFit="1" customWidth="1"/>
    <col min="5906" max="5906" width="13.3333333333333" style="337"/>
    <col min="5907" max="5907" width="13.4444444444444" style="337" bestFit="1" customWidth="1"/>
    <col min="5908" max="6145" width="13.3333333333333" style="337"/>
    <col min="6146" max="6146" width="14.4444444444444" style="337" customWidth="1"/>
    <col min="6147" max="6147" width="13.4444444444444" style="337" bestFit="1" customWidth="1"/>
    <col min="6148" max="6148" width="14.3333333333333" style="337" bestFit="1" customWidth="1"/>
    <col min="6149" max="6150" width="13.3333333333333" style="337"/>
    <col min="6151" max="6151" width="13.4444444444444" style="337" bestFit="1" customWidth="1"/>
    <col min="6152" max="6152" width="13.3333333333333" style="337"/>
    <col min="6153" max="6153" width="13.4444444444444" style="337" bestFit="1" customWidth="1"/>
    <col min="6154" max="6154" width="13.3333333333333" style="337"/>
    <col min="6155" max="6157" width="13.4444444444444" style="337" bestFit="1" customWidth="1"/>
    <col min="6158" max="6158" width="13.3333333333333" style="337"/>
    <col min="6159" max="6159" width="13.4444444444444" style="337" bestFit="1" customWidth="1"/>
    <col min="6160" max="6160" width="13.3333333333333" style="337"/>
    <col min="6161" max="6161" width="14.2222222222222" style="337" bestFit="1" customWidth="1"/>
    <col min="6162" max="6162" width="13.3333333333333" style="337"/>
    <col min="6163" max="6163" width="13.4444444444444" style="337" bestFit="1" customWidth="1"/>
    <col min="6164" max="6401" width="13.3333333333333" style="337"/>
    <col min="6402" max="6402" width="14.4444444444444" style="337" customWidth="1"/>
    <col min="6403" max="6403" width="13.4444444444444" style="337" bestFit="1" customWidth="1"/>
    <col min="6404" max="6404" width="14.3333333333333" style="337" bestFit="1" customWidth="1"/>
    <col min="6405" max="6406" width="13.3333333333333" style="337"/>
    <col min="6407" max="6407" width="13.4444444444444" style="337" bestFit="1" customWidth="1"/>
    <col min="6408" max="6408" width="13.3333333333333" style="337"/>
    <col min="6409" max="6409" width="13.4444444444444" style="337" bestFit="1" customWidth="1"/>
    <col min="6410" max="6410" width="13.3333333333333" style="337"/>
    <col min="6411" max="6413" width="13.4444444444444" style="337" bestFit="1" customWidth="1"/>
    <col min="6414" max="6414" width="13.3333333333333" style="337"/>
    <col min="6415" max="6415" width="13.4444444444444" style="337" bestFit="1" customWidth="1"/>
    <col min="6416" max="6416" width="13.3333333333333" style="337"/>
    <col min="6417" max="6417" width="14.2222222222222" style="337" bestFit="1" customWidth="1"/>
    <col min="6418" max="6418" width="13.3333333333333" style="337"/>
    <col min="6419" max="6419" width="13.4444444444444" style="337" bestFit="1" customWidth="1"/>
    <col min="6420" max="6657" width="13.3333333333333" style="337"/>
    <col min="6658" max="6658" width="14.4444444444444" style="337" customWidth="1"/>
    <col min="6659" max="6659" width="13.4444444444444" style="337" bestFit="1" customWidth="1"/>
    <col min="6660" max="6660" width="14.3333333333333" style="337" bestFit="1" customWidth="1"/>
    <col min="6661" max="6662" width="13.3333333333333" style="337"/>
    <col min="6663" max="6663" width="13.4444444444444" style="337" bestFit="1" customWidth="1"/>
    <col min="6664" max="6664" width="13.3333333333333" style="337"/>
    <col min="6665" max="6665" width="13.4444444444444" style="337" bestFit="1" customWidth="1"/>
    <col min="6666" max="6666" width="13.3333333333333" style="337"/>
    <col min="6667" max="6669" width="13.4444444444444" style="337" bestFit="1" customWidth="1"/>
    <col min="6670" max="6670" width="13.3333333333333" style="337"/>
    <col min="6671" max="6671" width="13.4444444444444" style="337" bestFit="1" customWidth="1"/>
    <col min="6672" max="6672" width="13.3333333333333" style="337"/>
    <col min="6673" max="6673" width="14.2222222222222" style="337" bestFit="1" customWidth="1"/>
    <col min="6674" max="6674" width="13.3333333333333" style="337"/>
    <col min="6675" max="6675" width="13.4444444444444" style="337" bestFit="1" customWidth="1"/>
    <col min="6676" max="6913" width="13.3333333333333" style="337"/>
    <col min="6914" max="6914" width="14.4444444444444" style="337" customWidth="1"/>
    <col min="6915" max="6915" width="13.4444444444444" style="337" bestFit="1" customWidth="1"/>
    <col min="6916" max="6916" width="14.3333333333333" style="337" bestFit="1" customWidth="1"/>
    <col min="6917" max="6918" width="13.3333333333333" style="337"/>
    <col min="6919" max="6919" width="13.4444444444444" style="337" bestFit="1" customWidth="1"/>
    <col min="6920" max="6920" width="13.3333333333333" style="337"/>
    <col min="6921" max="6921" width="13.4444444444444" style="337" bestFit="1" customWidth="1"/>
    <col min="6922" max="6922" width="13.3333333333333" style="337"/>
    <col min="6923" max="6925" width="13.4444444444444" style="337" bestFit="1" customWidth="1"/>
    <col min="6926" max="6926" width="13.3333333333333" style="337"/>
    <col min="6927" max="6927" width="13.4444444444444" style="337" bestFit="1" customWidth="1"/>
    <col min="6928" max="6928" width="13.3333333333333" style="337"/>
    <col min="6929" max="6929" width="14.2222222222222" style="337" bestFit="1" customWidth="1"/>
    <col min="6930" max="6930" width="13.3333333333333" style="337"/>
    <col min="6931" max="6931" width="13.4444444444444" style="337" bestFit="1" customWidth="1"/>
    <col min="6932" max="7169" width="13.3333333333333" style="337"/>
    <col min="7170" max="7170" width="14.4444444444444" style="337" customWidth="1"/>
    <col min="7171" max="7171" width="13.4444444444444" style="337" bestFit="1" customWidth="1"/>
    <col min="7172" max="7172" width="14.3333333333333" style="337" bestFit="1" customWidth="1"/>
    <col min="7173" max="7174" width="13.3333333333333" style="337"/>
    <col min="7175" max="7175" width="13.4444444444444" style="337" bestFit="1" customWidth="1"/>
    <col min="7176" max="7176" width="13.3333333333333" style="337"/>
    <col min="7177" max="7177" width="13.4444444444444" style="337" bestFit="1" customWidth="1"/>
    <col min="7178" max="7178" width="13.3333333333333" style="337"/>
    <col min="7179" max="7181" width="13.4444444444444" style="337" bestFit="1" customWidth="1"/>
    <col min="7182" max="7182" width="13.3333333333333" style="337"/>
    <col min="7183" max="7183" width="13.4444444444444" style="337" bestFit="1" customWidth="1"/>
    <col min="7184" max="7184" width="13.3333333333333" style="337"/>
    <col min="7185" max="7185" width="14.2222222222222" style="337" bestFit="1" customWidth="1"/>
    <col min="7186" max="7186" width="13.3333333333333" style="337"/>
    <col min="7187" max="7187" width="13.4444444444444" style="337" bestFit="1" customWidth="1"/>
    <col min="7188" max="7425" width="13.3333333333333" style="337"/>
    <col min="7426" max="7426" width="14.4444444444444" style="337" customWidth="1"/>
    <col min="7427" max="7427" width="13.4444444444444" style="337" bestFit="1" customWidth="1"/>
    <col min="7428" max="7428" width="14.3333333333333" style="337" bestFit="1" customWidth="1"/>
    <col min="7429" max="7430" width="13.3333333333333" style="337"/>
    <col min="7431" max="7431" width="13.4444444444444" style="337" bestFit="1" customWidth="1"/>
    <col min="7432" max="7432" width="13.3333333333333" style="337"/>
    <col min="7433" max="7433" width="13.4444444444444" style="337" bestFit="1" customWidth="1"/>
    <col min="7434" max="7434" width="13.3333333333333" style="337"/>
    <col min="7435" max="7437" width="13.4444444444444" style="337" bestFit="1" customWidth="1"/>
    <col min="7438" max="7438" width="13.3333333333333" style="337"/>
    <col min="7439" max="7439" width="13.4444444444444" style="337" bestFit="1" customWidth="1"/>
    <col min="7440" max="7440" width="13.3333333333333" style="337"/>
    <col min="7441" max="7441" width="14.2222222222222" style="337" bestFit="1" customWidth="1"/>
    <col min="7442" max="7442" width="13.3333333333333" style="337"/>
    <col min="7443" max="7443" width="13.4444444444444" style="337" bestFit="1" customWidth="1"/>
    <col min="7444" max="7681" width="13.3333333333333" style="337"/>
    <col min="7682" max="7682" width="14.4444444444444" style="337" customWidth="1"/>
    <col min="7683" max="7683" width="13.4444444444444" style="337" bestFit="1" customWidth="1"/>
    <col min="7684" max="7684" width="14.3333333333333" style="337" bestFit="1" customWidth="1"/>
    <col min="7685" max="7686" width="13.3333333333333" style="337"/>
    <col min="7687" max="7687" width="13.4444444444444" style="337" bestFit="1" customWidth="1"/>
    <col min="7688" max="7688" width="13.3333333333333" style="337"/>
    <col min="7689" max="7689" width="13.4444444444444" style="337" bestFit="1" customWidth="1"/>
    <col min="7690" max="7690" width="13.3333333333333" style="337"/>
    <col min="7691" max="7693" width="13.4444444444444" style="337" bestFit="1" customWidth="1"/>
    <col min="7694" max="7694" width="13.3333333333333" style="337"/>
    <col min="7695" max="7695" width="13.4444444444444" style="337" bestFit="1" customWidth="1"/>
    <col min="7696" max="7696" width="13.3333333333333" style="337"/>
    <col min="7697" max="7697" width="14.2222222222222" style="337" bestFit="1" customWidth="1"/>
    <col min="7698" max="7698" width="13.3333333333333" style="337"/>
    <col min="7699" max="7699" width="13.4444444444444" style="337" bestFit="1" customWidth="1"/>
    <col min="7700" max="7937" width="13.3333333333333" style="337"/>
    <col min="7938" max="7938" width="14.4444444444444" style="337" customWidth="1"/>
    <col min="7939" max="7939" width="13.4444444444444" style="337" bestFit="1" customWidth="1"/>
    <col min="7940" max="7940" width="14.3333333333333" style="337" bestFit="1" customWidth="1"/>
    <col min="7941" max="7942" width="13.3333333333333" style="337"/>
    <col min="7943" max="7943" width="13.4444444444444" style="337" bestFit="1" customWidth="1"/>
    <col min="7944" max="7944" width="13.3333333333333" style="337"/>
    <col min="7945" max="7945" width="13.4444444444444" style="337" bestFit="1" customWidth="1"/>
    <col min="7946" max="7946" width="13.3333333333333" style="337"/>
    <col min="7947" max="7949" width="13.4444444444444" style="337" bestFit="1" customWidth="1"/>
    <col min="7950" max="7950" width="13.3333333333333" style="337"/>
    <col min="7951" max="7951" width="13.4444444444444" style="337" bestFit="1" customWidth="1"/>
    <col min="7952" max="7952" width="13.3333333333333" style="337"/>
    <col min="7953" max="7953" width="14.2222222222222" style="337" bestFit="1" customWidth="1"/>
    <col min="7954" max="7954" width="13.3333333333333" style="337"/>
    <col min="7955" max="7955" width="13.4444444444444" style="337" bestFit="1" customWidth="1"/>
    <col min="7956" max="8193" width="13.3333333333333" style="337"/>
    <col min="8194" max="8194" width="14.4444444444444" style="337" customWidth="1"/>
    <col min="8195" max="8195" width="13.4444444444444" style="337" bestFit="1" customWidth="1"/>
    <col min="8196" max="8196" width="14.3333333333333" style="337" bestFit="1" customWidth="1"/>
    <col min="8197" max="8198" width="13.3333333333333" style="337"/>
    <col min="8199" max="8199" width="13.4444444444444" style="337" bestFit="1" customWidth="1"/>
    <col min="8200" max="8200" width="13.3333333333333" style="337"/>
    <col min="8201" max="8201" width="13.4444444444444" style="337" bestFit="1" customWidth="1"/>
    <col min="8202" max="8202" width="13.3333333333333" style="337"/>
    <col min="8203" max="8205" width="13.4444444444444" style="337" bestFit="1" customWidth="1"/>
    <col min="8206" max="8206" width="13.3333333333333" style="337"/>
    <col min="8207" max="8207" width="13.4444444444444" style="337" bestFit="1" customWidth="1"/>
    <col min="8208" max="8208" width="13.3333333333333" style="337"/>
    <col min="8209" max="8209" width="14.2222222222222" style="337" bestFit="1" customWidth="1"/>
    <col min="8210" max="8210" width="13.3333333333333" style="337"/>
    <col min="8211" max="8211" width="13.4444444444444" style="337" bestFit="1" customWidth="1"/>
    <col min="8212" max="8449" width="13.3333333333333" style="337"/>
    <col min="8450" max="8450" width="14.4444444444444" style="337" customWidth="1"/>
    <col min="8451" max="8451" width="13.4444444444444" style="337" bestFit="1" customWidth="1"/>
    <col min="8452" max="8452" width="14.3333333333333" style="337" bestFit="1" customWidth="1"/>
    <col min="8453" max="8454" width="13.3333333333333" style="337"/>
    <col min="8455" max="8455" width="13.4444444444444" style="337" bestFit="1" customWidth="1"/>
    <col min="8456" max="8456" width="13.3333333333333" style="337"/>
    <col min="8457" max="8457" width="13.4444444444444" style="337" bestFit="1" customWidth="1"/>
    <col min="8458" max="8458" width="13.3333333333333" style="337"/>
    <col min="8459" max="8461" width="13.4444444444444" style="337" bestFit="1" customWidth="1"/>
    <col min="8462" max="8462" width="13.3333333333333" style="337"/>
    <col min="8463" max="8463" width="13.4444444444444" style="337" bestFit="1" customWidth="1"/>
    <col min="8464" max="8464" width="13.3333333333333" style="337"/>
    <col min="8465" max="8465" width="14.2222222222222" style="337" bestFit="1" customWidth="1"/>
    <col min="8466" max="8466" width="13.3333333333333" style="337"/>
    <col min="8467" max="8467" width="13.4444444444444" style="337" bestFit="1" customWidth="1"/>
    <col min="8468" max="8705" width="13.3333333333333" style="337"/>
    <col min="8706" max="8706" width="14.4444444444444" style="337" customWidth="1"/>
    <col min="8707" max="8707" width="13.4444444444444" style="337" bestFit="1" customWidth="1"/>
    <col min="8708" max="8708" width="14.3333333333333" style="337" bestFit="1" customWidth="1"/>
    <col min="8709" max="8710" width="13.3333333333333" style="337"/>
    <col min="8711" max="8711" width="13.4444444444444" style="337" bestFit="1" customWidth="1"/>
    <col min="8712" max="8712" width="13.3333333333333" style="337"/>
    <col min="8713" max="8713" width="13.4444444444444" style="337" bestFit="1" customWidth="1"/>
    <col min="8714" max="8714" width="13.3333333333333" style="337"/>
    <col min="8715" max="8717" width="13.4444444444444" style="337" bestFit="1" customWidth="1"/>
    <col min="8718" max="8718" width="13.3333333333333" style="337"/>
    <col min="8719" max="8719" width="13.4444444444444" style="337" bestFit="1" customWidth="1"/>
    <col min="8720" max="8720" width="13.3333333333333" style="337"/>
    <col min="8721" max="8721" width="14.2222222222222" style="337" bestFit="1" customWidth="1"/>
    <col min="8722" max="8722" width="13.3333333333333" style="337"/>
    <col min="8723" max="8723" width="13.4444444444444" style="337" bestFit="1" customWidth="1"/>
    <col min="8724" max="8961" width="13.3333333333333" style="337"/>
    <col min="8962" max="8962" width="14.4444444444444" style="337" customWidth="1"/>
    <col min="8963" max="8963" width="13.4444444444444" style="337" bestFit="1" customWidth="1"/>
    <col min="8964" max="8964" width="14.3333333333333" style="337" bestFit="1" customWidth="1"/>
    <col min="8965" max="8966" width="13.3333333333333" style="337"/>
    <col min="8967" max="8967" width="13.4444444444444" style="337" bestFit="1" customWidth="1"/>
    <col min="8968" max="8968" width="13.3333333333333" style="337"/>
    <col min="8969" max="8969" width="13.4444444444444" style="337" bestFit="1" customWidth="1"/>
    <col min="8970" max="8970" width="13.3333333333333" style="337"/>
    <col min="8971" max="8973" width="13.4444444444444" style="337" bestFit="1" customWidth="1"/>
    <col min="8974" max="8974" width="13.3333333333333" style="337"/>
    <col min="8975" max="8975" width="13.4444444444444" style="337" bestFit="1" customWidth="1"/>
    <col min="8976" max="8976" width="13.3333333333333" style="337"/>
    <col min="8977" max="8977" width="14.2222222222222" style="337" bestFit="1" customWidth="1"/>
    <col min="8978" max="8978" width="13.3333333333333" style="337"/>
    <col min="8979" max="8979" width="13.4444444444444" style="337" bestFit="1" customWidth="1"/>
    <col min="8980" max="9217" width="13.3333333333333" style="337"/>
    <col min="9218" max="9218" width="14.4444444444444" style="337" customWidth="1"/>
    <col min="9219" max="9219" width="13.4444444444444" style="337" bestFit="1" customWidth="1"/>
    <col min="9220" max="9220" width="14.3333333333333" style="337" bestFit="1" customWidth="1"/>
    <col min="9221" max="9222" width="13.3333333333333" style="337"/>
    <col min="9223" max="9223" width="13.4444444444444" style="337" bestFit="1" customWidth="1"/>
    <col min="9224" max="9224" width="13.3333333333333" style="337"/>
    <col min="9225" max="9225" width="13.4444444444444" style="337" bestFit="1" customWidth="1"/>
    <col min="9226" max="9226" width="13.3333333333333" style="337"/>
    <col min="9227" max="9229" width="13.4444444444444" style="337" bestFit="1" customWidth="1"/>
    <col min="9230" max="9230" width="13.3333333333333" style="337"/>
    <col min="9231" max="9231" width="13.4444444444444" style="337" bestFit="1" customWidth="1"/>
    <col min="9232" max="9232" width="13.3333333333333" style="337"/>
    <col min="9233" max="9233" width="14.2222222222222" style="337" bestFit="1" customWidth="1"/>
    <col min="9234" max="9234" width="13.3333333333333" style="337"/>
    <col min="9235" max="9235" width="13.4444444444444" style="337" bestFit="1" customWidth="1"/>
    <col min="9236" max="9473" width="13.3333333333333" style="337"/>
    <col min="9474" max="9474" width="14.4444444444444" style="337" customWidth="1"/>
    <col min="9475" max="9475" width="13.4444444444444" style="337" bestFit="1" customWidth="1"/>
    <col min="9476" max="9476" width="14.3333333333333" style="337" bestFit="1" customWidth="1"/>
    <col min="9477" max="9478" width="13.3333333333333" style="337"/>
    <col min="9479" max="9479" width="13.4444444444444" style="337" bestFit="1" customWidth="1"/>
    <col min="9480" max="9480" width="13.3333333333333" style="337"/>
    <col min="9481" max="9481" width="13.4444444444444" style="337" bestFit="1" customWidth="1"/>
    <col min="9482" max="9482" width="13.3333333333333" style="337"/>
    <col min="9483" max="9485" width="13.4444444444444" style="337" bestFit="1" customWidth="1"/>
    <col min="9486" max="9486" width="13.3333333333333" style="337"/>
    <col min="9487" max="9487" width="13.4444444444444" style="337" bestFit="1" customWidth="1"/>
    <col min="9488" max="9488" width="13.3333333333333" style="337"/>
    <col min="9489" max="9489" width="14.2222222222222" style="337" bestFit="1" customWidth="1"/>
    <col min="9490" max="9490" width="13.3333333333333" style="337"/>
    <col min="9491" max="9491" width="13.4444444444444" style="337" bestFit="1" customWidth="1"/>
    <col min="9492" max="9729" width="13.3333333333333" style="337"/>
    <col min="9730" max="9730" width="14.4444444444444" style="337" customWidth="1"/>
    <col min="9731" max="9731" width="13.4444444444444" style="337" bestFit="1" customWidth="1"/>
    <col min="9732" max="9732" width="14.3333333333333" style="337" bestFit="1" customWidth="1"/>
    <col min="9733" max="9734" width="13.3333333333333" style="337"/>
    <col min="9735" max="9735" width="13.4444444444444" style="337" bestFit="1" customWidth="1"/>
    <col min="9736" max="9736" width="13.3333333333333" style="337"/>
    <col min="9737" max="9737" width="13.4444444444444" style="337" bestFit="1" customWidth="1"/>
    <col min="9738" max="9738" width="13.3333333333333" style="337"/>
    <col min="9739" max="9741" width="13.4444444444444" style="337" bestFit="1" customWidth="1"/>
    <col min="9742" max="9742" width="13.3333333333333" style="337"/>
    <col min="9743" max="9743" width="13.4444444444444" style="337" bestFit="1" customWidth="1"/>
    <col min="9744" max="9744" width="13.3333333333333" style="337"/>
    <col min="9745" max="9745" width="14.2222222222222" style="337" bestFit="1" customWidth="1"/>
    <col min="9746" max="9746" width="13.3333333333333" style="337"/>
    <col min="9747" max="9747" width="13.4444444444444" style="337" bestFit="1" customWidth="1"/>
    <col min="9748" max="9985" width="13.3333333333333" style="337"/>
    <col min="9986" max="9986" width="14.4444444444444" style="337" customWidth="1"/>
    <col min="9987" max="9987" width="13.4444444444444" style="337" bestFit="1" customWidth="1"/>
    <col min="9988" max="9988" width="14.3333333333333" style="337" bestFit="1" customWidth="1"/>
    <col min="9989" max="9990" width="13.3333333333333" style="337"/>
    <col min="9991" max="9991" width="13.4444444444444" style="337" bestFit="1" customWidth="1"/>
    <col min="9992" max="9992" width="13.3333333333333" style="337"/>
    <col min="9993" max="9993" width="13.4444444444444" style="337" bestFit="1" customWidth="1"/>
    <col min="9994" max="9994" width="13.3333333333333" style="337"/>
    <col min="9995" max="9997" width="13.4444444444444" style="337" bestFit="1" customWidth="1"/>
    <col min="9998" max="9998" width="13.3333333333333" style="337"/>
    <col min="9999" max="9999" width="13.4444444444444" style="337" bestFit="1" customWidth="1"/>
    <col min="10000" max="10000" width="13.3333333333333" style="337"/>
    <col min="10001" max="10001" width="14.2222222222222" style="337" bestFit="1" customWidth="1"/>
    <col min="10002" max="10002" width="13.3333333333333" style="337"/>
    <col min="10003" max="10003" width="13.4444444444444" style="337" bestFit="1" customWidth="1"/>
    <col min="10004" max="10241" width="13.3333333333333" style="337"/>
    <col min="10242" max="10242" width="14.4444444444444" style="337" customWidth="1"/>
    <col min="10243" max="10243" width="13.4444444444444" style="337" bestFit="1" customWidth="1"/>
    <col min="10244" max="10244" width="14.3333333333333" style="337" bestFit="1" customWidth="1"/>
    <col min="10245" max="10246" width="13.3333333333333" style="337"/>
    <col min="10247" max="10247" width="13.4444444444444" style="337" bestFit="1" customWidth="1"/>
    <col min="10248" max="10248" width="13.3333333333333" style="337"/>
    <col min="10249" max="10249" width="13.4444444444444" style="337" bestFit="1" customWidth="1"/>
    <col min="10250" max="10250" width="13.3333333333333" style="337"/>
    <col min="10251" max="10253" width="13.4444444444444" style="337" bestFit="1" customWidth="1"/>
    <col min="10254" max="10254" width="13.3333333333333" style="337"/>
    <col min="10255" max="10255" width="13.4444444444444" style="337" bestFit="1" customWidth="1"/>
    <col min="10256" max="10256" width="13.3333333333333" style="337"/>
    <col min="10257" max="10257" width="14.2222222222222" style="337" bestFit="1" customWidth="1"/>
    <col min="10258" max="10258" width="13.3333333333333" style="337"/>
    <col min="10259" max="10259" width="13.4444444444444" style="337" bestFit="1" customWidth="1"/>
    <col min="10260" max="10497" width="13.3333333333333" style="337"/>
    <col min="10498" max="10498" width="14.4444444444444" style="337" customWidth="1"/>
    <col min="10499" max="10499" width="13.4444444444444" style="337" bestFit="1" customWidth="1"/>
    <col min="10500" max="10500" width="14.3333333333333" style="337" bestFit="1" customWidth="1"/>
    <col min="10501" max="10502" width="13.3333333333333" style="337"/>
    <col min="10503" max="10503" width="13.4444444444444" style="337" bestFit="1" customWidth="1"/>
    <col min="10504" max="10504" width="13.3333333333333" style="337"/>
    <col min="10505" max="10505" width="13.4444444444444" style="337" bestFit="1" customWidth="1"/>
    <col min="10506" max="10506" width="13.3333333333333" style="337"/>
    <col min="10507" max="10509" width="13.4444444444444" style="337" bestFit="1" customWidth="1"/>
    <col min="10510" max="10510" width="13.3333333333333" style="337"/>
    <col min="10511" max="10511" width="13.4444444444444" style="337" bestFit="1" customWidth="1"/>
    <col min="10512" max="10512" width="13.3333333333333" style="337"/>
    <col min="10513" max="10513" width="14.2222222222222" style="337" bestFit="1" customWidth="1"/>
    <col min="10514" max="10514" width="13.3333333333333" style="337"/>
    <col min="10515" max="10515" width="13.4444444444444" style="337" bestFit="1" customWidth="1"/>
    <col min="10516" max="10753" width="13.3333333333333" style="337"/>
    <col min="10754" max="10754" width="14.4444444444444" style="337" customWidth="1"/>
    <col min="10755" max="10755" width="13.4444444444444" style="337" bestFit="1" customWidth="1"/>
    <col min="10756" max="10756" width="14.3333333333333" style="337" bestFit="1" customWidth="1"/>
    <col min="10757" max="10758" width="13.3333333333333" style="337"/>
    <col min="10759" max="10759" width="13.4444444444444" style="337" bestFit="1" customWidth="1"/>
    <col min="10760" max="10760" width="13.3333333333333" style="337"/>
    <col min="10761" max="10761" width="13.4444444444444" style="337" bestFit="1" customWidth="1"/>
    <col min="10762" max="10762" width="13.3333333333333" style="337"/>
    <col min="10763" max="10765" width="13.4444444444444" style="337" bestFit="1" customWidth="1"/>
    <col min="10766" max="10766" width="13.3333333333333" style="337"/>
    <col min="10767" max="10767" width="13.4444444444444" style="337" bestFit="1" customWidth="1"/>
    <col min="10768" max="10768" width="13.3333333333333" style="337"/>
    <col min="10769" max="10769" width="14.2222222222222" style="337" bestFit="1" customWidth="1"/>
    <col min="10770" max="10770" width="13.3333333333333" style="337"/>
    <col min="10771" max="10771" width="13.4444444444444" style="337" bestFit="1" customWidth="1"/>
    <col min="10772" max="11009" width="13.3333333333333" style="337"/>
    <col min="11010" max="11010" width="14.4444444444444" style="337" customWidth="1"/>
    <col min="11011" max="11011" width="13.4444444444444" style="337" bestFit="1" customWidth="1"/>
    <col min="11012" max="11012" width="14.3333333333333" style="337" bestFit="1" customWidth="1"/>
    <col min="11013" max="11014" width="13.3333333333333" style="337"/>
    <col min="11015" max="11015" width="13.4444444444444" style="337" bestFit="1" customWidth="1"/>
    <col min="11016" max="11016" width="13.3333333333333" style="337"/>
    <col min="11017" max="11017" width="13.4444444444444" style="337" bestFit="1" customWidth="1"/>
    <col min="11018" max="11018" width="13.3333333333333" style="337"/>
    <col min="11019" max="11021" width="13.4444444444444" style="337" bestFit="1" customWidth="1"/>
    <col min="11022" max="11022" width="13.3333333333333" style="337"/>
    <col min="11023" max="11023" width="13.4444444444444" style="337" bestFit="1" customWidth="1"/>
    <col min="11024" max="11024" width="13.3333333333333" style="337"/>
    <col min="11025" max="11025" width="14.2222222222222" style="337" bestFit="1" customWidth="1"/>
    <col min="11026" max="11026" width="13.3333333333333" style="337"/>
    <col min="11027" max="11027" width="13.4444444444444" style="337" bestFit="1" customWidth="1"/>
    <col min="11028" max="11265" width="13.3333333333333" style="337"/>
    <col min="11266" max="11266" width="14.4444444444444" style="337" customWidth="1"/>
    <col min="11267" max="11267" width="13.4444444444444" style="337" bestFit="1" customWidth="1"/>
    <col min="11268" max="11268" width="14.3333333333333" style="337" bestFit="1" customWidth="1"/>
    <col min="11269" max="11270" width="13.3333333333333" style="337"/>
    <col min="11271" max="11271" width="13.4444444444444" style="337" bestFit="1" customWidth="1"/>
    <col min="11272" max="11272" width="13.3333333333333" style="337"/>
    <col min="11273" max="11273" width="13.4444444444444" style="337" bestFit="1" customWidth="1"/>
    <col min="11274" max="11274" width="13.3333333333333" style="337"/>
    <col min="11275" max="11277" width="13.4444444444444" style="337" bestFit="1" customWidth="1"/>
    <col min="11278" max="11278" width="13.3333333333333" style="337"/>
    <col min="11279" max="11279" width="13.4444444444444" style="337" bestFit="1" customWidth="1"/>
    <col min="11280" max="11280" width="13.3333333333333" style="337"/>
    <col min="11281" max="11281" width="14.2222222222222" style="337" bestFit="1" customWidth="1"/>
    <col min="11282" max="11282" width="13.3333333333333" style="337"/>
    <col min="11283" max="11283" width="13.4444444444444" style="337" bestFit="1" customWidth="1"/>
    <col min="11284" max="11521" width="13.3333333333333" style="337"/>
    <col min="11522" max="11522" width="14.4444444444444" style="337" customWidth="1"/>
    <col min="11523" max="11523" width="13.4444444444444" style="337" bestFit="1" customWidth="1"/>
    <col min="11524" max="11524" width="14.3333333333333" style="337" bestFit="1" customWidth="1"/>
    <col min="11525" max="11526" width="13.3333333333333" style="337"/>
    <col min="11527" max="11527" width="13.4444444444444" style="337" bestFit="1" customWidth="1"/>
    <col min="11528" max="11528" width="13.3333333333333" style="337"/>
    <col min="11529" max="11529" width="13.4444444444444" style="337" bestFit="1" customWidth="1"/>
    <col min="11530" max="11530" width="13.3333333333333" style="337"/>
    <col min="11531" max="11533" width="13.4444444444444" style="337" bestFit="1" customWidth="1"/>
    <col min="11534" max="11534" width="13.3333333333333" style="337"/>
    <col min="11535" max="11535" width="13.4444444444444" style="337" bestFit="1" customWidth="1"/>
    <col min="11536" max="11536" width="13.3333333333333" style="337"/>
    <col min="11537" max="11537" width="14.2222222222222" style="337" bestFit="1" customWidth="1"/>
    <col min="11538" max="11538" width="13.3333333333333" style="337"/>
    <col min="11539" max="11539" width="13.4444444444444" style="337" bestFit="1" customWidth="1"/>
    <col min="11540" max="11777" width="13.3333333333333" style="337"/>
    <col min="11778" max="11778" width="14.4444444444444" style="337" customWidth="1"/>
    <col min="11779" max="11779" width="13.4444444444444" style="337" bestFit="1" customWidth="1"/>
    <col min="11780" max="11780" width="14.3333333333333" style="337" bestFit="1" customWidth="1"/>
    <col min="11781" max="11782" width="13.3333333333333" style="337"/>
    <col min="11783" max="11783" width="13.4444444444444" style="337" bestFit="1" customWidth="1"/>
    <col min="11784" max="11784" width="13.3333333333333" style="337"/>
    <col min="11785" max="11785" width="13.4444444444444" style="337" bestFit="1" customWidth="1"/>
    <col min="11786" max="11786" width="13.3333333333333" style="337"/>
    <col min="11787" max="11789" width="13.4444444444444" style="337" bestFit="1" customWidth="1"/>
    <col min="11790" max="11790" width="13.3333333333333" style="337"/>
    <col min="11791" max="11791" width="13.4444444444444" style="337" bestFit="1" customWidth="1"/>
    <col min="11792" max="11792" width="13.3333333333333" style="337"/>
    <col min="11793" max="11793" width="14.2222222222222" style="337" bestFit="1" customWidth="1"/>
    <col min="11794" max="11794" width="13.3333333333333" style="337"/>
    <col min="11795" max="11795" width="13.4444444444444" style="337" bestFit="1" customWidth="1"/>
    <col min="11796" max="12033" width="13.3333333333333" style="337"/>
    <col min="12034" max="12034" width="14.4444444444444" style="337" customWidth="1"/>
    <col min="12035" max="12035" width="13.4444444444444" style="337" bestFit="1" customWidth="1"/>
    <col min="12036" max="12036" width="14.3333333333333" style="337" bestFit="1" customWidth="1"/>
    <col min="12037" max="12038" width="13.3333333333333" style="337"/>
    <col min="12039" max="12039" width="13.4444444444444" style="337" bestFit="1" customWidth="1"/>
    <col min="12040" max="12040" width="13.3333333333333" style="337"/>
    <col min="12041" max="12041" width="13.4444444444444" style="337" bestFit="1" customWidth="1"/>
    <col min="12042" max="12042" width="13.3333333333333" style="337"/>
    <col min="12043" max="12045" width="13.4444444444444" style="337" bestFit="1" customWidth="1"/>
    <col min="12046" max="12046" width="13.3333333333333" style="337"/>
    <col min="12047" max="12047" width="13.4444444444444" style="337" bestFit="1" customWidth="1"/>
    <col min="12048" max="12048" width="13.3333333333333" style="337"/>
    <col min="12049" max="12049" width="14.2222222222222" style="337" bestFit="1" customWidth="1"/>
    <col min="12050" max="12050" width="13.3333333333333" style="337"/>
    <col min="12051" max="12051" width="13.4444444444444" style="337" bestFit="1" customWidth="1"/>
    <col min="12052" max="12289" width="13.3333333333333" style="337"/>
    <col min="12290" max="12290" width="14.4444444444444" style="337" customWidth="1"/>
    <col min="12291" max="12291" width="13.4444444444444" style="337" bestFit="1" customWidth="1"/>
    <col min="12292" max="12292" width="14.3333333333333" style="337" bestFit="1" customWidth="1"/>
    <col min="12293" max="12294" width="13.3333333333333" style="337"/>
    <col min="12295" max="12295" width="13.4444444444444" style="337" bestFit="1" customWidth="1"/>
    <col min="12296" max="12296" width="13.3333333333333" style="337"/>
    <col min="12297" max="12297" width="13.4444444444444" style="337" bestFit="1" customWidth="1"/>
    <col min="12298" max="12298" width="13.3333333333333" style="337"/>
    <col min="12299" max="12301" width="13.4444444444444" style="337" bestFit="1" customWidth="1"/>
    <col min="12302" max="12302" width="13.3333333333333" style="337"/>
    <col min="12303" max="12303" width="13.4444444444444" style="337" bestFit="1" customWidth="1"/>
    <col min="12304" max="12304" width="13.3333333333333" style="337"/>
    <col min="12305" max="12305" width="14.2222222222222" style="337" bestFit="1" customWidth="1"/>
    <col min="12306" max="12306" width="13.3333333333333" style="337"/>
    <col min="12307" max="12307" width="13.4444444444444" style="337" bestFit="1" customWidth="1"/>
    <col min="12308" max="12545" width="13.3333333333333" style="337"/>
    <col min="12546" max="12546" width="14.4444444444444" style="337" customWidth="1"/>
    <col min="12547" max="12547" width="13.4444444444444" style="337" bestFit="1" customWidth="1"/>
    <col min="12548" max="12548" width="14.3333333333333" style="337" bestFit="1" customWidth="1"/>
    <col min="12549" max="12550" width="13.3333333333333" style="337"/>
    <col min="12551" max="12551" width="13.4444444444444" style="337" bestFit="1" customWidth="1"/>
    <col min="12552" max="12552" width="13.3333333333333" style="337"/>
    <col min="12553" max="12553" width="13.4444444444444" style="337" bestFit="1" customWidth="1"/>
    <col min="12554" max="12554" width="13.3333333333333" style="337"/>
    <col min="12555" max="12557" width="13.4444444444444" style="337" bestFit="1" customWidth="1"/>
    <col min="12558" max="12558" width="13.3333333333333" style="337"/>
    <col min="12559" max="12559" width="13.4444444444444" style="337" bestFit="1" customWidth="1"/>
    <col min="12560" max="12560" width="13.3333333333333" style="337"/>
    <col min="12561" max="12561" width="14.2222222222222" style="337" bestFit="1" customWidth="1"/>
    <col min="12562" max="12562" width="13.3333333333333" style="337"/>
    <col min="12563" max="12563" width="13.4444444444444" style="337" bestFit="1" customWidth="1"/>
    <col min="12564" max="12801" width="13.3333333333333" style="337"/>
    <col min="12802" max="12802" width="14.4444444444444" style="337" customWidth="1"/>
    <col min="12803" max="12803" width="13.4444444444444" style="337" bestFit="1" customWidth="1"/>
    <col min="12804" max="12804" width="14.3333333333333" style="337" bestFit="1" customWidth="1"/>
    <col min="12805" max="12806" width="13.3333333333333" style="337"/>
    <col min="12807" max="12807" width="13.4444444444444" style="337" bestFit="1" customWidth="1"/>
    <col min="12808" max="12808" width="13.3333333333333" style="337"/>
    <col min="12809" max="12809" width="13.4444444444444" style="337" bestFit="1" customWidth="1"/>
    <col min="12810" max="12810" width="13.3333333333333" style="337"/>
    <col min="12811" max="12813" width="13.4444444444444" style="337" bestFit="1" customWidth="1"/>
    <col min="12814" max="12814" width="13.3333333333333" style="337"/>
    <col min="12815" max="12815" width="13.4444444444444" style="337" bestFit="1" customWidth="1"/>
    <col min="12816" max="12816" width="13.3333333333333" style="337"/>
    <col min="12817" max="12817" width="14.2222222222222" style="337" bestFit="1" customWidth="1"/>
    <col min="12818" max="12818" width="13.3333333333333" style="337"/>
    <col min="12819" max="12819" width="13.4444444444444" style="337" bestFit="1" customWidth="1"/>
    <col min="12820" max="13057" width="13.3333333333333" style="337"/>
    <col min="13058" max="13058" width="14.4444444444444" style="337" customWidth="1"/>
    <col min="13059" max="13059" width="13.4444444444444" style="337" bestFit="1" customWidth="1"/>
    <col min="13060" max="13060" width="14.3333333333333" style="337" bestFit="1" customWidth="1"/>
    <col min="13061" max="13062" width="13.3333333333333" style="337"/>
    <col min="13063" max="13063" width="13.4444444444444" style="337" bestFit="1" customWidth="1"/>
    <col min="13064" max="13064" width="13.3333333333333" style="337"/>
    <col min="13065" max="13065" width="13.4444444444444" style="337" bestFit="1" customWidth="1"/>
    <col min="13066" max="13066" width="13.3333333333333" style="337"/>
    <col min="13067" max="13069" width="13.4444444444444" style="337" bestFit="1" customWidth="1"/>
    <col min="13070" max="13070" width="13.3333333333333" style="337"/>
    <col min="13071" max="13071" width="13.4444444444444" style="337" bestFit="1" customWidth="1"/>
    <col min="13072" max="13072" width="13.3333333333333" style="337"/>
    <col min="13073" max="13073" width="14.2222222222222" style="337" bestFit="1" customWidth="1"/>
    <col min="13074" max="13074" width="13.3333333333333" style="337"/>
    <col min="13075" max="13075" width="13.4444444444444" style="337" bestFit="1" customWidth="1"/>
    <col min="13076" max="13313" width="13.3333333333333" style="337"/>
    <col min="13314" max="13314" width="14.4444444444444" style="337" customWidth="1"/>
    <col min="13315" max="13315" width="13.4444444444444" style="337" bestFit="1" customWidth="1"/>
    <col min="13316" max="13316" width="14.3333333333333" style="337" bestFit="1" customWidth="1"/>
    <col min="13317" max="13318" width="13.3333333333333" style="337"/>
    <col min="13319" max="13319" width="13.4444444444444" style="337" bestFit="1" customWidth="1"/>
    <col min="13320" max="13320" width="13.3333333333333" style="337"/>
    <col min="13321" max="13321" width="13.4444444444444" style="337" bestFit="1" customWidth="1"/>
    <col min="13322" max="13322" width="13.3333333333333" style="337"/>
    <col min="13323" max="13325" width="13.4444444444444" style="337" bestFit="1" customWidth="1"/>
    <col min="13326" max="13326" width="13.3333333333333" style="337"/>
    <col min="13327" max="13327" width="13.4444444444444" style="337" bestFit="1" customWidth="1"/>
    <col min="13328" max="13328" width="13.3333333333333" style="337"/>
    <col min="13329" max="13329" width="14.2222222222222" style="337" bestFit="1" customWidth="1"/>
    <col min="13330" max="13330" width="13.3333333333333" style="337"/>
    <col min="13331" max="13331" width="13.4444444444444" style="337" bestFit="1" customWidth="1"/>
    <col min="13332" max="13569" width="13.3333333333333" style="337"/>
    <col min="13570" max="13570" width="14.4444444444444" style="337" customWidth="1"/>
    <col min="13571" max="13571" width="13.4444444444444" style="337" bestFit="1" customWidth="1"/>
    <col min="13572" max="13572" width="14.3333333333333" style="337" bestFit="1" customWidth="1"/>
    <col min="13573" max="13574" width="13.3333333333333" style="337"/>
    <col min="13575" max="13575" width="13.4444444444444" style="337" bestFit="1" customWidth="1"/>
    <col min="13576" max="13576" width="13.3333333333333" style="337"/>
    <col min="13577" max="13577" width="13.4444444444444" style="337" bestFit="1" customWidth="1"/>
    <col min="13578" max="13578" width="13.3333333333333" style="337"/>
    <col min="13579" max="13581" width="13.4444444444444" style="337" bestFit="1" customWidth="1"/>
    <col min="13582" max="13582" width="13.3333333333333" style="337"/>
    <col min="13583" max="13583" width="13.4444444444444" style="337" bestFit="1" customWidth="1"/>
    <col min="13584" max="13584" width="13.3333333333333" style="337"/>
    <col min="13585" max="13585" width="14.2222222222222" style="337" bestFit="1" customWidth="1"/>
    <col min="13586" max="13586" width="13.3333333333333" style="337"/>
    <col min="13587" max="13587" width="13.4444444444444" style="337" bestFit="1" customWidth="1"/>
    <col min="13588" max="13825" width="13.3333333333333" style="337"/>
    <col min="13826" max="13826" width="14.4444444444444" style="337" customWidth="1"/>
    <col min="13827" max="13827" width="13.4444444444444" style="337" bestFit="1" customWidth="1"/>
    <col min="13828" max="13828" width="14.3333333333333" style="337" bestFit="1" customWidth="1"/>
    <col min="13829" max="13830" width="13.3333333333333" style="337"/>
    <col min="13831" max="13831" width="13.4444444444444" style="337" bestFit="1" customWidth="1"/>
    <col min="13832" max="13832" width="13.3333333333333" style="337"/>
    <col min="13833" max="13833" width="13.4444444444444" style="337" bestFit="1" customWidth="1"/>
    <col min="13834" max="13834" width="13.3333333333333" style="337"/>
    <col min="13835" max="13837" width="13.4444444444444" style="337" bestFit="1" customWidth="1"/>
    <col min="13838" max="13838" width="13.3333333333333" style="337"/>
    <col min="13839" max="13839" width="13.4444444444444" style="337" bestFit="1" customWidth="1"/>
    <col min="13840" max="13840" width="13.3333333333333" style="337"/>
    <col min="13841" max="13841" width="14.2222222222222" style="337" bestFit="1" customWidth="1"/>
    <col min="13842" max="13842" width="13.3333333333333" style="337"/>
    <col min="13843" max="13843" width="13.4444444444444" style="337" bestFit="1" customWidth="1"/>
    <col min="13844" max="14081" width="13.3333333333333" style="337"/>
    <col min="14082" max="14082" width="14.4444444444444" style="337" customWidth="1"/>
    <col min="14083" max="14083" width="13.4444444444444" style="337" bestFit="1" customWidth="1"/>
    <col min="14084" max="14084" width="14.3333333333333" style="337" bestFit="1" customWidth="1"/>
    <col min="14085" max="14086" width="13.3333333333333" style="337"/>
    <col min="14087" max="14087" width="13.4444444444444" style="337" bestFit="1" customWidth="1"/>
    <col min="14088" max="14088" width="13.3333333333333" style="337"/>
    <col min="14089" max="14089" width="13.4444444444444" style="337" bestFit="1" customWidth="1"/>
    <col min="14090" max="14090" width="13.3333333333333" style="337"/>
    <col min="14091" max="14093" width="13.4444444444444" style="337" bestFit="1" customWidth="1"/>
    <col min="14094" max="14094" width="13.3333333333333" style="337"/>
    <col min="14095" max="14095" width="13.4444444444444" style="337" bestFit="1" customWidth="1"/>
    <col min="14096" max="14096" width="13.3333333333333" style="337"/>
    <col min="14097" max="14097" width="14.2222222222222" style="337" bestFit="1" customWidth="1"/>
    <col min="14098" max="14098" width="13.3333333333333" style="337"/>
    <col min="14099" max="14099" width="13.4444444444444" style="337" bestFit="1" customWidth="1"/>
    <col min="14100" max="14337" width="13.3333333333333" style="337"/>
    <col min="14338" max="14338" width="14.4444444444444" style="337" customWidth="1"/>
    <col min="14339" max="14339" width="13.4444444444444" style="337" bestFit="1" customWidth="1"/>
    <col min="14340" max="14340" width="14.3333333333333" style="337" bestFit="1" customWidth="1"/>
    <col min="14341" max="14342" width="13.3333333333333" style="337"/>
    <col min="14343" max="14343" width="13.4444444444444" style="337" bestFit="1" customWidth="1"/>
    <col min="14344" max="14344" width="13.3333333333333" style="337"/>
    <col min="14345" max="14345" width="13.4444444444444" style="337" bestFit="1" customWidth="1"/>
    <col min="14346" max="14346" width="13.3333333333333" style="337"/>
    <col min="14347" max="14349" width="13.4444444444444" style="337" bestFit="1" customWidth="1"/>
    <col min="14350" max="14350" width="13.3333333333333" style="337"/>
    <col min="14351" max="14351" width="13.4444444444444" style="337" bestFit="1" customWidth="1"/>
    <col min="14352" max="14352" width="13.3333333333333" style="337"/>
    <col min="14353" max="14353" width="14.2222222222222" style="337" bestFit="1" customWidth="1"/>
    <col min="14354" max="14354" width="13.3333333333333" style="337"/>
    <col min="14355" max="14355" width="13.4444444444444" style="337" bestFit="1" customWidth="1"/>
    <col min="14356" max="14593" width="13.3333333333333" style="337"/>
    <col min="14594" max="14594" width="14.4444444444444" style="337" customWidth="1"/>
    <col min="14595" max="14595" width="13.4444444444444" style="337" bestFit="1" customWidth="1"/>
    <col min="14596" max="14596" width="14.3333333333333" style="337" bestFit="1" customWidth="1"/>
    <col min="14597" max="14598" width="13.3333333333333" style="337"/>
    <col min="14599" max="14599" width="13.4444444444444" style="337" bestFit="1" customWidth="1"/>
    <col min="14600" max="14600" width="13.3333333333333" style="337"/>
    <col min="14601" max="14601" width="13.4444444444444" style="337" bestFit="1" customWidth="1"/>
    <col min="14602" max="14602" width="13.3333333333333" style="337"/>
    <col min="14603" max="14605" width="13.4444444444444" style="337" bestFit="1" customWidth="1"/>
    <col min="14606" max="14606" width="13.3333333333333" style="337"/>
    <col min="14607" max="14607" width="13.4444444444444" style="337" bestFit="1" customWidth="1"/>
    <col min="14608" max="14608" width="13.3333333333333" style="337"/>
    <col min="14609" max="14609" width="14.2222222222222" style="337" bestFit="1" customWidth="1"/>
    <col min="14610" max="14610" width="13.3333333333333" style="337"/>
    <col min="14611" max="14611" width="13.4444444444444" style="337" bestFit="1" customWidth="1"/>
    <col min="14612" max="14849" width="13.3333333333333" style="337"/>
    <col min="14850" max="14850" width="14.4444444444444" style="337" customWidth="1"/>
    <col min="14851" max="14851" width="13.4444444444444" style="337" bestFit="1" customWidth="1"/>
    <col min="14852" max="14852" width="14.3333333333333" style="337" bestFit="1" customWidth="1"/>
    <col min="14853" max="14854" width="13.3333333333333" style="337"/>
    <col min="14855" max="14855" width="13.4444444444444" style="337" bestFit="1" customWidth="1"/>
    <col min="14856" max="14856" width="13.3333333333333" style="337"/>
    <col min="14857" max="14857" width="13.4444444444444" style="337" bestFit="1" customWidth="1"/>
    <col min="14858" max="14858" width="13.3333333333333" style="337"/>
    <col min="14859" max="14861" width="13.4444444444444" style="337" bestFit="1" customWidth="1"/>
    <col min="14862" max="14862" width="13.3333333333333" style="337"/>
    <col min="14863" max="14863" width="13.4444444444444" style="337" bestFit="1" customWidth="1"/>
    <col min="14864" max="14864" width="13.3333333333333" style="337"/>
    <col min="14865" max="14865" width="14.2222222222222" style="337" bestFit="1" customWidth="1"/>
    <col min="14866" max="14866" width="13.3333333333333" style="337"/>
    <col min="14867" max="14867" width="13.4444444444444" style="337" bestFit="1" customWidth="1"/>
    <col min="14868" max="15105" width="13.3333333333333" style="337"/>
    <col min="15106" max="15106" width="14.4444444444444" style="337" customWidth="1"/>
    <col min="15107" max="15107" width="13.4444444444444" style="337" bestFit="1" customWidth="1"/>
    <col min="15108" max="15108" width="14.3333333333333" style="337" bestFit="1" customWidth="1"/>
    <col min="15109" max="15110" width="13.3333333333333" style="337"/>
    <col min="15111" max="15111" width="13.4444444444444" style="337" bestFit="1" customWidth="1"/>
    <col min="15112" max="15112" width="13.3333333333333" style="337"/>
    <col min="15113" max="15113" width="13.4444444444444" style="337" bestFit="1" customWidth="1"/>
    <col min="15114" max="15114" width="13.3333333333333" style="337"/>
    <col min="15115" max="15117" width="13.4444444444444" style="337" bestFit="1" customWidth="1"/>
    <col min="15118" max="15118" width="13.3333333333333" style="337"/>
    <col min="15119" max="15119" width="13.4444444444444" style="337" bestFit="1" customWidth="1"/>
    <col min="15120" max="15120" width="13.3333333333333" style="337"/>
    <col min="15121" max="15121" width="14.2222222222222" style="337" bestFit="1" customWidth="1"/>
    <col min="15122" max="15122" width="13.3333333333333" style="337"/>
    <col min="15123" max="15123" width="13.4444444444444" style="337" bestFit="1" customWidth="1"/>
    <col min="15124" max="15361" width="13.3333333333333" style="337"/>
    <col min="15362" max="15362" width="14.4444444444444" style="337" customWidth="1"/>
    <col min="15363" max="15363" width="13.4444444444444" style="337" bestFit="1" customWidth="1"/>
    <col min="15364" max="15364" width="14.3333333333333" style="337" bestFit="1" customWidth="1"/>
    <col min="15365" max="15366" width="13.3333333333333" style="337"/>
    <col min="15367" max="15367" width="13.4444444444444" style="337" bestFit="1" customWidth="1"/>
    <col min="15368" max="15368" width="13.3333333333333" style="337"/>
    <col min="15369" max="15369" width="13.4444444444444" style="337" bestFit="1" customWidth="1"/>
    <col min="15370" max="15370" width="13.3333333333333" style="337"/>
    <col min="15371" max="15373" width="13.4444444444444" style="337" bestFit="1" customWidth="1"/>
    <col min="15374" max="15374" width="13.3333333333333" style="337"/>
    <col min="15375" max="15375" width="13.4444444444444" style="337" bestFit="1" customWidth="1"/>
    <col min="15376" max="15376" width="13.3333333333333" style="337"/>
    <col min="15377" max="15377" width="14.2222222222222" style="337" bestFit="1" customWidth="1"/>
    <col min="15378" max="15378" width="13.3333333333333" style="337"/>
    <col min="15379" max="15379" width="13.4444444444444" style="337" bestFit="1" customWidth="1"/>
    <col min="15380" max="15617" width="13.3333333333333" style="337"/>
    <col min="15618" max="15618" width="14.4444444444444" style="337" customWidth="1"/>
    <col min="15619" max="15619" width="13.4444444444444" style="337" bestFit="1" customWidth="1"/>
    <col min="15620" max="15620" width="14.3333333333333" style="337" bestFit="1" customWidth="1"/>
    <col min="15621" max="15622" width="13.3333333333333" style="337"/>
    <col min="15623" max="15623" width="13.4444444444444" style="337" bestFit="1" customWidth="1"/>
    <col min="15624" max="15624" width="13.3333333333333" style="337"/>
    <col min="15625" max="15625" width="13.4444444444444" style="337" bestFit="1" customWidth="1"/>
    <col min="15626" max="15626" width="13.3333333333333" style="337"/>
    <col min="15627" max="15629" width="13.4444444444444" style="337" bestFit="1" customWidth="1"/>
    <col min="15630" max="15630" width="13.3333333333333" style="337"/>
    <col min="15631" max="15631" width="13.4444444444444" style="337" bestFit="1" customWidth="1"/>
    <col min="15632" max="15632" width="13.3333333333333" style="337"/>
    <col min="15633" max="15633" width="14.2222222222222" style="337" bestFit="1" customWidth="1"/>
    <col min="15634" max="15634" width="13.3333333333333" style="337"/>
    <col min="15635" max="15635" width="13.4444444444444" style="337" bestFit="1" customWidth="1"/>
    <col min="15636" max="15873" width="13.3333333333333" style="337"/>
    <col min="15874" max="15874" width="14.4444444444444" style="337" customWidth="1"/>
    <col min="15875" max="15875" width="13.4444444444444" style="337" bestFit="1" customWidth="1"/>
    <col min="15876" max="15876" width="14.3333333333333" style="337" bestFit="1" customWidth="1"/>
    <col min="15877" max="15878" width="13.3333333333333" style="337"/>
    <col min="15879" max="15879" width="13.4444444444444" style="337" bestFit="1" customWidth="1"/>
    <col min="15880" max="15880" width="13.3333333333333" style="337"/>
    <col min="15881" max="15881" width="13.4444444444444" style="337" bestFit="1" customWidth="1"/>
    <col min="15882" max="15882" width="13.3333333333333" style="337"/>
    <col min="15883" max="15885" width="13.4444444444444" style="337" bestFit="1" customWidth="1"/>
    <col min="15886" max="15886" width="13.3333333333333" style="337"/>
    <col min="15887" max="15887" width="13.4444444444444" style="337" bestFit="1" customWidth="1"/>
    <col min="15888" max="15888" width="13.3333333333333" style="337"/>
    <col min="15889" max="15889" width="14.2222222222222" style="337" bestFit="1" customWidth="1"/>
    <col min="15890" max="15890" width="13.3333333333333" style="337"/>
    <col min="15891" max="15891" width="13.4444444444444" style="337" bestFit="1" customWidth="1"/>
    <col min="15892" max="16129" width="13.3333333333333" style="337"/>
    <col min="16130" max="16130" width="14.4444444444444" style="337" customWidth="1"/>
    <col min="16131" max="16131" width="13.4444444444444" style="337" bestFit="1" customWidth="1"/>
    <col min="16132" max="16132" width="14.3333333333333" style="337" bestFit="1" customWidth="1"/>
    <col min="16133" max="16134" width="13.3333333333333" style="337"/>
    <col min="16135" max="16135" width="13.4444444444444" style="337" bestFit="1" customWidth="1"/>
    <col min="16136" max="16136" width="13.3333333333333" style="337"/>
    <col min="16137" max="16137" width="13.4444444444444" style="337" bestFit="1" customWidth="1"/>
    <col min="16138" max="16138" width="13.3333333333333" style="337"/>
    <col min="16139" max="16141" width="13.4444444444444" style="337" bestFit="1" customWidth="1"/>
    <col min="16142" max="16142" width="13.3333333333333" style="337"/>
    <col min="16143" max="16143" width="13.4444444444444" style="337" bestFit="1" customWidth="1"/>
    <col min="16144" max="16144" width="13.3333333333333" style="337"/>
    <col min="16145" max="16145" width="14.2222222222222" style="337" bestFit="1" customWidth="1"/>
    <col min="16146" max="16146" width="13.3333333333333" style="337"/>
    <col min="16147" max="16147" width="13.4444444444444" style="337" bestFit="1" customWidth="1"/>
    <col min="16148" max="16384" width="13.3333333333333" style="337"/>
  </cols>
  <sheetData>
    <row r="1" spans="2:27" ht="18">
      <c r="B1" s="338"/>
      <c r="AA1" s="6" t="s">
        <v>691</v>
      </c>
    </row>
    <row r="2" spans="2:27" ht="15.75">
      <c r="B2" s="339"/>
      <c r="AA2" s="29" t="s">
        <v>221</v>
      </c>
    </row>
    <row r="3" spans="2:27" ht="18">
      <c r="B3" s="339"/>
      <c r="M3" s="338" t="s">
        <v>690</v>
      </c>
      <c r="AA3" s="29" t="str">
        <f>'Attachment 1 - Sched 1A'!J3</f>
        <v>For the 12 months ended 12/31/2021</v>
      </c>
    </row>
    <row r="4" spans="2:2" ht="15.75">
      <c r="B4" s="340"/>
    </row>
    <row r="5" spans="1:35" ht="15.75">
      <c r="A5" s="341"/>
      <c r="B5" s="342" t="s">
        <v>462</v>
      </c>
      <c r="C5" s="343"/>
      <c r="D5" s="343"/>
      <c r="E5" s="343"/>
      <c r="F5" s="343"/>
      <c r="G5" s="343"/>
      <c r="H5" s="343"/>
      <c r="I5" s="343"/>
      <c r="J5" s="343"/>
      <c r="K5" s="343"/>
      <c r="L5" s="343"/>
      <c r="M5" s="343"/>
      <c r="N5" s="343"/>
      <c r="O5" s="343"/>
      <c r="P5" s="343"/>
      <c r="Q5" s="343"/>
      <c r="R5" s="343"/>
      <c r="S5" s="343"/>
      <c r="T5" s="343"/>
      <c r="U5" s="343"/>
      <c r="V5" s="343"/>
      <c r="W5" s="343"/>
      <c r="X5" s="343"/>
      <c r="Y5" s="344"/>
      <c r="Z5" s="345"/>
      <c r="AA5" s="346"/>
      <c r="AB5" s="346"/>
      <c r="AC5" s="346"/>
      <c r="AD5" s="346"/>
      <c r="AE5" s="346"/>
      <c r="AF5" s="346"/>
      <c r="AG5" s="346"/>
      <c r="AH5" s="346"/>
      <c r="AI5" s="346"/>
    </row>
    <row r="6" spans="1:35" ht="12.75">
      <c r="A6" s="347"/>
      <c r="B6" s="348"/>
      <c r="C6" s="345"/>
      <c r="D6" s="345"/>
      <c r="E6" s="345"/>
      <c r="F6" s="345"/>
      <c r="G6" s="349"/>
      <c r="H6" s="349"/>
      <c r="I6" s="349"/>
      <c r="J6" s="349"/>
      <c r="K6" s="350"/>
      <c r="L6" s="350"/>
      <c r="M6" s="350"/>
      <c r="N6" s="350"/>
      <c r="O6" s="350"/>
      <c r="P6" s="350"/>
      <c r="Q6" s="350"/>
      <c r="R6" s="350"/>
      <c r="S6" s="350"/>
      <c r="T6" s="350"/>
      <c r="U6" s="350"/>
      <c r="V6" s="350"/>
      <c r="W6" s="350"/>
      <c r="X6" s="350"/>
      <c r="Y6" s="351"/>
      <c r="Z6" s="345"/>
      <c r="AA6" s="346"/>
      <c r="AB6" s="346"/>
      <c r="AC6" s="346"/>
      <c r="AD6" s="346"/>
      <c r="AE6" s="346"/>
      <c r="AF6" s="346"/>
      <c r="AG6" s="346"/>
      <c r="AH6" s="346"/>
      <c r="AI6" s="346"/>
    </row>
    <row r="7" spans="1:35" ht="12.75">
      <c r="A7" s="347"/>
      <c r="B7" s="350" t="s">
        <v>463</v>
      </c>
      <c r="C7" s="345"/>
      <c r="D7" s="345"/>
      <c r="E7" s="345"/>
      <c r="F7" s="345"/>
      <c r="G7" s="349"/>
      <c r="H7" s="349"/>
      <c r="I7" s="349"/>
      <c r="J7" s="349"/>
      <c r="K7" s="350"/>
      <c r="L7" s="350"/>
      <c r="M7" s="350"/>
      <c r="N7" s="350"/>
      <c r="O7" s="350"/>
      <c r="P7" s="350"/>
      <c r="Q7" s="350"/>
      <c r="R7" s="350"/>
      <c r="S7" s="350"/>
      <c r="T7" s="350"/>
      <c r="U7" s="350"/>
      <c r="V7" s="350"/>
      <c r="W7" s="350"/>
      <c r="X7" s="350"/>
      <c r="Y7" s="351"/>
      <c r="Z7" s="345"/>
      <c r="AA7" s="346"/>
      <c r="AB7" s="346"/>
      <c r="AC7" s="346"/>
      <c r="AD7" s="346"/>
      <c r="AE7" s="346"/>
      <c r="AF7" s="346"/>
      <c r="AG7" s="346"/>
      <c r="AH7" s="346"/>
      <c r="AI7" s="346"/>
    </row>
    <row r="8" spans="1:35" ht="13.5" thickBot="1">
      <c r="A8" s="347"/>
      <c r="B8" s="348"/>
      <c r="C8" s="348"/>
      <c r="D8" s="345"/>
      <c r="E8" s="345"/>
      <c r="F8" s="345"/>
      <c r="G8" s="349"/>
      <c r="H8" s="349"/>
      <c r="I8" s="349"/>
      <c r="J8" s="349"/>
      <c r="K8" s="350"/>
      <c r="L8" s="350"/>
      <c r="M8" s="350"/>
      <c r="N8" s="350"/>
      <c r="O8" s="350"/>
      <c r="P8" s="350"/>
      <c r="Q8" s="350"/>
      <c r="R8" s="350"/>
      <c r="S8" s="350"/>
      <c r="T8" s="350"/>
      <c r="U8" s="350"/>
      <c r="V8" s="350"/>
      <c r="W8" s="350"/>
      <c r="X8" s="350"/>
      <c r="Y8" s="351"/>
      <c r="Z8" s="345"/>
      <c r="AA8" s="346"/>
      <c r="AB8" s="346"/>
      <c r="AC8" s="346"/>
      <c r="AD8" s="346"/>
      <c r="AE8" s="346"/>
      <c r="AF8" s="346"/>
      <c r="AG8" s="346"/>
      <c r="AH8" s="346"/>
      <c r="AI8" s="346"/>
    </row>
    <row r="9" spans="1:35" ht="15.75" thickBot="1">
      <c r="A9" s="347"/>
      <c r="B9" s="352" t="s">
        <v>464</v>
      </c>
      <c r="C9" s="353">
        <v>44561</v>
      </c>
      <c r="D9" s="345"/>
      <c r="E9" s="345"/>
      <c r="F9" s="345"/>
      <c r="G9" s="350"/>
      <c r="H9" s="350"/>
      <c r="I9" s="348"/>
      <c r="J9" s="350"/>
      <c r="K9" s="354"/>
      <c r="L9" s="350"/>
      <c r="M9" s="350"/>
      <c r="N9" s="350"/>
      <c r="O9" s="350"/>
      <c r="P9" s="350"/>
      <c r="Q9" s="350"/>
      <c r="R9" s="350"/>
      <c r="S9" s="350"/>
      <c r="T9" s="350"/>
      <c r="U9" s="350"/>
      <c r="V9" s="350"/>
      <c r="W9" s="350"/>
      <c r="X9" s="350"/>
      <c r="Y9" s="351"/>
      <c r="Z9" s="345"/>
      <c r="AA9" s="346"/>
      <c r="AB9" s="346"/>
      <c r="AC9" s="346"/>
      <c r="AD9" s="346"/>
      <c r="AE9" s="346"/>
      <c r="AF9" s="346"/>
      <c r="AG9" s="346"/>
      <c r="AH9" s="346"/>
      <c r="AI9" s="346"/>
    </row>
    <row r="10" spans="1:35" s="348" customFormat="1" ht="12.75">
      <c r="A10" s="347"/>
      <c r="B10" s="355"/>
      <c r="C10" s="350"/>
      <c r="E10" s="345"/>
      <c r="F10" s="345"/>
      <c r="H10" s="350"/>
      <c r="I10" s="350"/>
      <c r="J10" s="350"/>
      <c r="K10" s="354"/>
      <c r="L10" s="350"/>
      <c r="M10" s="350"/>
      <c r="N10" s="350"/>
      <c r="O10" s="350"/>
      <c r="P10" s="350"/>
      <c r="Q10" s="350"/>
      <c r="R10" s="350"/>
      <c r="S10" s="350"/>
      <c r="T10" s="350"/>
      <c r="U10" s="350"/>
      <c r="V10" s="350"/>
      <c r="W10" s="350"/>
      <c r="X10" s="350"/>
      <c r="Y10" s="351"/>
      <c r="Z10" s="345"/>
      <c r="AA10" s="356"/>
      <c r="AB10" s="356"/>
      <c r="AC10" s="356"/>
      <c r="AD10" s="356"/>
      <c r="AE10" s="356"/>
      <c r="AF10" s="356"/>
      <c r="AG10" s="356"/>
      <c r="AH10" s="356"/>
      <c r="AI10" s="356"/>
    </row>
    <row r="11" spans="1:35" s="363" customFormat="1" ht="15.75">
      <c r="A11" s="357"/>
      <c r="B11" s="358"/>
      <c r="C11" s="359"/>
      <c r="D11" s="360" t="s">
        <v>298</v>
      </c>
      <c r="E11" s="360"/>
      <c r="F11" s="360"/>
      <c r="G11" s="359" t="s">
        <v>299</v>
      </c>
      <c r="H11" s="359"/>
      <c r="I11" s="359" t="s">
        <v>465</v>
      </c>
      <c r="J11" s="359"/>
      <c r="K11" s="359" t="s">
        <v>301</v>
      </c>
      <c r="L11" s="359"/>
      <c r="M11" s="361" t="s">
        <v>302</v>
      </c>
      <c r="N11" s="359"/>
      <c r="O11" s="361" t="s">
        <v>303</v>
      </c>
      <c r="P11" s="359"/>
      <c r="Q11" s="359" t="s">
        <v>304</v>
      </c>
      <c r="R11" s="359"/>
      <c r="S11" s="359" t="s">
        <v>305</v>
      </c>
      <c r="T11" s="359"/>
      <c r="U11" s="360" t="s">
        <v>306</v>
      </c>
      <c r="V11" s="359"/>
      <c r="W11" s="360" t="s">
        <v>307</v>
      </c>
      <c r="X11" s="359"/>
      <c r="Y11" s="362"/>
      <c r="Z11" s="360"/>
      <c r="AD11" s="360"/>
      <c r="AE11" s="360"/>
      <c r="AF11" s="364"/>
      <c r="AG11" s="364"/>
      <c r="AH11" s="364"/>
      <c r="AI11" s="364"/>
    </row>
    <row r="12" spans="1:52" ht="14.25">
      <c r="A12" s="347"/>
      <c r="B12" s="365"/>
      <c r="C12" s="356"/>
      <c r="D12" s="348"/>
      <c r="E12" s="356"/>
      <c r="F12" s="356"/>
      <c r="G12" s="348"/>
      <c r="H12" s="366"/>
      <c r="I12" s="348"/>
      <c r="J12" s="366"/>
      <c r="K12" s="348"/>
      <c r="L12" s="366"/>
      <c r="M12" s="348"/>
      <c r="N12" s="367"/>
      <c r="O12" s="366"/>
      <c r="P12" s="366"/>
      <c r="Q12" s="366"/>
      <c r="R12" s="366"/>
      <c r="S12" s="368"/>
      <c r="T12" s="366"/>
      <c r="U12" s="356"/>
      <c r="V12" s="366"/>
      <c r="W12" s="348"/>
      <c r="X12" s="368"/>
      <c r="Y12" s="369"/>
      <c r="Z12" s="356"/>
      <c r="AD12" s="356"/>
      <c r="AE12" s="370"/>
      <c r="AF12" s="346"/>
      <c r="AG12" s="346"/>
      <c r="AH12" s="346"/>
      <c r="AI12" s="346"/>
      <c r="AK12" s="371"/>
      <c r="AL12" s="365"/>
      <c r="AM12" s="365"/>
      <c r="AN12" s="365"/>
      <c r="AO12" s="365"/>
      <c r="AP12" s="365"/>
      <c r="AQ12" s="365"/>
      <c r="AR12" s="365"/>
      <c r="AS12" s="365"/>
      <c r="AT12" s="1201"/>
      <c r="AU12" s="1201"/>
      <c r="AV12" s="348"/>
      <c r="AW12" s="348"/>
      <c r="AX12" s="348"/>
      <c r="AY12" s="348"/>
      <c r="AZ12" s="348"/>
    </row>
    <row r="13" spans="1:52" ht="14.25">
      <c r="A13" s="347"/>
      <c r="B13" s="348"/>
      <c r="C13" s="356"/>
      <c r="D13" s="348"/>
      <c r="E13" s="356"/>
      <c r="F13" s="356"/>
      <c r="G13" s="348"/>
      <c r="H13" s="366"/>
      <c r="I13" s="348"/>
      <c r="J13" s="366"/>
      <c r="K13" s="348"/>
      <c r="L13" s="366"/>
      <c r="M13" s="367" t="s">
        <v>466</v>
      </c>
      <c r="N13" s="367"/>
      <c r="O13" s="366"/>
      <c r="P13" s="366"/>
      <c r="Q13" s="372" t="s">
        <v>467</v>
      </c>
      <c r="R13" s="366"/>
      <c r="S13" s="368"/>
      <c r="T13" s="366"/>
      <c r="U13" s="348"/>
      <c r="V13" s="366"/>
      <c r="W13" s="367" t="s">
        <v>111</v>
      </c>
      <c r="X13" s="368"/>
      <c r="Y13" s="369"/>
      <c r="Z13" s="356"/>
      <c r="AD13" s="356"/>
      <c r="AE13" s="370"/>
      <c r="AF13" s="346"/>
      <c r="AG13" s="346"/>
      <c r="AH13" s="346"/>
      <c r="AI13" s="346"/>
      <c r="AK13" s="371"/>
      <c r="AL13" s="365"/>
      <c r="AM13" s="365"/>
      <c r="AN13" s="365"/>
      <c r="AO13" s="365"/>
      <c r="AP13" s="365"/>
      <c r="AQ13" s="365"/>
      <c r="AR13" s="365"/>
      <c r="AS13" s="365"/>
      <c r="AT13" s="365"/>
      <c r="AU13" s="365"/>
      <c r="AV13" s="348"/>
      <c r="AW13" s="348"/>
      <c r="AX13" s="348"/>
      <c r="AY13" s="348"/>
      <c r="AZ13" s="348"/>
    </row>
    <row r="14" spans="1:52" ht="14.25">
      <c r="A14" s="347"/>
      <c r="B14" s="350"/>
      <c r="C14" s="348"/>
      <c r="D14" s="373"/>
      <c r="E14" s="373"/>
      <c r="F14" s="373"/>
      <c r="G14" s="367"/>
      <c r="H14" s="367"/>
      <c r="I14" s="367"/>
      <c r="J14" s="367"/>
      <c r="K14" s="367"/>
      <c r="L14" s="367"/>
      <c r="M14" s="367" t="s">
        <v>8</v>
      </c>
      <c r="N14" s="367"/>
      <c r="O14" s="367" t="s">
        <v>327</v>
      </c>
      <c r="P14" s="367"/>
      <c r="Q14" s="372" t="s">
        <v>468</v>
      </c>
      <c r="R14" s="367"/>
      <c r="S14" s="367" t="s">
        <v>111</v>
      </c>
      <c r="T14" s="367"/>
      <c r="U14" s="367" t="s">
        <v>469</v>
      </c>
      <c r="V14" s="367"/>
      <c r="W14" s="367" t="s">
        <v>470</v>
      </c>
      <c r="X14" s="373"/>
      <c r="Y14" s="374"/>
      <c r="Z14" s="373"/>
      <c r="AD14" s="373"/>
      <c r="AE14" s="375"/>
      <c r="AF14" s="376"/>
      <c r="AG14" s="376"/>
      <c r="AH14" s="376"/>
      <c r="AI14" s="376"/>
      <c r="AK14" s="377"/>
      <c r="AL14" s="378"/>
      <c r="AM14" s="378"/>
      <c r="AN14" s="378"/>
      <c r="AO14" s="378"/>
      <c r="AP14" s="378"/>
      <c r="AQ14" s="378"/>
      <c r="AR14" s="378"/>
      <c r="AS14" s="378"/>
      <c r="AT14" s="378"/>
      <c r="AU14" s="378"/>
      <c r="AV14" s="348"/>
      <c r="AW14" s="348"/>
      <c r="AX14" s="348"/>
      <c r="AY14" s="348"/>
      <c r="AZ14" s="348"/>
    </row>
    <row r="15" spans="1:52" ht="14.25">
      <c r="A15" s="347"/>
      <c r="B15" s="379"/>
      <c r="C15" s="348"/>
      <c r="D15" s="348"/>
      <c r="E15" s="367"/>
      <c r="F15" s="367"/>
      <c r="G15" s="367"/>
      <c r="H15" s="367"/>
      <c r="I15" s="367" t="s">
        <v>471</v>
      </c>
      <c r="J15" s="367"/>
      <c r="K15" s="367" t="s">
        <v>472</v>
      </c>
      <c r="L15" s="367"/>
      <c r="M15" s="367" t="s">
        <v>468</v>
      </c>
      <c r="N15" s="367"/>
      <c r="O15" s="367" t="s">
        <v>468</v>
      </c>
      <c r="P15" s="367"/>
      <c r="Q15" s="372" t="s">
        <v>473</v>
      </c>
      <c r="R15" s="367"/>
      <c r="S15" s="365" t="s">
        <v>468</v>
      </c>
      <c r="T15" s="367"/>
      <c r="U15" s="367" t="s">
        <v>474</v>
      </c>
      <c r="V15" s="367"/>
      <c r="W15" s="367" t="s">
        <v>475</v>
      </c>
      <c r="X15" s="373"/>
      <c r="Y15" s="374"/>
      <c r="Z15" s="373"/>
      <c r="AD15" s="373"/>
      <c r="AE15" s="375"/>
      <c r="AF15" s="376"/>
      <c r="AG15" s="376"/>
      <c r="AH15" s="376"/>
      <c r="AI15" s="376"/>
      <c r="AK15" s="380"/>
      <c r="AL15" s="381"/>
      <c r="AM15" s="381"/>
      <c r="AN15" s="381"/>
      <c r="AO15" s="381"/>
      <c r="AP15" s="381"/>
      <c r="AQ15" s="381"/>
      <c r="AR15" s="381"/>
      <c r="AS15" s="381"/>
      <c r="AT15" s="381"/>
      <c r="AU15" s="381"/>
      <c r="AV15" s="348"/>
      <c r="AW15" s="348"/>
      <c r="AX15" s="348"/>
      <c r="AY15" s="348"/>
      <c r="AZ15" s="348"/>
    </row>
    <row r="16" spans="1:52" ht="15">
      <c r="A16" s="347"/>
      <c r="B16" s="373"/>
      <c r="C16" s="382" t="s">
        <v>476</v>
      </c>
      <c r="D16" s="367" t="s">
        <v>477</v>
      </c>
      <c r="E16" s="367"/>
      <c r="F16" s="367"/>
      <c r="G16" s="367" t="s">
        <v>478</v>
      </c>
      <c r="H16" s="367"/>
      <c r="I16" s="367" t="s">
        <v>479</v>
      </c>
      <c r="J16" s="367"/>
      <c r="K16" s="367" t="s">
        <v>480</v>
      </c>
      <c r="L16" s="367"/>
      <c r="M16" s="372" t="s">
        <v>481</v>
      </c>
      <c r="N16" s="372"/>
      <c r="O16" s="365" t="s">
        <v>481</v>
      </c>
      <c r="P16" s="367"/>
      <c r="Q16" s="372" t="s">
        <v>482</v>
      </c>
      <c r="R16" s="367"/>
      <c r="S16" s="365" t="s">
        <v>483</v>
      </c>
      <c r="T16" s="367"/>
      <c r="U16" s="412" t="s">
        <v>538</v>
      </c>
      <c r="V16" s="365"/>
      <c r="W16" s="372" t="s">
        <v>484</v>
      </c>
      <c r="X16" s="373"/>
      <c r="Y16" s="374"/>
      <c r="Z16" s="373"/>
      <c r="AD16" s="373"/>
      <c r="AE16" s="373"/>
      <c r="AF16" s="376"/>
      <c r="AG16" s="376"/>
      <c r="AH16" s="376"/>
      <c r="AI16" s="376"/>
      <c r="AK16" s="380"/>
      <c r="AL16" s="381"/>
      <c r="AM16" s="381"/>
      <c r="AN16" s="381"/>
      <c r="AO16" s="381"/>
      <c r="AP16" s="381"/>
      <c r="AQ16" s="381"/>
      <c r="AR16" s="381"/>
      <c r="AS16" s="381"/>
      <c r="AT16" s="381"/>
      <c r="AU16" s="381"/>
      <c r="AV16" s="348"/>
      <c r="AW16" s="348"/>
      <c r="AX16" s="348"/>
      <c r="AY16" s="348"/>
      <c r="AZ16" s="348"/>
    </row>
    <row r="17" spans="1:52" ht="15.75">
      <c r="A17" s="347"/>
      <c r="B17" s="383" t="s">
        <v>485</v>
      </c>
      <c r="C17" s="384">
        <f>C40</f>
        <v>44561</v>
      </c>
      <c r="D17" s="348"/>
      <c r="E17" s="367"/>
      <c r="F17" s="367"/>
      <c r="G17" s="367"/>
      <c r="H17" s="367"/>
      <c r="I17" s="367" t="s">
        <v>795</v>
      </c>
      <c r="J17" s="367"/>
      <c r="K17" s="367" t="s">
        <v>796</v>
      </c>
      <c r="L17" s="367"/>
      <c r="M17" s="367"/>
      <c r="N17" s="367"/>
      <c r="O17" s="367"/>
      <c r="P17" s="367"/>
      <c r="Q17" s="372" t="s">
        <v>797</v>
      </c>
      <c r="R17" s="367"/>
      <c r="S17" s="367" t="s">
        <v>798</v>
      </c>
      <c r="T17" s="367"/>
      <c r="U17" s="367"/>
      <c r="V17" s="367"/>
      <c r="W17" s="373"/>
      <c r="X17" s="373"/>
      <c r="Y17" s="374"/>
      <c r="Z17" s="373"/>
      <c r="AD17" s="373"/>
      <c r="AE17" s="373"/>
      <c r="AF17" s="376"/>
      <c r="AG17" s="376"/>
      <c r="AH17" s="376"/>
      <c r="AI17" s="376"/>
      <c r="AK17" s="380"/>
      <c r="AL17" s="381"/>
      <c r="AM17" s="381"/>
      <c r="AN17" s="381"/>
      <c r="AO17" s="381"/>
      <c r="AP17" s="381"/>
      <c r="AQ17" s="381"/>
      <c r="AR17" s="381"/>
      <c r="AS17" s="381"/>
      <c r="AT17" s="381"/>
      <c r="AU17" s="381"/>
      <c r="AV17" s="348"/>
      <c r="AW17" s="348"/>
      <c r="AX17" s="348"/>
      <c r="AY17" s="348"/>
      <c r="AZ17" s="348"/>
    </row>
    <row r="18" spans="1:52" ht="14.25">
      <c r="A18" s="347"/>
      <c r="B18" s="385" t="s">
        <v>486</v>
      </c>
      <c r="C18" s="373"/>
      <c r="D18" s="348"/>
      <c r="E18" s="386"/>
      <c r="F18" s="386"/>
      <c r="G18" s="386"/>
      <c r="H18" s="386"/>
      <c r="I18" s="386"/>
      <c r="J18" s="386"/>
      <c r="K18" s="386"/>
      <c r="L18" s="386"/>
      <c r="M18" s="386"/>
      <c r="N18" s="386"/>
      <c r="O18" s="367"/>
      <c r="P18" s="386"/>
      <c r="Q18" s="387"/>
      <c r="R18" s="386"/>
      <c r="S18" s="367"/>
      <c r="T18" s="367"/>
      <c r="U18" s="367"/>
      <c r="V18" s="367"/>
      <c r="W18" s="373"/>
      <c r="X18" s="373"/>
      <c r="Y18" s="374"/>
      <c r="Z18" s="373"/>
      <c r="AD18" s="373"/>
      <c r="AE18" s="373"/>
      <c r="AF18" s="376"/>
      <c r="AG18" s="376"/>
      <c r="AH18" s="376"/>
      <c r="AI18" s="376"/>
      <c r="AK18" s="380"/>
      <c r="AL18" s="381"/>
      <c r="AM18" s="381"/>
      <c r="AN18" s="381"/>
      <c r="AO18" s="381"/>
      <c r="AP18" s="381"/>
      <c r="AQ18" s="381"/>
      <c r="AR18" s="381"/>
      <c r="AS18" s="381"/>
      <c r="AT18" s="381"/>
      <c r="AU18" s="381"/>
      <c r="AV18" s="348"/>
      <c r="AW18" s="348"/>
      <c r="AX18" s="348"/>
      <c r="AY18" s="348"/>
      <c r="AZ18" s="348"/>
    </row>
    <row r="19" spans="1:52" ht="14.25">
      <c r="A19" s="388" t="s">
        <v>22</v>
      </c>
      <c r="B19" s="389" t="s">
        <v>1229</v>
      </c>
      <c r="C19" s="390"/>
      <c r="D19" s="391">
        <f>D47</f>
        <v>43230</v>
      </c>
      <c r="E19" s="386"/>
      <c r="F19" s="386"/>
      <c r="G19" s="391">
        <f>G47</f>
        <v>46888</v>
      </c>
      <c r="H19" s="386"/>
      <c r="I19" s="392">
        <f>I47</f>
        <v>450000000</v>
      </c>
      <c r="J19" s="392"/>
      <c r="K19" s="392">
        <f>S47</f>
        <v>445906699</v>
      </c>
      <c r="L19" s="392"/>
      <c r="M19" s="1143">
        <v>447354816.56924736</v>
      </c>
      <c r="N19" s="386"/>
      <c r="O19" s="1146">
        <v>12</v>
      </c>
      <c r="P19" s="386"/>
      <c r="Q19" s="410">
        <f>M19*O19/12</f>
        <v>447354816.56924742</v>
      </c>
      <c r="R19" s="386"/>
      <c r="S19" s="393">
        <f>+Q19/$Q$26</f>
        <v>0.56352417242462149</v>
      </c>
      <c r="T19" s="373"/>
      <c r="U19" s="394">
        <f>AA47</f>
        <v>0.042122043970539917</v>
      </c>
      <c r="V19" s="373"/>
      <c r="W19" s="395">
        <f>+S19*U19</f>
        <v>0.023736789969332026</v>
      </c>
      <c r="X19" s="373"/>
      <c r="Y19" s="374"/>
      <c r="Z19" s="396"/>
      <c r="AD19" s="373"/>
      <c r="AE19" s="373"/>
      <c r="AF19" s="376"/>
      <c r="AG19" s="376"/>
      <c r="AH19" s="376"/>
      <c r="AI19" s="376"/>
      <c r="AK19" s="380"/>
      <c r="AL19" s="381"/>
      <c r="AM19" s="381"/>
      <c r="AN19" s="381"/>
      <c r="AO19" s="381"/>
      <c r="AP19" s="381"/>
      <c r="AQ19" s="381"/>
      <c r="AR19" s="381"/>
      <c r="AS19" s="381"/>
      <c r="AT19" s="381"/>
      <c r="AU19" s="381"/>
      <c r="AV19" s="348"/>
      <c r="AW19" s="348"/>
      <c r="AX19" s="348"/>
      <c r="AY19" s="348"/>
      <c r="AZ19" s="348"/>
    </row>
    <row r="20" spans="1:52" ht="14.25">
      <c r="A20" s="388" t="s">
        <v>23</v>
      </c>
      <c r="B20" s="389" t="s">
        <v>1230</v>
      </c>
      <c r="C20" s="397"/>
      <c r="D20" s="391">
        <v>43921</v>
      </c>
      <c r="E20" s="398"/>
      <c r="F20" s="398"/>
      <c r="G20" s="399">
        <v>48305</v>
      </c>
      <c r="H20" s="398"/>
      <c r="I20" s="392">
        <f t="shared" si="0" ref="I20:I22">I48</f>
        <v>125000000</v>
      </c>
      <c r="J20" s="400"/>
      <c r="K20" s="392">
        <f t="shared" si="1" ref="K20:K22">S48</f>
        <v>124111544</v>
      </c>
      <c r="L20" s="400"/>
      <c r="M20" s="1144">
        <v>124241245.60583942</v>
      </c>
      <c r="N20" s="401"/>
      <c r="O20" s="1145">
        <v>12</v>
      </c>
      <c r="P20" s="401"/>
      <c r="Q20" s="410">
        <f t="shared" si="2" ref="Q20:Q21">M20*O20/12</f>
        <v>124241245.60583942</v>
      </c>
      <c r="R20" s="401"/>
      <c r="S20" s="393">
        <f t="shared" si="3" ref="S20:S22">+Q20/$Q$26</f>
        <v>0.15650428366450209</v>
      </c>
      <c r="T20" s="397"/>
      <c r="U20" s="394">
        <f t="shared" si="4" ref="U20:U22">AA48</f>
        <v>0.036737762812174224</v>
      </c>
      <c r="V20" s="397"/>
      <c r="W20" s="395">
        <f t="shared" si="5" ref="W20:W22">+S20*U20</f>
        <v>0.0057496172523557104</v>
      </c>
      <c r="X20" s="397"/>
      <c r="Y20" s="374"/>
      <c r="Z20" s="396"/>
      <c r="AD20" s="373"/>
      <c r="AE20" s="373"/>
      <c r="AF20" s="376"/>
      <c r="AG20" s="376"/>
      <c r="AH20" s="376"/>
      <c r="AI20" s="376"/>
      <c r="AK20" s="380"/>
      <c r="AL20" s="381"/>
      <c r="AM20" s="381"/>
      <c r="AN20" s="381"/>
      <c r="AO20" s="381"/>
      <c r="AP20" s="381"/>
      <c r="AQ20" s="381"/>
      <c r="AR20" s="381"/>
      <c r="AS20" s="381"/>
      <c r="AT20" s="381"/>
      <c r="AU20" s="381"/>
      <c r="AV20" s="348"/>
      <c r="AW20" s="348"/>
      <c r="AX20" s="348"/>
      <c r="AY20" s="348"/>
      <c r="AZ20" s="348"/>
    </row>
    <row r="21" spans="1:52" ht="14.25">
      <c r="A21" s="347" t="s">
        <v>24</v>
      </c>
      <c r="B21" s="389" t="s">
        <v>1231</v>
      </c>
      <c r="C21" s="397"/>
      <c r="D21" s="391">
        <v>43921</v>
      </c>
      <c r="E21" s="398"/>
      <c r="F21" s="398"/>
      <c r="G21" s="1139">
        <v>49400</v>
      </c>
      <c r="H21" s="398"/>
      <c r="I21" s="392">
        <f t="shared" si="0"/>
        <v>125000000</v>
      </c>
      <c r="J21" s="400"/>
      <c r="K21" s="392">
        <f t="shared" si="1"/>
        <v>124111544</v>
      </c>
      <c r="L21" s="400"/>
      <c r="M21" s="1144">
        <v>124215324.22266836</v>
      </c>
      <c r="N21" s="401"/>
      <c r="O21" s="1145">
        <v>12</v>
      </c>
      <c r="P21" s="401"/>
      <c r="Q21" s="410">
        <f t="shared" si="2"/>
        <v>124215324.22266836</v>
      </c>
      <c r="R21" s="401"/>
      <c r="S21" s="393">
        <f t="shared" si="3"/>
        <v>0.15647163100165251</v>
      </c>
      <c r="T21" s="397"/>
      <c r="U21" s="394">
        <f t="shared" si="4"/>
        <v>0.037624392499742552</v>
      </c>
      <c r="V21" s="397"/>
      <c r="W21" s="395">
        <f t="shared" si="5"/>
        <v>0.0058871500598810592</v>
      </c>
      <c r="X21" s="397"/>
      <c r="Y21" s="374"/>
      <c r="Z21" s="396"/>
      <c r="AD21" s="373"/>
      <c r="AE21" s="373"/>
      <c r="AF21" s="376"/>
      <c r="AG21" s="376"/>
      <c r="AH21" s="376"/>
      <c r="AI21" s="376"/>
      <c r="AK21" s="380"/>
      <c r="AL21" s="381"/>
      <c r="AM21" s="381"/>
      <c r="AN21" s="381"/>
      <c r="AO21" s="381"/>
      <c r="AP21" s="381"/>
      <c r="AQ21" s="381"/>
      <c r="AR21" s="381"/>
      <c r="AS21" s="381"/>
      <c r="AT21" s="381"/>
      <c r="AU21" s="381"/>
      <c r="AV21" s="348"/>
      <c r="AW21" s="348"/>
      <c r="AX21" s="348"/>
      <c r="AY21" s="348"/>
      <c r="AZ21" s="348"/>
    </row>
    <row r="22" spans="1:52" ht="14.25">
      <c r="A22" s="1154" t="s">
        <v>25</v>
      </c>
      <c r="B22" s="389" t="s">
        <v>1229</v>
      </c>
      <c r="C22" s="373"/>
      <c r="D22" s="404" t="s">
        <v>1310</v>
      </c>
      <c r="E22" s="405"/>
      <c r="F22" s="405"/>
      <c r="G22" s="404" t="s">
        <v>1311</v>
      </c>
      <c r="H22" s="405"/>
      <c r="I22" s="392">
        <f t="shared" si="0"/>
        <v>150000000</v>
      </c>
      <c r="J22" s="402"/>
      <c r="K22" s="392">
        <f t="shared" si="1"/>
        <v>163054645</v>
      </c>
      <c r="L22" s="402"/>
      <c r="M22" s="1144">
        <v>161922354.3622449</v>
      </c>
      <c r="N22" s="406"/>
      <c r="O22" s="1156">
        <v>7.2657534246575342</v>
      </c>
      <c r="P22" s="406"/>
      <c r="Q22" s="410">
        <f>M22*O22/12</f>
        <v>98040658.394674301</v>
      </c>
      <c r="R22" s="406"/>
      <c r="S22" s="393">
        <f t="shared" si="3"/>
        <v>0.12349991290922382</v>
      </c>
      <c r="T22" s="407"/>
      <c r="U22" s="394">
        <f t="shared" si="4"/>
        <v>0.027215221472318449</v>
      </c>
      <c r="V22" s="407"/>
      <c r="W22" s="395">
        <f t="shared" si="5"/>
        <v>0.0033610774816365666</v>
      </c>
      <c r="X22" s="373"/>
      <c r="Y22" s="374"/>
      <c r="Z22" s="373"/>
      <c r="AD22" s="373"/>
      <c r="AE22" s="373"/>
      <c r="AF22" s="376"/>
      <c r="AG22" s="376"/>
      <c r="AH22" s="376"/>
      <c r="AI22" s="376"/>
      <c r="AK22" s="380"/>
      <c r="AL22" s="381"/>
      <c r="AM22" s="381"/>
      <c r="AN22" s="381"/>
      <c r="AO22" s="381"/>
      <c r="AP22" s="381"/>
      <c r="AQ22" s="381"/>
      <c r="AR22" s="381"/>
      <c r="AS22" s="381"/>
      <c r="AT22" s="381"/>
      <c r="AU22" s="381"/>
      <c r="AV22" s="348"/>
      <c r="AW22" s="348"/>
      <c r="AX22" s="348"/>
      <c r="AY22" s="348"/>
      <c r="AZ22" s="348"/>
    </row>
    <row r="23" spans="1:52" ht="14.25">
      <c r="A23" s="388"/>
      <c r="B23" s="389"/>
      <c r="C23" s="356"/>
      <c r="D23" s="404"/>
      <c r="E23" s="407"/>
      <c r="F23" s="407"/>
      <c r="G23" s="404"/>
      <c r="H23" s="409"/>
      <c r="I23" s="402"/>
      <c r="J23" s="402"/>
      <c r="K23" s="402"/>
      <c r="L23" s="402"/>
      <c r="M23" s="392"/>
      <c r="N23" s="386"/>
      <c r="O23" s="372"/>
      <c r="P23" s="386"/>
      <c r="Q23" s="410"/>
      <c r="R23" s="386"/>
      <c r="S23" s="393"/>
      <c r="T23" s="407"/>
      <c r="U23" s="411"/>
      <c r="V23" s="407"/>
      <c r="W23" s="403"/>
      <c r="X23" s="373"/>
      <c r="Y23" s="374"/>
      <c r="Z23" s="373"/>
      <c r="AD23" s="373"/>
      <c r="AE23" s="373"/>
      <c r="AF23" s="376"/>
      <c r="AG23" s="376"/>
      <c r="AH23" s="376"/>
      <c r="AI23" s="376"/>
      <c r="AK23" s="380"/>
      <c r="AL23" s="381"/>
      <c r="AM23" s="381"/>
      <c r="AN23" s="381"/>
      <c r="AO23" s="381"/>
      <c r="AP23" s="381"/>
      <c r="AQ23" s="381"/>
      <c r="AR23" s="381"/>
      <c r="AS23" s="381"/>
      <c r="AT23" s="381"/>
      <c r="AU23" s="381"/>
      <c r="AV23" s="348"/>
      <c r="AW23" s="348"/>
      <c r="AX23" s="348"/>
      <c r="AY23" s="348"/>
      <c r="AZ23" s="348"/>
    </row>
    <row r="24" spans="1:52" ht="14.25">
      <c r="A24" s="388"/>
      <c r="B24" s="412"/>
      <c r="C24" s="373"/>
      <c r="D24" s="365"/>
      <c r="E24" s="407"/>
      <c r="F24" s="407"/>
      <c r="G24" s="365"/>
      <c r="H24" s="409"/>
      <c r="I24" s="410"/>
      <c r="J24" s="402"/>
      <c r="K24" s="410"/>
      <c r="L24" s="402"/>
      <c r="M24" s="410"/>
      <c r="N24" s="406"/>
      <c r="O24" s="372"/>
      <c r="P24" s="406"/>
      <c r="Q24" s="410"/>
      <c r="R24" s="406"/>
      <c r="S24" s="393"/>
      <c r="T24" s="407"/>
      <c r="U24" s="408"/>
      <c r="V24" s="407"/>
      <c r="W24" s="403"/>
      <c r="X24" s="373"/>
      <c r="Y24" s="374"/>
      <c r="Z24" s="373"/>
      <c r="AD24" s="373"/>
      <c r="AE24" s="373"/>
      <c r="AF24" s="376"/>
      <c r="AG24" s="376"/>
      <c r="AH24" s="376"/>
      <c r="AI24" s="376"/>
      <c r="AK24" s="348"/>
      <c r="AL24" s="348"/>
      <c r="AM24" s="348"/>
      <c r="AN24" s="348"/>
      <c r="AO24" s="348"/>
      <c r="AP24" s="348"/>
      <c r="AQ24" s="413"/>
      <c r="AR24" s="356"/>
      <c r="AS24" s="413"/>
      <c r="AT24" s="348"/>
      <c r="AU24" s="348"/>
      <c r="AV24" s="348"/>
      <c r="AW24" s="348"/>
      <c r="AX24" s="348"/>
      <c r="AY24" s="348"/>
      <c r="AZ24" s="348"/>
    </row>
    <row r="25" spans="1:52" ht="14.25">
      <c r="A25" s="347"/>
      <c r="B25" s="412"/>
      <c r="C25" s="373"/>
      <c r="D25" s="348"/>
      <c r="E25" s="407"/>
      <c r="F25" s="407"/>
      <c r="G25" s="407"/>
      <c r="H25" s="407"/>
      <c r="I25" s="414"/>
      <c r="J25" s="402"/>
      <c r="K25" s="402"/>
      <c r="L25" s="402"/>
      <c r="M25" s="414"/>
      <c r="N25" s="407"/>
      <c r="O25" s="407"/>
      <c r="P25" s="407"/>
      <c r="Q25" s="414"/>
      <c r="R25" s="407"/>
      <c r="S25" s="415"/>
      <c r="T25" s="407"/>
      <c r="U25" s="403"/>
      <c r="V25" s="407"/>
      <c r="W25" s="415"/>
      <c r="X25" s="373"/>
      <c r="Y25" s="374"/>
      <c r="Z25" s="373"/>
      <c r="AD25" s="373"/>
      <c r="AE25" s="373"/>
      <c r="AF25" s="376"/>
      <c r="AG25" s="376"/>
      <c r="AH25" s="376"/>
      <c r="AI25" s="376"/>
      <c r="AK25" s="348"/>
      <c r="AL25" s="348"/>
      <c r="AM25" s="348"/>
      <c r="AN25" s="348"/>
      <c r="AO25" s="348"/>
      <c r="AP25" s="348"/>
      <c r="AQ25" s="413"/>
      <c r="AR25" s="356"/>
      <c r="AS25" s="413"/>
      <c r="AT25" s="348"/>
      <c r="AU25" s="348"/>
      <c r="AV25" s="348"/>
      <c r="AW25" s="348"/>
      <c r="AX25" s="348"/>
      <c r="AY25" s="348"/>
      <c r="AZ25" s="348"/>
    </row>
    <row r="26" spans="1:52" ht="15" thickBot="1">
      <c r="A26" s="347"/>
      <c r="B26" s="417" t="s">
        <v>10</v>
      </c>
      <c r="C26" s="396"/>
      <c r="D26" s="348"/>
      <c r="E26" s="396"/>
      <c r="F26" s="396"/>
      <c r="G26" s="375"/>
      <c r="H26" s="396"/>
      <c r="I26" s="418">
        <f>SUM(I19:I25)</f>
        <v>850000000</v>
      </c>
      <c r="J26" s="418"/>
      <c r="K26" s="418"/>
      <c r="L26" s="418"/>
      <c r="M26" s="418">
        <f>SUM(M19:M24)</f>
        <v>857733740.75999999</v>
      </c>
      <c r="N26" s="375"/>
      <c r="O26" s="396"/>
      <c r="P26" s="375"/>
      <c r="Q26" s="402">
        <f>SUM(Q19:Q25)</f>
        <v>793852044.79242957</v>
      </c>
      <c r="R26" s="375"/>
      <c r="S26" s="419">
        <f>SUM(S19:S24)</f>
        <v>0.99999999999999989</v>
      </c>
      <c r="T26" s="396"/>
      <c r="U26" s="348"/>
      <c r="V26" s="396"/>
      <c r="W26" s="1109">
        <f>ROUND(SUM(W19:W25),4)</f>
        <v>0.038699999999999998</v>
      </c>
      <c r="X26" s="396"/>
      <c r="Y26" s="1108" t="s">
        <v>487</v>
      </c>
      <c r="Z26" s="373"/>
      <c r="AD26" s="373"/>
      <c r="AE26" s="373"/>
      <c r="AF26" s="376"/>
      <c r="AG26" s="376"/>
      <c r="AH26" s="376"/>
      <c r="AI26" s="376"/>
      <c r="AK26" s="348"/>
      <c r="AL26" s="348"/>
      <c r="AM26" s="348"/>
      <c r="AN26" s="348"/>
      <c r="AO26" s="348"/>
      <c r="AP26" s="348"/>
      <c r="AQ26" s="413"/>
      <c r="AR26" s="356"/>
      <c r="AS26" s="413"/>
      <c r="AT26" s="348"/>
      <c r="AU26" s="348"/>
      <c r="AV26" s="348"/>
      <c r="AW26" s="348"/>
      <c r="AX26" s="348"/>
      <c r="AY26" s="348"/>
      <c r="AZ26" s="348"/>
    </row>
    <row r="27" spans="1:52" ht="15" hidden="1" thickTop="1">
      <c r="A27" s="347"/>
      <c r="B27" s="373" t="s">
        <v>488</v>
      </c>
      <c r="C27" s="396"/>
      <c r="D27" s="396">
        <f>490000000+195750000-I26</f>
        <v>-164250000</v>
      </c>
      <c r="E27" s="396"/>
      <c r="F27" s="396"/>
      <c r="G27" s="396">
        <f>3568918-G26</f>
        <v>3568918</v>
      </c>
      <c r="H27" s="396"/>
      <c r="I27" s="396" t="e">
        <f>724091+#REF!</f>
        <v>#REF!</v>
      </c>
      <c r="J27" s="396"/>
      <c r="K27" s="396">
        <f>16241315-K26+834137</f>
        <v>17075452</v>
      </c>
      <c r="L27" s="396"/>
      <c r="M27" s="396"/>
      <c r="N27" s="396"/>
      <c r="O27" s="396"/>
      <c r="P27" s="396"/>
      <c r="Q27" s="420"/>
      <c r="R27" s="396"/>
      <c r="S27" s="396"/>
      <c r="T27" s="396"/>
      <c r="U27" s="396"/>
      <c r="V27" s="396"/>
      <c r="W27" s="419"/>
      <c r="X27" s="396"/>
      <c r="Y27" s="421"/>
      <c r="Z27" s="396"/>
      <c r="AA27" s="374"/>
      <c r="AB27" s="373"/>
      <c r="AC27" s="422"/>
      <c r="AD27" s="373"/>
      <c r="AE27" s="373"/>
      <c r="AF27" s="376"/>
      <c r="AG27" s="376"/>
      <c r="AH27" s="376"/>
      <c r="AI27" s="376"/>
      <c r="AK27" s="348"/>
      <c r="AL27" s="348"/>
      <c r="AM27" s="348"/>
      <c r="AN27" s="348"/>
      <c r="AO27" s="348"/>
      <c r="AP27" s="348"/>
      <c r="AQ27" s="423"/>
      <c r="AR27" s="356"/>
      <c r="AS27" s="423"/>
      <c r="AT27" s="348"/>
      <c r="AU27" s="348"/>
      <c r="AV27" s="348"/>
      <c r="AW27" s="348"/>
      <c r="AX27" s="348"/>
      <c r="AY27" s="348"/>
      <c r="AZ27" s="348"/>
    </row>
    <row r="28" spans="1:52" ht="15">
      <c r="A28" s="347"/>
      <c r="B28" s="373"/>
      <c r="C28" s="396"/>
      <c r="D28" s="396"/>
      <c r="E28" s="396"/>
      <c r="F28" s="396"/>
      <c r="G28" s="396"/>
      <c r="H28" s="396"/>
      <c r="I28" s="396"/>
      <c r="J28" s="396"/>
      <c r="K28" s="396"/>
      <c r="L28" s="396"/>
      <c r="M28" s="396"/>
      <c r="N28" s="396"/>
      <c r="O28" s="396"/>
      <c r="P28" s="396"/>
      <c r="Q28" s="420"/>
      <c r="R28" s="396"/>
      <c r="S28" s="396"/>
      <c r="T28" s="396"/>
      <c r="U28" s="396"/>
      <c r="V28" s="396"/>
      <c r="W28" s="419"/>
      <c r="X28" s="396"/>
      <c r="Y28" s="421"/>
      <c r="Z28" s="396"/>
      <c r="AA28" s="373"/>
      <c r="AB28" s="373"/>
      <c r="AC28" s="373"/>
      <c r="AD28" s="373"/>
      <c r="AE28" s="373"/>
      <c r="AF28" s="376"/>
      <c r="AG28" s="376"/>
      <c r="AH28" s="376"/>
      <c r="AI28" s="376"/>
      <c r="AK28" s="348"/>
      <c r="AL28" s="348"/>
      <c r="AM28" s="348"/>
      <c r="AN28" s="348"/>
      <c r="AO28" s="348"/>
      <c r="AP28" s="348"/>
      <c r="AQ28" s="423"/>
      <c r="AR28" s="356"/>
      <c r="AS28" s="423"/>
      <c r="AT28" s="348"/>
      <c r="AU28" s="348"/>
      <c r="AV28" s="348"/>
      <c r="AW28" s="348"/>
      <c r="AX28" s="348"/>
      <c r="AY28" s="348"/>
      <c r="AZ28" s="348"/>
    </row>
    <row r="29" spans="1:52" ht="14.25">
      <c r="A29" s="347"/>
      <c r="B29" s="373" t="s">
        <v>489</v>
      </c>
      <c r="C29" s="396"/>
      <c r="D29" s="396"/>
      <c r="E29" s="396"/>
      <c r="F29" s="396"/>
      <c r="G29" s="396"/>
      <c r="H29" s="396"/>
      <c r="I29" s="396"/>
      <c r="J29" s="396"/>
      <c r="K29" s="396"/>
      <c r="L29" s="396"/>
      <c r="M29" s="396"/>
      <c r="N29" s="396"/>
      <c r="O29" s="396"/>
      <c r="P29" s="396"/>
      <c r="Q29" s="396"/>
      <c r="R29" s="396"/>
      <c r="S29" s="396"/>
      <c r="T29" s="396"/>
      <c r="U29" s="396"/>
      <c r="V29" s="396"/>
      <c r="W29" s="419"/>
      <c r="X29" s="396"/>
      <c r="Y29" s="421"/>
      <c r="Z29" s="396"/>
      <c r="AA29" s="373"/>
      <c r="AB29" s="373"/>
      <c r="AC29" s="373"/>
      <c r="AD29" s="373"/>
      <c r="AE29" s="373"/>
      <c r="AF29" s="376"/>
      <c r="AG29" s="376"/>
      <c r="AH29" s="376"/>
      <c r="AI29" s="376"/>
      <c r="AK29" s="348"/>
      <c r="AL29" s="348"/>
      <c r="AM29" s="348"/>
      <c r="AN29" s="348"/>
      <c r="AO29" s="348"/>
      <c r="AP29" s="348"/>
      <c r="AQ29" s="423"/>
      <c r="AR29" s="356"/>
      <c r="AS29" s="423"/>
      <c r="AT29" s="348"/>
      <c r="AU29" s="348"/>
      <c r="AV29" s="348"/>
      <c r="AW29" s="348"/>
      <c r="AX29" s="348"/>
      <c r="AY29" s="348"/>
      <c r="AZ29" s="348"/>
    </row>
    <row r="30" spans="1:52" ht="14.25">
      <c r="A30" s="347"/>
      <c r="B30" s="356" t="s">
        <v>490</v>
      </c>
      <c r="C30" s="396"/>
      <c r="D30" s="396"/>
      <c r="E30" s="396"/>
      <c r="F30" s="396"/>
      <c r="G30" s="396"/>
      <c r="H30" s="396"/>
      <c r="I30" s="396"/>
      <c r="J30" s="396"/>
      <c r="K30" s="396"/>
      <c r="L30" s="396"/>
      <c r="M30" s="396"/>
      <c r="N30" s="396"/>
      <c r="O30" s="396"/>
      <c r="P30" s="396"/>
      <c r="Q30" s="396"/>
      <c r="R30" s="396"/>
      <c r="S30" s="396"/>
      <c r="T30" s="396"/>
      <c r="U30" s="396"/>
      <c r="V30" s="396"/>
      <c r="W30" s="419"/>
      <c r="X30" s="396"/>
      <c r="Y30" s="421"/>
      <c r="Z30" s="396"/>
      <c r="AA30" s="373"/>
      <c r="AB30" s="373"/>
      <c r="AC30" s="373"/>
      <c r="AD30" s="373"/>
      <c r="AE30" s="373"/>
      <c r="AF30" s="376"/>
      <c r="AG30" s="376"/>
      <c r="AH30" s="376"/>
      <c r="AI30" s="376"/>
      <c r="AK30" s="348"/>
      <c r="AL30" s="348"/>
      <c r="AM30" s="348"/>
      <c r="AN30" s="348"/>
      <c r="AO30" s="348"/>
      <c r="AP30" s="348"/>
      <c r="AQ30" s="423"/>
      <c r="AR30" s="356"/>
      <c r="AS30" s="423"/>
      <c r="AT30" s="348"/>
      <c r="AU30" s="348"/>
      <c r="AV30" s="348"/>
      <c r="AW30" s="348"/>
      <c r="AX30" s="348"/>
      <c r="AY30" s="348"/>
      <c r="AZ30" s="348"/>
    </row>
    <row r="31" spans="1:52" ht="14.25">
      <c r="A31" s="347"/>
      <c r="B31" s="424" t="s">
        <v>491</v>
      </c>
      <c r="C31" s="396"/>
      <c r="D31" s="396"/>
      <c r="E31" s="396"/>
      <c r="F31" s="396"/>
      <c r="G31" s="396"/>
      <c r="H31" s="396"/>
      <c r="I31" s="396"/>
      <c r="J31" s="396"/>
      <c r="K31" s="396"/>
      <c r="L31" s="396"/>
      <c r="M31" s="396"/>
      <c r="N31" s="396"/>
      <c r="O31" s="396"/>
      <c r="P31" s="396"/>
      <c r="Q31" s="396"/>
      <c r="R31" s="396"/>
      <c r="S31" s="396"/>
      <c r="T31" s="396"/>
      <c r="U31" s="396"/>
      <c r="V31" s="396"/>
      <c r="W31" s="396"/>
      <c r="X31" s="396"/>
      <c r="Y31" s="421"/>
      <c r="Z31" s="396"/>
      <c r="AA31" s="373"/>
      <c r="AB31" s="373"/>
      <c r="AC31" s="373"/>
      <c r="AD31" s="373"/>
      <c r="AE31" s="373"/>
      <c r="AF31" s="376"/>
      <c r="AG31" s="376"/>
      <c r="AH31" s="376"/>
      <c r="AI31" s="376"/>
      <c r="AK31" s="348"/>
      <c r="AL31" s="348"/>
      <c r="AM31" s="348"/>
      <c r="AN31" s="348"/>
      <c r="AO31" s="348"/>
      <c r="AP31" s="348"/>
      <c r="AQ31" s="356"/>
      <c r="AR31" s="356"/>
      <c r="AS31" s="356"/>
      <c r="AT31" s="348"/>
      <c r="AU31" s="348"/>
      <c r="AV31" s="348"/>
      <c r="AW31" s="348"/>
      <c r="AX31" s="348"/>
      <c r="AY31" s="348"/>
      <c r="AZ31" s="348"/>
    </row>
    <row r="32" spans="1:52" ht="14.25">
      <c r="A32" s="347"/>
      <c r="B32" s="425" t="s">
        <v>492</v>
      </c>
      <c r="C32" s="409"/>
      <c r="D32" s="409"/>
      <c r="E32" s="409"/>
      <c r="F32" s="409"/>
      <c r="G32" s="409"/>
      <c r="H32" s="409"/>
      <c r="I32" s="409"/>
      <c r="J32" s="409"/>
      <c r="K32" s="409"/>
      <c r="L32" s="409"/>
      <c r="M32" s="409"/>
      <c r="N32" s="409"/>
      <c r="O32" s="409"/>
      <c r="P32" s="396"/>
      <c r="Q32" s="396"/>
      <c r="R32" s="396"/>
      <c r="S32" s="396"/>
      <c r="T32" s="396"/>
      <c r="U32" s="396"/>
      <c r="V32" s="396"/>
      <c r="W32" s="396"/>
      <c r="X32" s="396"/>
      <c r="Y32" s="421"/>
      <c r="Z32" s="396"/>
      <c r="AA32" s="373"/>
      <c r="AB32" s="373"/>
      <c r="AC32" s="373"/>
      <c r="AD32" s="373"/>
      <c r="AE32" s="373"/>
      <c r="AF32" s="376"/>
      <c r="AG32" s="376"/>
      <c r="AH32" s="376"/>
      <c r="AI32" s="376"/>
      <c r="AK32" s="348"/>
      <c r="AL32" s="348"/>
      <c r="AM32" s="348"/>
      <c r="AN32" s="348"/>
      <c r="AO32" s="348"/>
      <c r="AP32" s="348"/>
      <c r="AQ32" s="356"/>
      <c r="AR32" s="356"/>
      <c r="AS32" s="356"/>
      <c r="AT32" s="348"/>
      <c r="AU32" s="348"/>
      <c r="AV32" s="348"/>
      <c r="AW32" s="348"/>
      <c r="AX32" s="348"/>
      <c r="AY32" s="348"/>
      <c r="AZ32" s="348"/>
    </row>
    <row r="33" spans="1:52" ht="14.25">
      <c r="A33" s="426"/>
      <c r="B33" s="427" t="s">
        <v>493</v>
      </c>
      <c r="C33" s="428"/>
      <c r="D33" s="428"/>
      <c r="E33" s="428"/>
      <c r="F33" s="428"/>
      <c r="G33" s="428"/>
      <c r="H33" s="428"/>
      <c r="I33" s="428"/>
      <c r="J33" s="428"/>
      <c r="K33" s="428"/>
      <c r="L33" s="428"/>
      <c r="M33" s="428"/>
      <c r="N33" s="428"/>
      <c r="O33" s="428"/>
      <c r="P33" s="428"/>
      <c r="Q33" s="428"/>
      <c r="R33" s="428"/>
      <c r="S33" s="428"/>
      <c r="T33" s="428"/>
      <c r="U33" s="428"/>
      <c r="V33" s="428"/>
      <c r="W33" s="428"/>
      <c r="X33" s="428"/>
      <c r="Y33" s="429"/>
      <c r="Z33" s="396"/>
      <c r="AA33" s="373"/>
      <c r="AB33" s="373"/>
      <c r="AC33" s="373"/>
      <c r="AD33" s="373"/>
      <c r="AE33" s="373"/>
      <c r="AF33" s="376"/>
      <c r="AG33" s="376"/>
      <c r="AH33" s="376"/>
      <c r="AI33" s="376"/>
      <c r="AK33" s="348"/>
      <c r="AL33" s="348"/>
      <c r="AM33" s="348"/>
      <c r="AN33" s="348"/>
      <c r="AO33" s="348"/>
      <c r="AP33" s="348"/>
      <c r="AQ33" s="356"/>
      <c r="AR33" s="356"/>
      <c r="AS33" s="356"/>
      <c r="AT33" s="348"/>
      <c r="AU33" s="348"/>
      <c r="AV33" s="348"/>
      <c r="AW33" s="348"/>
      <c r="AX33" s="348"/>
      <c r="AY33" s="348"/>
      <c r="AZ33" s="348"/>
    </row>
    <row r="34" spans="1:52" ht="14.25">
      <c r="A34" s="426"/>
      <c r="B34" s="427" t="s">
        <v>898</v>
      </c>
      <c r="C34" s="428"/>
      <c r="D34" s="428"/>
      <c r="E34" s="428"/>
      <c r="F34" s="428"/>
      <c r="G34" s="428"/>
      <c r="H34" s="428"/>
      <c r="I34" s="428"/>
      <c r="J34" s="428"/>
      <c r="K34" s="428"/>
      <c r="L34" s="428"/>
      <c r="M34" s="428"/>
      <c r="N34" s="428"/>
      <c r="O34" s="428"/>
      <c r="P34" s="428"/>
      <c r="Q34" s="428"/>
      <c r="R34" s="428"/>
      <c r="S34" s="428"/>
      <c r="T34" s="428"/>
      <c r="U34" s="428"/>
      <c r="V34" s="428"/>
      <c r="W34" s="428"/>
      <c r="X34" s="428"/>
      <c r="Y34" s="429"/>
      <c r="Z34" s="396"/>
      <c r="AA34" s="373"/>
      <c r="AB34" s="373"/>
      <c r="AC34" s="373"/>
      <c r="AD34" s="373"/>
      <c r="AE34" s="373"/>
      <c r="AF34" s="376"/>
      <c r="AG34" s="376"/>
      <c r="AH34" s="376"/>
      <c r="AI34" s="376"/>
      <c r="AK34" s="348"/>
      <c r="AL34" s="348"/>
      <c r="AM34" s="348"/>
      <c r="AN34" s="348"/>
      <c r="AO34" s="348"/>
      <c r="AP34" s="348"/>
      <c r="AQ34" s="356"/>
      <c r="AR34" s="356"/>
      <c r="AS34" s="356"/>
      <c r="AT34" s="348"/>
      <c r="AU34" s="348"/>
      <c r="AV34" s="348"/>
      <c r="AW34" s="348"/>
      <c r="AX34" s="348"/>
      <c r="AY34" s="348"/>
      <c r="AZ34" s="348"/>
    </row>
    <row r="35" spans="1:52" ht="14.25">
      <c r="A35" s="348"/>
      <c r="B35" s="424"/>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73"/>
      <c r="AB35" s="373"/>
      <c r="AC35" s="373"/>
      <c r="AD35" s="373"/>
      <c r="AE35" s="373"/>
      <c r="AF35" s="376"/>
      <c r="AG35" s="376"/>
      <c r="AH35" s="376"/>
      <c r="AI35" s="376"/>
      <c r="AK35" s="348"/>
      <c r="AL35" s="348"/>
      <c r="AM35" s="348"/>
      <c r="AN35" s="348"/>
      <c r="AO35" s="348"/>
      <c r="AP35" s="348"/>
      <c r="AQ35" s="356"/>
      <c r="AR35" s="356"/>
      <c r="AS35" s="356"/>
      <c r="AT35" s="348"/>
      <c r="AU35" s="348"/>
      <c r="AV35" s="348"/>
      <c r="AW35" s="348"/>
      <c r="AX35" s="348"/>
      <c r="AY35" s="348"/>
      <c r="AZ35" s="348"/>
    </row>
    <row r="36" spans="1:52" ht="14.25">
      <c r="A36" s="348"/>
      <c r="B36" s="424"/>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73"/>
      <c r="AB36" s="373"/>
      <c r="AC36" s="373"/>
      <c r="AD36" s="373"/>
      <c r="AE36" s="373"/>
      <c r="AF36" s="376"/>
      <c r="AG36" s="376"/>
      <c r="AH36" s="376"/>
      <c r="AI36" s="376"/>
      <c r="AK36" s="348"/>
      <c r="AL36" s="348"/>
      <c r="AM36" s="348"/>
      <c r="AN36" s="348"/>
      <c r="AO36" s="348"/>
      <c r="AP36" s="348"/>
      <c r="AQ36" s="356"/>
      <c r="AR36" s="356"/>
      <c r="AS36" s="356"/>
      <c r="AT36" s="348"/>
      <c r="AU36" s="348"/>
      <c r="AV36" s="348"/>
      <c r="AW36" s="348"/>
      <c r="AX36" s="348"/>
      <c r="AY36" s="348"/>
      <c r="AZ36" s="348"/>
    </row>
    <row r="37" spans="2:45" s="348" customFormat="1" ht="15.75">
      <c r="B37" s="430"/>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428"/>
      <c r="AA37" s="416"/>
      <c r="AB37" s="373"/>
      <c r="AC37" s="373"/>
      <c r="AD37" s="373"/>
      <c r="AE37" s="373"/>
      <c r="AF37" s="373"/>
      <c r="AG37" s="373"/>
      <c r="AH37" s="373"/>
      <c r="AI37" s="373"/>
      <c r="AQ37" s="356"/>
      <c r="AR37" s="356"/>
      <c r="AS37" s="356"/>
    </row>
    <row r="38" spans="1:52" ht="15.75">
      <c r="A38" s="341"/>
      <c r="B38" s="431" t="s">
        <v>494</v>
      </c>
      <c r="C38" s="432"/>
      <c r="D38" s="432"/>
      <c r="E38" s="432"/>
      <c r="F38" s="432"/>
      <c r="G38" s="432"/>
      <c r="H38" s="432"/>
      <c r="I38" s="432"/>
      <c r="J38" s="432"/>
      <c r="K38" s="432"/>
      <c r="L38" s="432"/>
      <c r="M38" s="432"/>
      <c r="N38" s="432"/>
      <c r="O38" s="432"/>
      <c r="P38" s="432"/>
      <c r="Q38" s="432"/>
      <c r="R38" s="432"/>
      <c r="S38" s="433"/>
      <c r="T38" s="432"/>
      <c r="U38" s="432"/>
      <c r="V38" s="432"/>
      <c r="W38" s="432"/>
      <c r="X38" s="432"/>
      <c r="Y38" s="432"/>
      <c r="Z38" s="396"/>
      <c r="AA38" s="434"/>
      <c r="AB38" s="373"/>
      <c r="AC38" s="376"/>
      <c r="AD38" s="376"/>
      <c r="AE38" s="376"/>
      <c r="AF38" s="376"/>
      <c r="AG38" s="376"/>
      <c r="AH38" s="376"/>
      <c r="AI38" s="376"/>
      <c r="AK38" s="348"/>
      <c r="AL38" s="348"/>
      <c r="AM38" s="348"/>
      <c r="AN38" s="348"/>
      <c r="AO38" s="348"/>
      <c r="AP38" s="348"/>
      <c r="AQ38" s="356"/>
      <c r="AR38" s="356"/>
      <c r="AS38" s="356"/>
      <c r="AT38" s="348"/>
      <c r="AU38" s="348"/>
      <c r="AV38" s="348"/>
      <c r="AW38" s="348"/>
      <c r="AX38" s="348"/>
      <c r="AY38" s="348"/>
      <c r="AZ38" s="348"/>
    </row>
    <row r="39" spans="1:52" ht="16.5" thickBot="1">
      <c r="A39" s="347"/>
      <c r="B39" s="383"/>
      <c r="C39" s="396"/>
      <c r="D39" s="396"/>
      <c r="E39" s="396"/>
      <c r="F39" s="396"/>
      <c r="G39" s="396"/>
      <c r="H39" s="396"/>
      <c r="I39" s="396"/>
      <c r="J39" s="396"/>
      <c r="K39" s="396"/>
      <c r="L39" s="396"/>
      <c r="M39" s="396"/>
      <c r="N39" s="396"/>
      <c r="O39" s="396"/>
      <c r="P39" s="396"/>
      <c r="Q39" s="396"/>
      <c r="R39" s="396"/>
      <c r="S39" s="421"/>
      <c r="T39" s="396"/>
      <c r="U39" s="396"/>
      <c r="V39" s="396"/>
      <c r="W39" s="396"/>
      <c r="X39" s="396"/>
      <c r="Y39" s="396"/>
      <c r="Z39" s="396"/>
      <c r="AA39" s="435"/>
      <c r="AB39" s="373"/>
      <c r="AC39" s="376"/>
      <c r="AD39" s="376"/>
      <c r="AE39" s="376"/>
      <c r="AF39" s="376"/>
      <c r="AG39" s="376"/>
      <c r="AH39" s="376"/>
      <c r="AI39" s="376"/>
      <c r="AK39" s="348"/>
      <c r="AL39" s="348"/>
      <c r="AM39" s="348"/>
      <c r="AN39" s="348"/>
      <c r="AO39" s="348"/>
      <c r="AP39" s="348"/>
      <c r="AQ39" s="356"/>
      <c r="AR39" s="356"/>
      <c r="AS39" s="356"/>
      <c r="AT39" s="348"/>
      <c r="AU39" s="348"/>
      <c r="AV39" s="348"/>
      <c r="AW39" s="348"/>
      <c r="AX39" s="348"/>
      <c r="AY39" s="348"/>
      <c r="AZ39" s="348"/>
    </row>
    <row r="40" spans="1:52" ht="15.75" thickBot="1">
      <c r="A40" s="347"/>
      <c r="B40" s="352" t="s">
        <v>464</v>
      </c>
      <c r="C40" s="353">
        <v>44561</v>
      </c>
      <c r="D40" s="396"/>
      <c r="E40" s="396"/>
      <c r="F40" s="396"/>
      <c r="G40" s="396"/>
      <c r="H40" s="396"/>
      <c r="I40" s="396"/>
      <c r="J40" s="396"/>
      <c r="K40" s="396"/>
      <c r="L40" s="396"/>
      <c r="M40" s="396"/>
      <c r="N40" s="396"/>
      <c r="O40" s="396"/>
      <c r="P40" s="396"/>
      <c r="Q40" s="396"/>
      <c r="R40" s="396"/>
      <c r="S40" s="421"/>
      <c r="T40" s="396"/>
      <c r="U40" s="396"/>
      <c r="V40" s="396"/>
      <c r="W40" s="396"/>
      <c r="X40" s="396"/>
      <c r="Y40" s="396"/>
      <c r="Z40" s="396"/>
      <c r="AA40" s="435"/>
      <c r="AB40" s="373"/>
      <c r="AC40" s="376"/>
      <c r="AD40" s="376"/>
      <c r="AE40" s="376"/>
      <c r="AF40" s="376"/>
      <c r="AG40" s="376"/>
      <c r="AH40" s="376"/>
      <c r="AI40" s="376"/>
      <c r="AK40" s="348"/>
      <c r="AL40" s="348"/>
      <c r="AM40" s="348"/>
      <c r="AN40" s="348"/>
      <c r="AO40" s="348"/>
      <c r="AP40" s="348"/>
      <c r="AQ40" s="356"/>
      <c r="AR40" s="356"/>
      <c r="AS40" s="356"/>
      <c r="AT40" s="348"/>
      <c r="AU40" s="348"/>
      <c r="AV40" s="348"/>
      <c r="AW40" s="348"/>
      <c r="AX40" s="348"/>
      <c r="AY40" s="348"/>
      <c r="AZ40" s="348"/>
    </row>
    <row r="41" spans="1:52" s="363" customFormat="1" ht="15">
      <c r="A41" s="357"/>
      <c r="B41" s="436"/>
      <c r="C41" s="382"/>
      <c r="D41" s="437" t="s">
        <v>495</v>
      </c>
      <c r="E41" s="382"/>
      <c r="F41" s="382"/>
      <c r="G41" s="437" t="s">
        <v>496</v>
      </c>
      <c r="H41" s="382"/>
      <c r="I41" s="437" t="s">
        <v>497</v>
      </c>
      <c r="J41" s="382"/>
      <c r="K41" s="437" t="s">
        <v>498</v>
      </c>
      <c r="L41" s="382"/>
      <c r="M41" s="437" t="s">
        <v>499</v>
      </c>
      <c r="N41" s="382"/>
      <c r="O41" s="437" t="s">
        <v>500</v>
      </c>
      <c r="P41" s="382"/>
      <c r="Q41" s="436" t="s">
        <v>501</v>
      </c>
      <c r="R41" s="436"/>
      <c r="S41" s="438" t="s">
        <v>502</v>
      </c>
      <c r="T41" s="382"/>
      <c r="U41" s="437" t="s">
        <v>503</v>
      </c>
      <c r="V41" s="382"/>
      <c r="W41" s="439" t="s">
        <v>504</v>
      </c>
      <c r="X41" s="382"/>
      <c r="Y41" s="363" t="s">
        <v>505</v>
      </c>
      <c r="Z41" s="382"/>
      <c r="AA41" s="438" t="s">
        <v>506</v>
      </c>
      <c r="AB41" s="382"/>
      <c r="AD41" s="440"/>
      <c r="AE41" s="440"/>
      <c r="AF41" s="440"/>
      <c r="AG41" s="382"/>
      <c r="AH41" s="440"/>
      <c r="AI41" s="440"/>
      <c r="AK41" s="436"/>
      <c r="AL41" s="436"/>
      <c r="AM41" s="436"/>
      <c r="AN41" s="436"/>
      <c r="AO41" s="436"/>
      <c r="AP41" s="436"/>
      <c r="AQ41" s="441"/>
      <c r="AR41" s="360"/>
      <c r="AS41" s="441"/>
      <c r="AT41" s="436"/>
      <c r="AU41" s="436"/>
      <c r="AV41" s="436"/>
      <c r="AW41" s="436"/>
      <c r="AX41" s="436"/>
      <c r="AY41" s="436"/>
      <c r="AZ41" s="436"/>
    </row>
    <row r="42" spans="1:52" ht="15">
      <c r="A42" s="347"/>
      <c r="B42" s="442"/>
      <c r="C42" s="373"/>
      <c r="D42" s="373"/>
      <c r="E42" s="373"/>
      <c r="F42" s="373"/>
      <c r="G42" s="373"/>
      <c r="H42" s="373"/>
      <c r="I42" s="373"/>
      <c r="J42" s="373"/>
      <c r="K42" s="367" t="s">
        <v>507</v>
      </c>
      <c r="L42" s="367"/>
      <c r="M42" s="373"/>
      <c r="N42" s="373"/>
      <c r="O42" s="367" t="s">
        <v>508</v>
      </c>
      <c r="P42" s="373"/>
      <c r="Q42" s="443" t="s">
        <v>509</v>
      </c>
      <c r="R42" s="348"/>
      <c r="S42" s="374"/>
      <c r="T42" s="373"/>
      <c r="U42" s="367" t="s">
        <v>466</v>
      </c>
      <c r="V42" s="373"/>
      <c r="W42" s="348"/>
      <c r="X42" s="373"/>
      <c r="Y42" s="348"/>
      <c r="Z42" s="373"/>
      <c r="AA42" s="444" t="s">
        <v>510</v>
      </c>
      <c r="AB42" s="367"/>
      <c r="AD42" s="367"/>
      <c r="AE42" s="367"/>
      <c r="AF42" s="367"/>
      <c r="AG42" s="367"/>
      <c r="AH42" s="373"/>
      <c r="AI42" s="373"/>
      <c r="AK42" s="348"/>
      <c r="AL42" s="348"/>
      <c r="AM42" s="348"/>
      <c r="AN42" s="348"/>
      <c r="AO42" s="348"/>
      <c r="AP42" s="348"/>
      <c r="AQ42" s="348"/>
      <c r="AR42" s="348"/>
      <c r="AS42" s="348"/>
      <c r="AT42" s="348"/>
      <c r="AU42" s="348"/>
      <c r="AV42" s="348"/>
      <c r="AW42" s="348"/>
      <c r="AX42" s="348"/>
      <c r="AY42" s="348"/>
      <c r="AZ42" s="348"/>
    </row>
    <row r="43" spans="1:52" ht="14.25">
      <c r="A43" s="347"/>
      <c r="B43" s="348"/>
      <c r="C43" s="373"/>
      <c r="D43" s="367" t="s">
        <v>511</v>
      </c>
      <c r="E43" s="367"/>
      <c r="F43" s="367"/>
      <c r="G43" s="367" t="s">
        <v>512</v>
      </c>
      <c r="H43" s="367"/>
      <c r="I43" s="367" t="s">
        <v>8</v>
      </c>
      <c r="J43" s="367"/>
      <c r="K43" s="367" t="s">
        <v>513</v>
      </c>
      <c r="L43" s="367"/>
      <c r="M43" s="367" t="s">
        <v>514</v>
      </c>
      <c r="N43" s="367"/>
      <c r="O43" s="367" t="s">
        <v>515</v>
      </c>
      <c r="P43" s="367"/>
      <c r="Q43" s="443" t="s">
        <v>442</v>
      </c>
      <c r="R43" s="348"/>
      <c r="S43" s="445" t="s">
        <v>466</v>
      </c>
      <c r="T43" s="367"/>
      <c r="U43" s="367" t="s">
        <v>516</v>
      </c>
      <c r="V43" s="367"/>
      <c r="W43" s="367" t="s">
        <v>517</v>
      </c>
      <c r="X43" s="367"/>
      <c r="Y43" s="367" t="s">
        <v>518</v>
      </c>
      <c r="Z43" s="367"/>
      <c r="AA43" s="444" t="s">
        <v>519</v>
      </c>
      <c r="AB43" s="367"/>
      <c r="AD43" s="367"/>
      <c r="AF43" s="367"/>
      <c r="AG43" s="446"/>
      <c r="AH43" s="367"/>
      <c r="AK43" s="348"/>
      <c r="AL43" s="348"/>
      <c r="AM43" s="348"/>
      <c r="AN43" s="348"/>
      <c r="AO43" s="348"/>
      <c r="AP43" s="348"/>
      <c r="AQ43" s="348"/>
      <c r="AR43" s="348"/>
      <c r="AS43" s="348"/>
      <c r="AT43" s="348"/>
      <c r="AU43" s="348"/>
      <c r="AV43" s="348"/>
      <c r="AW43" s="348"/>
      <c r="AX43" s="348"/>
      <c r="AY43" s="348"/>
      <c r="AZ43" s="348"/>
    </row>
    <row r="44" spans="1:52" ht="15">
      <c r="A44" s="347"/>
      <c r="B44" s="447" t="s">
        <v>520</v>
      </c>
      <c r="C44" s="373" t="s">
        <v>521</v>
      </c>
      <c r="D44" s="367" t="s">
        <v>522</v>
      </c>
      <c r="E44" s="448"/>
      <c r="F44" s="448"/>
      <c r="G44" s="367" t="s">
        <v>522</v>
      </c>
      <c r="H44" s="448"/>
      <c r="I44" s="367" t="s">
        <v>523</v>
      </c>
      <c r="J44" s="448"/>
      <c r="K44" s="367" t="s">
        <v>524</v>
      </c>
      <c r="L44" s="448"/>
      <c r="M44" s="367" t="s">
        <v>525</v>
      </c>
      <c r="N44" s="367"/>
      <c r="O44" s="367" t="s">
        <v>526</v>
      </c>
      <c r="P44" s="367"/>
      <c r="Q44" s="443"/>
      <c r="R44" s="348"/>
      <c r="S44" s="445" t="s">
        <v>516</v>
      </c>
      <c r="T44" s="367"/>
      <c r="U44" s="367" t="s">
        <v>527</v>
      </c>
      <c r="V44" s="448"/>
      <c r="W44" s="367" t="s">
        <v>528</v>
      </c>
      <c r="X44" s="448"/>
      <c r="Y44" s="367" t="s">
        <v>529</v>
      </c>
      <c r="Z44" s="448"/>
      <c r="AA44" s="444" t="s">
        <v>530</v>
      </c>
      <c r="AB44" s="367"/>
      <c r="AD44" s="367"/>
      <c r="AF44" s="367"/>
      <c r="AG44" s="446"/>
      <c r="AH44" s="367"/>
      <c r="AK44" s="348"/>
      <c r="AL44" s="348"/>
      <c r="AM44" s="348"/>
      <c r="AN44" s="348"/>
      <c r="AO44" s="348"/>
      <c r="AP44" s="348"/>
      <c r="AQ44" s="348"/>
      <c r="AR44" s="348"/>
      <c r="AS44" s="348"/>
      <c r="AT44" s="348"/>
      <c r="AU44" s="348"/>
      <c r="AV44" s="348"/>
      <c r="AW44" s="348"/>
      <c r="AX44" s="348"/>
      <c r="AY44" s="348"/>
      <c r="AZ44" s="348"/>
    </row>
    <row r="45" spans="1:52" ht="28.5">
      <c r="A45" s="347"/>
      <c r="B45" s="348"/>
      <c r="C45" s="373"/>
      <c r="D45" s="367"/>
      <c r="E45" s="448"/>
      <c r="F45" s="448"/>
      <c r="G45" s="367"/>
      <c r="H45" s="448"/>
      <c r="I45" s="367"/>
      <c r="J45" s="448"/>
      <c r="K45" s="367"/>
      <c r="L45" s="448"/>
      <c r="M45" s="367"/>
      <c r="N45" s="367"/>
      <c r="O45" s="367"/>
      <c r="P45" s="367"/>
      <c r="Q45" s="412"/>
      <c r="R45" s="348"/>
      <c r="S45" s="681" t="s">
        <v>799</v>
      </c>
      <c r="T45" s="367"/>
      <c r="U45" s="682" t="s">
        <v>800</v>
      </c>
      <c r="V45" s="448"/>
      <c r="W45" s="367"/>
      <c r="X45" s="448"/>
      <c r="Y45" s="367" t="s">
        <v>801</v>
      </c>
      <c r="Z45" s="448"/>
      <c r="AA45" s="444"/>
      <c r="AB45" s="367"/>
      <c r="AD45" s="367"/>
      <c r="AF45" s="367"/>
      <c r="AG45" s="446"/>
      <c r="AH45" s="367"/>
      <c r="AK45" s="348"/>
      <c r="AL45" s="348"/>
      <c r="AM45" s="348"/>
      <c r="AN45" s="348"/>
      <c r="AO45" s="348"/>
      <c r="AP45" s="348"/>
      <c r="AQ45" s="348"/>
      <c r="AR45" s="348"/>
      <c r="AS45" s="348"/>
      <c r="AT45" s="348"/>
      <c r="AU45" s="348"/>
      <c r="AV45" s="348"/>
      <c r="AW45" s="348"/>
      <c r="AX45" s="348"/>
      <c r="AY45" s="348"/>
      <c r="AZ45" s="348"/>
    </row>
    <row r="46" spans="1:52" ht="14.25">
      <c r="A46" s="347"/>
      <c r="B46" s="449"/>
      <c r="C46" s="373"/>
      <c r="D46" s="367"/>
      <c r="E46" s="448"/>
      <c r="F46" s="448"/>
      <c r="G46" s="367"/>
      <c r="H46" s="448"/>
      <c r="I46" s="367"/>
      <c r="J46" s="448"/>
      <c r="K46" s="367"/>
      <c r="L46" s="448"/>
      <c r="M46" s="367"/>
      <c r="N46" s="367"/>
      <c r="O46" s="367"/>
      <c r="P46" s="367"/>
      <c r="Q46" s="412"/>
      <c r="R46" s="348"/>
      <c r="S46" s="450"/>
      <c r="T46" s="367"/>
      <c r="U46" s="367"/>
      <c r="V46" s="448"/>
      <c r="W46" s="367"/>
      <c r="X46" s="448"/>
      <c r="Y46" s="367"/>
      <c r="Z46" s="448"/>
      <c r="AA46" s="445"/>
      <c r="AB46" s="367"/>
      <c r="AD46" s="367"/>
      <c r="AF46" s="367"/>
      <c r="AG46" s="367"/>
      <c r="AH46" s="367"/>
      <c r="AK46" s="348"/>
      <c r="AL46" s="348"/>
      <c r="AM46" s="348"/>
      <c r="AN46" s="348"/>
      <c r="AO46" s="348"/>
      <c r="AP46" s="348"/>
      <c r="AQ46" s="348"/>
      <c r="AR46" s="348"/>
      <c r="AS46" s="348"/>
      <c r="AT46" s="348"/>
      <c r="AU46" s="348"/>
      <c r="AV46" s="348"/>
      <c r="AW46" s="348"/>
      <c r="AX46" s="348"/>
      <c r="AY46" s="348"/>
      <c r="AZ46" s="348"/>
    </row>
    <row r="47" spans="1:52" ht="14.25">
      <c r="A47" s="451" t="s">
        <v>22</v>
      </c>
      <c r="B47" s="852" t="s">
        <v>1229</v>
      </c>
      <c r="C47" s="853"/>
      <c r="D47" s="854">
        <v>43230</v>
      </c>
      <c r="E47" s="853"/>
      <c r="F47" s="853"/>
      <c r="G47" s="854">
        <v>46888</v>
      </c>
      <c r="H47" s="853"/>
      <c r="I47" s="1141">
        <v>450000000</v>
      </c>
      <c r="J47" s="853"/>
      <c r="K47" s="1141">
        <v>-112500</v>
      </c>
      <c r="L47" s="373"/>
      <c r="M47" s="1135">
        <v>3980801</v>
      </c>
      <c r="N47" s="452"/>
      <c r="O47" s="405">
        <v>0</v>
      </c>
      <c r="P47" s="452"/>
      <c r="Q47" s="443" t="s">
        <v>531</v>
      </c>
      <c r="R47" s="348"/>
      <c r="S47" s="453">
        <f>+I47+K47-M47-O47</f>
        <v>445906699</v>
      </c>
      <c r="T47" s="452"/>
      <c r="U47" s="454">
        <f>(S47/I47)*100</f>
        <v>99.090377555555548</v>
      </c>
      <c r="V47" s="373"/>
      <c r="W47" s="1142">
        <v>0.041000000000000002</v>
      </c>
      <c r="X47" s="373"/>
      <c r="Y47" s="375">
        <f>W47*I47</f>
        <v>18450000</v>
      </c>
      <c r="Z47" s="373"/>
      <c r="AA47" s="456">
        <f>YIELD(D47,G47,W47,U47,100,2,0)</f>
        <v>0.042122043970539917</v>
      </c>
      <c r="AB47" s="457"/>
      <c r="AD47" s="458"/>
      <c r="AF47" s="459"/>
      <c r="AG47" s="460"/>
      <c r="AH47" s="460"/>
      <c r="AK47" s="348"/>
      <c r="AL47" s="348"/>
      <c r="AM47" s="348"/>
      <c r="AN47" s="348"/>
      <c r="AO47" s="348"/>
      <c r="AP47" s="348"/>
      <c r="AQ47" s="348"/>
      <c r="AR47" s="348"/>
      <c r="AS47" s="348"/>
      <c r="AT47" s="348"/>
      <c r="AU47" s="348"/>
      <c r="AV47" s="348"/>
      <c r="AW47" s="348"/>
      <c r="AX47" s="348"/>
      <c r="AY47" s="348"/>
      <c r="AZ47" s="348"/>
    </row>
    <row r="48" spans="1:52" ht="14.25">
      <c r="A48" s="451" t="s">
        <v>23</v>
      </c>
      <c r="B48" s="389" t="s">
        <v>1230</v>
      </c>
      <c r="C48" s="373"/>
      <c r="D48" s="391">
        <v>43921</v>
      </c>
      <c r="E48" s="448"/>
      <c r="F48" s="448"/>
      <c r="G48" s="391">
        <v>48305</v>
      </c>
      <c r="H48" s="448"/>
      <c r="I48" s="1141">
        <v>125000000</v>
      </c>
      <c r="J48" s="448"/>
      <c r="K48" s="1141">
        <v>0</v>
      </c>
      <c r="L48" s="448"/>
      <c r="M48" s="1117">
        <v>888456</v>
      </c>
      <c r="N48" s="367"/>
      <c r="O48" s="405">
        <v>0</v>
      </c>
      <c r="P48" s="367"/>
      <c r="Q48" s="443" t="s">
        <v>531</v>
      </c>
      <c r="R48" s="348"/>
      <c r="S48" s="453">
        <f t="shared" si="6" ref="S48:S50">+I48+K48-M48-O48</f>
        <v>124111544</v>
      </c>
      <c r="T48" s="367"/>
      <c r="U48" s="454">
        <f t="shared" si="7" ref="U48:U50">(S48/I48)*100</f>
        <v>99.289235200000007</v>
      </c>
      <c r="V48" s="448"/>
      <c r="W48" s="1142">
        <v>0.035999999999999997</v>
      </c>
      <c r="X48" s="448"/>
      <c r="Y48" s="375">
        <f t="shared" si="8" ref="Y48:Y50">W48*I48</f>
        <v>4500000</v>
      </c>
      <c r="Z48" s="448"/>
      <c r="AA48" s="456">
        <f t="shared" si="9" ref="AA48:AA50">YIELD(D48,G48,W48,U48,100,2,0)</f>
        <v>0.036737762812174224</v>
      </c>
      <c r="AB48" s="367"/>
      <c r="AD48" s="367"/>
      <c r="AF48" s="367"/>
      <c r="AG48" s="367"/>
      <c r="AH48" s="367"/>
      <c r="AK48" s="348"/>
      <c r="AL48" s="348"/>
      <c r="AM48" s="348"/>
      <c r="AN48" s="348"/>
      <c r="AO48" s="348"/>
      <c r="AP48" s="348"/>
      <c r="AQ48" s="348"/>
      <c r="AR48" s="348"/>
      <c r="AS48" s="348"/>
      <c r="AT48" s="348"/>
      <c r="AU48" s="348"/>
      <c r="AV48" s="348"/>
      <c r="AW48" s="348"/>
      <c r="AX48" s="348"/>
      <c r="AY48" s="348"/>
      <c r="AZ48" s="348"/>
    </row>
    <row r="49" spans="1:28" ht="14.25">
      <c r="A49" s="461" t="s">
        <v>24</v>
      </c>
      <c r="B49" s="356" t="s">
        <v>1231</v>
      </c>
      <c r="C49" s="348"/>
      <c r="D49" s="1140">
        <v>43921</v>
      </c>
      <c r="E49" s="348"/>
      <c r="F49" s="348"/>
      <c r="G49" s="1140">
        <v>49400</v>
      </c>
      <c r="H49" s="348"/>
      <c r="I49" s="1141">
        <v>125000000</v>
      </c>
      <c r="J49" s="348"/>
      <c r="K49" s="1141">
        <v>0</v>
      </c>
      <c r="L49" s="348"/>
      <c r="M49" s="1117">
        <v>888456</v>
      </c>
      <c r="N49" s="348"/>
      <c r="O49" s="405">
        <v>0</v>
      </c>
      <c r="P49" s="348"/>
      <c r="Q49" s="443" t="s">
        <v>531</v>
      </c>
      <c r="R49" s="348"/>
      <c r="S49" s="453">
        <f t="shared" si="6"/>
        <v>124111544</v>
      </c>
      <c r="T49" s="348"/>
      <c r="U49" s="454">
        <f t="shared" si="7"/>
        <v>99.289235200000007</v>
      </c>
      <c r="V49" s="348"/>
      <c r="W49" s="1142">
        <v>0.036999999999999998</v>
      </c>
      <c r="X49" s="348"/>
      <c r="Y49" s="375">
        <f t="shared" si="8"/>
        <v>4625000</v>
      </c>
      <c r="Z49" s="348"/>
      <c r="AA49" s="456">
        <f t="shared" si="9"/>
        <v>0.037624392499742552</v>
      </c>
      <c r="AB49" s="348"/>
    </row>
    <row r="50" spans="1:34" ht="14.25">
      <c r="A50" s="1155" t="s">
        <v>25</v>
      </c>
      <c r="B50" s="356" t="s">
        <v>1229</v>
      </c>
      <c r="C50" s="373"/>
      <c r="D50" s="404" t="s">
        <v>1310</v>
      </c>
      <c r="E50" s="373"/>
      <c r="F50" s="373"/>
      <c r="G50" s="404" t="s">
        <v>1311</v>
      </c>
      <c r="H50" s="373"/>
      <c r="I50" s="1141">
        <v>150000000</v>
      </c>
      <c r="J50" s="373"/>
      <c r="K50" s="1141">
        <v>14337000</v>
      </c>
      <c r="L50" s="373"/>
      <c r="M50" s="1117">
        <v>1282355</v>
      </c>
      <c r="N50" s="462"/>
      <c r="O50" s="462"/>
      <c r="P50" s="462"/>
      <c r="Q50" s="443" t="s">
        <v>531</v>
      </c>
      <c r="R50" s="348"/>
      <c r="S50" s="453">
        <f t="shared" si="6"/>
        <v>163054645</v>
      </c>
      <c r="T50" s="462"/>
      <c r="U50" s="454">
        <f t="shared" si="7"/>
        <v>108.70309666666667</v>
      </c>
      <c r="V50" s="373"/>
      <c r="W50" s="1142">
        <v>0.041000000000000002</v>
      </c>
      <c r="X50" s="373"/>
      <c r="Y50" s="375">
        <f t="shared" si="8"/>
        <v>6150000</v>
      </c>
      <c r="Z50" s="373"/>
      <c r="AA50" s="456">
        <f t="shared" si="9"/>
        <v>0.027215221472318449</v>
      </c>
      <c r="AB50" s="373"/>
      <c r="AD50" s="376"/>
      <c r="AF50" s="376"/>
      <c r="AG50" s="460"/>
      <c r="AH50" s="376"/>
    </row>
    <row r="51" spans="1:34" ht="14.25">
      <c r="A51" s="451"/>
      <c r="B51" s="389"/>
      <c r="C51" s="373"/>
      <c r="D51" s="404"/>
      <c r="E51" s="373"/>
      <c r="F51" s="373"/>
      <c r="G51" s="404"/>
      <c r="H51" s="373"/>
      <c r="I51" s="462"/>
      <c r="J51" s="373"/>
      <c r="K51" s="462"/>
      <c r="L51" s="373"/>
      <c r="M51" s="462"/>
      <c r="N51" s="462"/>
      <c r="O51" s="462"/>
      <c r="P51" s="462"/>
      <c r="Q51" s="443"/>
      <c r="R51" s="348"/>
      <c r="S51" s="453"/>
      <c r="T51" s="462"/>
      <c r="U51" s="454"/>
      <c r="V51" s="373"/>
      <c r="W51" s="455"/>
      <c r="X51" s="373"/>
      <c r="Y51" s="462"/>
      <c r="Z51" s="373"/>
      <c r="AA51" s="464"/>
      <c r="AB51" s="373"/>
      <c r="AD51" s="376"/>
      <c r="AF51" s="376"/>
      <c r="AG51" s="460"/>
      <c r="AH51" s="376"/>
    </row>
    <row r="52" spans="1:36" ht="14.25">
      <c r="A52" s="347"/>
      <c r="B52" s="419"/>
      <c r="C52" s="348"/>
      <c r="D52" s="465"/>
      <c r="E52" s="373"/>
      <c r="F52" s="373"/>
      <c r="G52" s="466"/>
      <c r="H52" s="373"/>
      <c r="I52" s="467"/>
      <c r="J52" s="373"/>
      <c r="K52" s="467"/>
      <c r="L52" s="373"/>
      <c r="M52" s="467"/>
      <c r="N52" s="462"/>
      <c r="O52" s="467"/>
      <c r="P52" s="462"/>
      <c r="Q52" s="468"/>
      <c r="R52" s="348"/>
      <c r="S52" s="469"/>
      <c r="T52" s="462"/>
      <c r="U52" s="348"/>
      <c r="V52" s="373"/>
      <c r="W52" s="348"/>
      <c r="X52" s="373"/>
      <c r="Y52" s="470"/>
      <c r="Z52" s="373"/>
      <c r="AA52" s="463"/>
      <c r="AB52" s="373"/>
      <c r="AD52" s="376"/>
      <c r="AE52" s="459"/>
      <c r="AF52" s="376"/>
      <c r="AG52" s="460"/>
      <c r="AH52" s="376"/>
      <c r="AJ52" s="346"/>
    </row>
    <row r="53" spans="1:36" ht="14.25">
      <c r="A53" s="347"/>
      <c r="B53" s="471" t="s">
        <v>532</v>
      </c>
      <c r="C53" s="373"/>
      <c r="D53" s="465"/>
      <c r="E53" s="373"/>
      <c r="F53" s="373"/>
      <c r="G53" s="466"/>
      <c r="H53" s="373"/>
      <c r="I53" s="472">
        <f>SUM(I47:I52)</f>
        <v>850000000</v>
      </c>
      <c r="J53" s="373"/>
      <c r="K53" s="462">
        <f>SUM(K47:K52)</f>
        <v>14224500</v>
      </c>
      <c r="L53" s="373"/>
      <c r="M53" s="472">
        <f>SUM(M47:M52)</f>
        <v>7040068</v>
      </c>
      <c r="N53" s="472"/>
      <c r="O53" s="462">
        <f>SUM(O47:O52)</f>
        <v>0</v>
      </c>
      <c r="P53" s="472"/>
      <c r="Q53" s="443" t="s">
        <v>531</v>
      </c>
      <c r="R53" s="348"/>
      <c r="S53" s="473">
        <f>SUM(S47:S52)</f>
        <v>857184432</v>
      </c>
      <c r="T53" s="472"/>
      <c r="U53" s="373"/>
      <c r="V53" s="373"/>
      <c r="W53" s="348"/>
      <c r="X53" s="373"/>
      <c r="Y53" s="472">
        <f>SUM(Y47:Y52)</f>
        <v>33725000</v>
      </c>
      <c r="Z53" s="373"/>
      <c r="AA53" s="456"/>
      <c r="AB53" s="373"/>
      <c r="AD53" s="376"/>
      <c r="AE53" s="459"/>
      <c r="AF53" s="376"/>
      <c r="AG53" s="460"/>
      <c r="AH53" s="376"/>
      <c r="AJ53" s="346"/>
    </row>
    <row r="54" spans="1:36" ht="14.25">
      <c r="A54" s="347"/>
      <c r="B54" s="356" t="s">
        <v>533</v>
      </c>
      <c r="C54" s="373"/>
      <c r="D54" s="465"/>
      <c r="E54" s="373"/>
      <c r="F54" s="373"/>
      <c r="G54" s="466"/>
      <c r="H54" s="373"/>
      <c r="I54" s="462"/>
      <c r="J54" s="373"/>
      <c r="K54" s="462"/>
      <c r="L54" s="373"/>
      <c r="M54" s="462"/>
      <c r="N54" s="462"/>
      <c r="O54" s="462"/>
      <c r="P54" s="462"/>
      <c r="Q54" s="462"/>
      <c r="R54" s="462"/>
      <c r="S54" s="374"/>
      <c r="T54" s="373"/>
      <c r="U54" s="373"/>
      <c r="V54" s="373"/>
      <c r="W54" s="462"/>
      <c r="X54" s="373"/>
      <c r="Y54" s="462"/>
      <c r="Z54" s="373"/>
      <c r="AA54" s="474"/>
      <c r="AB54" s="373"/>
      <c r="AC54" s="376"/>
      <c r="AD54" s="376"/>
      <c r="AE54" s="459"/>
      <c r="AF54" s="376"/>
      <c r="AG54" s="460"/>
      <c r="AH54" s="376"/>
      <c r="AI54" s="475"/>
      <c r="AJ54" s="346"/>
    </row>
    <row r="55" spans="1:36" ht="15">
      <c r="A55" s="426"/>
      <c r="B55" s="427" t="s">
        <v>534</v>
      </c>
      <c r="C55" s="416"/>
      <c r="D55" s="416"/>
      <c r="E55" s="416"/>
      <c r="F55" s="416"/>
      <c r="G55" s="416"/>
      <c r="H55" s="416"/>
      <c r="I55" s="416"/>
      <c r="J55" s="416"/>
      <c r="K55" s="416"/>
      <c r="L55" s="416"/>
      <c r="M55" s="476"/>
      <c r="N55" s="476"/>
      <c r="O55" s="476"/>
      <c r="P55" s="476"/>
      <c r="Q55" s="476"/>
      <c r="R55" s="476"/>
      <c r="S55" s="469"/>
      <c r="T55" s="416"/>
      <c r="U55" s="416"/>
      <c r="V55" s="416"/>
      <c r="W55" s="416"/>
      <c r="X55" s="416"/>
      <c r="Y55" s="416"/>
      <c r="Z55" s="416"/>
      <c r="AA55" s="477"/>
      <c r="AB55" s="373"/>
      <c r="AC55" s="376"/>
      <c r="AD55" s="376"/>
      <c r="AE55" s="376"/>
      <c r="AF55" s="376"/>
      <c r="AG55" s="376"/>
      <c r="AH55" s="376"/>
      <c r="AI55" s="376"/>
      <c r="AJ55" s="346"/>
    </row>
    <row r="56" spans="1:36" ht="14.25">
      <c r="A56" s="426"/>
      <c r="B56" s="427"/>
      <c r="C56" s="416"/>
      <c r="D56" s="416"/>
      <c r="E56" s="416"/>
      <c r="F56" s="416"/>
      <c r="G56" s="416"/>
      <c r="H56" s="416"/>
      <c r="I56" s="416"/>
      <c r="J56" s="416"/>
      <c r="K56" s="416"/>
      <c r="L56" s="416"/>
      <c r="M56" s="476"/>
      <c r="N56" s="476"/>
      <c r="O56" s="476"/>
      <c r="P56" s="476"/>
      <c r="Q56" s="476"/>
      <c r="R56" s="476"/>
      <c r="S56" s="469"/>
      <c r="T56" s="373"/>
      <c r="U56" s="373"/>
      <c r="V56" s="373"/>
      <c r="W56" s="373"/>
      <c r="X56" s="373"/>
      <c r="Y56" s="373"/>
      <c r="Z56" s="373"/>
      <c r="AA56" s="457"/>
      <c r="AB56" s="373"/>
      <c r="AC56" s="376"/>
      <c r="AD56" s="376"/>
      <c r="AE56" s="376"/>
      <c r="AF56" s="376"/>
      <c r="AG56" s="376"/>
      <c r="AH56" s="376"/>
      <c r="AI56" s="376"/>
      <c r="AJ56" s="346"/>
    </row>
    <row r="57" spans="2:36" ht="14.25">
      <c r="B57" s="460"/>
      <c r="C57" s="376"/>
      <c r="D57" s="376"/>
      <c r="E57" s="376"/>
      <c r="F57" s="376"/>
      <c r="G57" s="376"/>
      <c r="H57" s="376"/>
      <c r="I57" s="376"/>
      <c r="J57" s="376"/>
      <c r="K57" s="376"/>
      <c r="L57" s="376"/>
      <c r="M57" s="478"/>
      <c r="N57" s="478"/>
      <c r="O57" s="478"/>
      <c r="P57" s="478"/>
      <c r="Q57" s="478"/>
      <c r="R57" s="478"/>
      <c r="S57" s="376"/>
      <c r="T57" s="376"/>
      <c r="U57" s="376"/>
      <c r="V57" s="376"/>
      <c r="W57" s="376"/>
      <c r="X57" s="376"/>
      <c r="Y57" s="479"/>
      <c r="Z57" s="376"/>
      <c r="AA57" s="376"/>
      <c r="AB57" s="376"/>
      <c r="AC57" s="376"/>
      <c r="AD57" s="376"/>
      <c r="AE57" s="376"/>
      <c r="AF57" s="376"/>
      <c r="AG57" s="376"/>
      <c r="AH57" s="376"/>
      <c r="AI57" s="376"/>
      <c r="AJ57" s="346"/>
    </row>
    <row r="58" spans="2:36" ht="14.25">
      <c r="B58" s="480"/>
      <c r="C58" s="407"/>
      <c r="D58" s="373"/>
      <c r="E58" s="373"/>
      <c r="F58" s="373"/>
      <c r="G58" s="373"/>
      <c r="H58" s="373"/>
      <c r="I58" s="373"/>
      <c r="J58" s="373"/>
      <c r="K58" s="373"/>
      <c r="L58" s="373"/>
      <c r="M58" s="481"/>
      <c r="N58" s="481"/>
      <c r="O58" s="481"/>
      <c r="P58" s="481"/>
      <c r="Q58" s="481"/>
      <c r="R58" s="481"/>
      <c r="S58" s="373"/>
      <c r="T58" s="373"/>
      <c r="U58" s="373"/>
      <c r="V58" s="373"/>
      <c r="W58" s="373"/>
      <c r="X58" s="373"/>
      <c r="Y58" s="462"/>
      <c r="Z58" s="376"/>
      <c r="AA58" s="376"/>
      <c r="AB58" s="376"/>
      <c r="AC58" s="376"/>
      <c r="AD58" s="376"/>
      <c r="AE58" s="376"/>
      <c r="AF58" s="376"/>
      <c r="AG58" s="376"/>
      <c r="AH58" s="376"/>
      <c r="AI58" s="376"/>
      <c r="AJ58" s="346"/>
    </row>
    <row r="59" spans="3:36" ht="14.25">
      <c r="C59" s="373"/>
      <c r="D59" s="373"/>
      <c r="E59" s="373"/>
      <c r="F59" s="373"/>
      <c r="G59" s="373"/>
      <c r="H59" s="373"/>
      <c r="I59" s="373"/>
      <c r="J59" s="373"/>
      <c r="K59" s="373"/>
      <c r="L59" s="373"/>
      <c r="M59" s="373"/>
      <c r="N59" s="373"/>
      <c r="O59" s="373"/>
      <c r="P59" s="373"/>
      <c r="Q59" s="373"/>
      <c r="R59" s="373"/>
      <c r="S59" s="373"/>
      <c r="T59" s="373"/>
      <c r="U59" s="373"/>
      <c r="V59" s="373"/>
      <c r="W59" s="373"/>
      <c r="X59" s="373"/>
      <c r="Y59" s="462"/>
      <c r="Z59" s="376"/>
      <c r="AA59" s="479"/>
      <c r="AB59" s="376"/>
      <c r="AC59" s="376"/>
      <c r="AD59" s="376"/>
      <c r="AE59" s="376"/>
      <c r="AF59" s="376"/>
      <c r="AG59" s="376"/>
      <c r="AH59" s="376"/>
      <c r="AI59" s="376"/>
      <c r="AJ59" s="346"/>
    </row>
    <row r="60" spans="3:36" ht="14.25">
      <c r="C60" s="373"/>
      <c r="D60" s="462"/>
      <c r="E60" s="373"/>
      <c r="F60" s="373"/>
      <c r="G60" s="462"/>
      <c r="H60" s="373"/>
      <c r="I60" s="373"/>
      <c r="J60" s="373"/>
      <c r="K60" s="373"/>
      <c r="L60" s="373"/>
      <c r="M60" s="462"/>
      <c r="N60" s="462"/>
      <c r="O60" s="462"/>
      <c r="P60" s="462"/>
      <c r="Q60" s="462"/>
      <c r="R60" s="462"/>
      <c r="S60" s="373"/>
      <c r="T60" s="373"/>
      <c r="U60" s="373"/>
      <c r="V60" s="373"/>
      <c r="W60" s="482"/>
      <c r="X60" s="373"/>
      <c r="Y60" s="462"/>
      <c r="Z60" s="376"/>
      <c r="AA60" s="376"/>
      <c r="AB60" s="376"/>
      <c r="AC60" s="376"/>
      <c r="AD60" s="376"/>
      <c r="AE60" s="376"/>
      <c r="AF60" s="376"/>
      <c r="AG60" s="376"/>
      <c r="AH60" s="376"/>
      <c r="AI60" s="376"/>
      <c r="AJ60" s="346"/>
    </row>
    <row r="61" spans="3:36" ht="14.25">
      <c r="C61" s="373"/>
      <c r="D61" s="373"/>
      <c r="E61" s="373"/>
      <c r="F61" s="373"/>
      <c r="G61" s="373"/>
      <c r="H61" s="373"/>
      <c r="I61" s="373"/>
      <c r="J61" s="373"/>
      <c r="K61" s="373"/>
      <c r="L61" s="373"/>
      <c r="M61" s="373"/>
      <c r="N61" s="373"/>
      <c r="O61" s="373"/>
      <c r="P61" s="373"/>
      <c r="Q61" s="373"/>
      <c r="R61" s="373"/>
      <c r="S61" s="373"/>
      <c r="T61" s="373"/>
      <c r="U61" s="373"/>
      <c r="V61" s="373"/>
      <c r="W61" s="482"/>
      <c r="X61" s="373"/>
      <c r="Y61" s="373"/>
      <c r="Z61" s="376"/>
      <c r="AA61" s="376"/>
      <c r="AB61" s="376"/>
      <c r="AC61" s="376"/>
      <c r="AD61" s="376"/>
      <c r="AE61" s="376"/>
      <c r="AF61" s="376"/>
      <c r="AG61" s="376"/>
      <c r="AH61" s="376"/>
      <c r="AI61" s="376"/>
      <c r="AJ61" s="346"/>
    </row>
    <row r="62" spans="3:36" ht="14.25">
      <c r="C62" s="373"/>
      <c r="D62" s="483"/>
      <c r="E62" s="373"/>
      <c r="F62" s="373"/>
      <c r="G62" s="483"/>
      <c r="H62" s="373"/>
      <c r="I62" s="373"/>
      <c r="J62" s="373"/>
      <c r="K62" s="373"/>
      <c r="L62" s="373"/>
      <c r="M62" s="483"/>
      <c r="N62" s="483"/>
      <c r="O62" s="483"/>
      <c r="P62" s="483"/>
      <c r="Q62" s="483"/>
      <c r="R62" s="483"/>
      <c r="S62" s="373"/>
      <c r="T62" s="373"/>
      <c r="U62" s="373"/>
      <c r="V62" s="373"/>
      <c r="W62" s="482"/>
      <c r="X62" s="373"/>
      <c r="Y62" s="483"/>
      <c r="Z62" s="376"/>
      <c r="AA62" s="376"/>
      <c r="AB62" s="376"/>
      <c r="AC62" s="376"/>
      <c r="AD62" s="376"/>
      <c r="AE62" s="376"/>
      <c r="AF62" s="376"/>
      <c r="AG62" s="376"/>
      <c r="AH62" s="376"/>
      <c r="AI62" s="376"/>
      <c r="AJ62" s="346"/>
    </row>
    <row r="63" spans="2:36" ht="14.25">
      <c r="B63" s="419"/>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6"/>
      <c r="AA63" s="376"/>
      <c r="AB63" s="376"/>
      <c r="AC63" s="376"/>
      <c r="AD63" s="376"/>
      <c r="AE63" s="376"/>
      <c r="AF63" s="376"/>
      <c r="AG63" s="376"/>
      <c r="AH63" s="376"/>
      <c r="AI63" s="376"/>
      <c r="AJ63" s="346"/>
    </row>
    <row r="64" spans="2:36" ht="14.25">
      <c r="B64" s="419"/>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6"/>
      <c r="AA64" s="376"/>
      <c r="AB64" s="376"/>
      <c r="AC64" s="376"/>
      <c r="AD64" s="376"/>
      <c r="AE64" s="376"/>
      <c r="AF64" s="376"/>
      <c r="AG64" s="376"/>
      <c r="AH64" s="376"/>
      <c r="AI64" s="376"/>
      <c r="AJ64" s="346"/>
    </row>
    <row r="65" spans="2:36" ht="14.25">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6"/>
      <c r="AA65" s="376"/>
      <c r="AB65" s="376"/>
      <c r="AC65" s="376"/>
      <c r="AD65" s="376"/>
      <c r="AE65" s="376"/>
      <c r="AF65" s="376"/>
      <c r="AG65" s="376"/>
      <c r="AH65" s="376"/>
      <c r="AI65" s="376"/>
      <c r="AJ65" s="346"/>
    </row>
    <row r="66" spans="2:36" ht="14.25">
      <c r="B66" s="484"/>
      <c r="C66" s="373"/>
      <c r="D66" s="452"/>
      <c r="E66" s="373"/>
      <c r="F66" s="373"/>
      <c r="G66" s="373"/>
      <c r="H66" s="373"/>
      <c r="I66" s="373"/>
      <c r="J66" s="373"/>
      <c r="K66" s="373"/>
      <c r="L66" s="373"/>
      <c r="M66" s="373"/>
      <c r="N66" s="373"/>
      <c r="O66" s="373"/>
      <c r="P66" s="373"/>
      <c r="Q66" s="373"/>
      <c r="R66" s="373"/>
      <c r="S66" s="373"/>
      <c r="T66" s="373"/>
      <c r="U66" s="373"/>
      <c r="V66" s="373"/>
      <c r="W66" s="373"/>
      <c r="X66" s="373"/>
      <c r="Y66" s="373"/>
      <c r="Z66" s="376"/>
      <c r="AA66" s="376"/>
      <c r="AB66" s="376"/>
      <c r="AC66" s="376"/>
      <c r="AD66" s="376"/>
      <c r="AE66" s="376"/>
      <c r="AF66" s="376"/>
      <c r="AG66" s="376"/>
      <c r="AH66" s="376"/>
      <c r="AI66" s="376"/>
      <c r="AJ66" s="346"/>
    </row>
    <row r="67" spans="2:36" ht="14.25">
      <c r="B67" s="484"/>
      <c r="C67" s="373"/>
      <c r="D67" s="452"/>
      <c r="E67" s="373"/>
      <c r="F67" s="373"/>
      <c r="G67" s="373"/>
      <c r="H67" s="373"/>
      <c r="I67" s="373"/>
      <c r="J67" s="373"/>
      <c r="K67" s="373"/>
      <c r="L67" s="373"/>
      <c r="M67" s="373"/>
      <c r="N67" s="373"/>
      <c r="O67" s="373"/>
      <c r="P67" s="373"/>
      <c r="Q67" s="373"/>
      <c r="R67" s="373"/>
      <c r="S67" s="376"/>
      <c r="T67" s="376"/>
      <c r="U67" s="376"/>
      <c r="V67" s="376"/>
      <c r="W67" s="376"/>
      <c r="X67" s="376"/>
      <c r="Y67" s="376"/>
      <c r="Z67" s="376"/>
      <c r="AA67" s="376"/>
      <c r="AB67" s="376"/>
      <c r="AC67" s="376"/>
      <c r="AD67" s="376"/>
      <c r="AE67" s="376"/>
      <c r="AF67" s="376"/>
      <c r="AG67" s="376"/>
      <c r="AH67" s="376"/>
      <c r="AI67" s="376"/>
      <c r="AJ67" s="346"/>
    </row>
    <row r="68" spans="2:36" ht="15">
      <c r="B68" s="485"/>
      <c r="C68" s="486"/>
      <c r="D68" s="486"/>
      <c r="E68" s="486"/>
      <c r="F68" s="486"/>
      <c r="G68" s="486"/>
      <c r="H68" s="486"/>
      <c r="I68" s="486"/>
      <c r="J68" s="486"/>
      <c r="K68" s="486"/>
      <c r="L68" s="373"/>
      <c r="M68" s="373"/>
      <c r="N68" s="373"/>
      <c r="O68" s="373"/>
      <c r="P68" s="373"/>
      <c r="Q68" s="373"/>
      <c r="R68" s="373"/>
      <c r="S68" s="376"/>
      <c r="T68" s="376"/>
      <c r="U68" s="376"/>
      <c r="V68" s="376"/>
      <c r="W68" s="376"/>
      <c r="X68" s="376"/>
      <c r="Y68" s="376"/>
      <c r="Z68" s="376"/>
      <c r="AA68" s="376"/>
      <c r="AB68" s="376"/>
      <c r="AC68" s="376"/>
      <c r="AD68" s="376"/>
      <c r="AE68" s="376"/>
      <c r="AF68" s="376"/>
      <c r="AG68" s="376"/>
      <c r="AH68" s="376"/>
      <c r="AI68" s="376"/>
      <c r="AJ68" s="346"/>
    </row>
    <row r="69" spans="2:36" ht="14.25">
      <c r="B69" s="373"/>
      <c r="C69" s="373"/>
      <c r="D69" s="367"/>
      <c r="E69" s="373"/>
      <c r="F69" s="373"/>
      <c r="G69" s="367"/>
      <c r="H69" s="373"/>
      <c r="I69" s="367"/>
      <c r="J69" s="373"/>
      <c r="K69" s="367"/>
      <c r="L69" s="373"/>
      <c r="M69" s="373"/>
      <c r="N69" s="373"/>
      <c r="O69" s="373"/>
      <c r="P69" s="373"/>
      <c r="Q69" s="373"/>
      <c r="R69" s="373"/>
      <c r="S69" s="376"/>
      <c r="T69" s="376"/>
      <c r="U69" s="376"/>
      <c r="V69" s="376"/>
      <c r="W69" s="376"/>
      <c r="X69" s="376"/>
      <c r="Y69" s="376"/>
      <c r="Z69" s="376"/>
      <c r="AA69" s="376"/>
      <c r="AB69" s="376"/>
      <c r="AC69" s="376"/>
      <c r="AD69" s="376"/>
      <c r="AE69" s="376"/>
      <c r="AF69" s="376"/>
      <c r="AG69" s="376"/>
      <c r="AH69" s="376"/>
      <c r="AI69" s="376"/>
      <c r="AJ69" s="346"/>
    </row>
    <row r="70" spans="2:36" ht="14.25">
      <c r="B70" s="373"/>
      <c r="C70" s="373"/>
      <c r="D70" s="367"/>
      <c r="E70" s="373"/>
      <c r="F70" s="373"/>
      <c r="G70" s="367"/>
      <c r="H70" s="373"/>
      <c r="I70" s="367"/>
      <c r="J70" s="373"/>
      <c r="K70" s="367"/>
      <c r="L70" s="373"/>
      <c r="M70" s="373"/>
      <c r="N70" s="373"/>
      <c r="O70" s="373"/>
      <c r="P70" s="373"/>
      <c r="Q70" s="373"/>
      <c r="R70" s="373"/>
      <c r="S70" s="376"/>
      <c r="T70" s="376"/>
      <c r="U70" s="376"/>
      <c r="V70" s="376"/>
      <c r="W70" s="376"/>
      <c r="X70" s="376"/>
      <c r="Y70" s="376"/>
      <c r="Z70" s="376"/>
      <c r="AA70" s="376"/>
      <c r="AB70" s="376"/>
      <c r="AC70" s="376"/>
      <c r="AD70" s="376"/>
      <c r="AE70" s="376"/>
      <c r="AF70" s="376"/>
      <c r="AG70" s="376"/>
      <c r="AH70" s="376"/>
      <c r="AI70" s="376"/>
      <c r="AJ70" s="346"/>
    </row>
    <row r="71" spans="2:36" ht="14.25">
      <c r="B71" s="373"/>
      <c r="C71" s="373"/>
      <c r="D71" s="452"/>
      <c r="E71" s="373"/>
      <c r="F71" s="373"/>
      <c r="G71" s="487"/>
      <c r="H71" s="373"/>
      <c r="I71" s="487"/>
      <c r="J71" s="373"/>
      <c r="K71" s="487"/>
      <c r="L71" s="373"/>
      <c r="M71" s="373"/>
      <c r="N71" s="373"/>
      <c r="O71" s="373"/>
      <c r="P71" s="373"/>
      <c r="Q71" s="373"/>
      <c r="R71" s="373"/>
      <c r="S71" s="376"/>
      <c r="T71" s="376"/>
      <c r="U71" s="376"/>
      <c r="V71" s="376"/>
      <c r="W71" s="376"/>
      <c r="X71" s="376"/>
      <c r="Y71" s="376"/>
      <c r="Z71" s="376"/>
      <c r="AA71" s="376"/>
      <c r="AB71" s="376"/>
      <c r="AC71" s="376"/>
      <c r="AD71" s="376"/>
      <c r="AE71" s="376"/>
      <c r="AF71" s="376"/>
      <c r="AG71" s="376"/>
      <c r="AH71" s="376"/>
      <c r="AI71" s="376"/>
      <c r="AJ71" s="346"/>
    </row>
    <row r="72" spans="2:36" ht="14.25">
      <c r="B72" s="373"/>
      <c r="C72" s="373"/>
      <c r="D72" s="452"/>
      <c r="E72" s="373"/>
      <c r="F72" s="373"/>
      <c r="G72" s="487"/>
      <c r="H72" s="373"/>
      <c r="I72" s="487"/>
      <c r="J72" s="373"/>
      <c r="K72" s="373"/>
      <c r="L72" s="373"/>
      <c r="M72" s="373"/>
      <c r="N72" s="373"/>
      <c r="O72" s="373"/>
      <c r="P72" s="373"/>
      <c r="Q72" s="373"/>
      <c r="R72" s="373"/>
      <c r="S72" s="376"/>
      <c r="T72" s="376"/>
      <c r="U72" s="376"/>
      <c r="V72" s="376"/>
      <c r="W72" s="376"/>
      <c r="X72" s="376"/>
      <c r="Y72" s="376"/>
      <c r="Z72" s="376"/>
      <c r="AA72" s="376"/>
      <c r="AB72" s="376"/>
      <c r="AC72" s="376"/>
      <c r="AD72" s="376"/>
      <c r="AE72" s="376"/>
      <c r="AF72" s="376"/>
      <c r="AG72" s="376"/>
      <c r="AH72" s="376"/>
      <c r="AI72" s="376"/>
      <c r="AJ72" s="346"/>
    </row>
    <row r="73" spans="2:36" ht="14.25">
      <c r="B73" s="373"/>
      <c r="C73" s="373"/>
      <c r="D73" s="452"/>
      <c r="E73" s="373"/>
      <c r="F73" s="373"/>
      <c r="G73" s="487"/>
      <c r="H73" s="373"/>
      <c r="I73" s="487"/>
      <c r="J73" s="373"/>
      <c r="K73" s="487"/>
      <c r="L73" s="373"/>
      <c r="M73" s="373"/>
      <c r="N73" s="373"/>
      <c r="O73" s="373"/>
      <c r="P73" s="373"/>
      <c r="Q73" s="373"/>
      <c r="R73" s="373"/>
      <c r="S73" s="376"/>
      <c r="T73" s="376"/>
      <c r="U73" s="376"/>
      <c r="V73" s="376"/>
      <c r="W73" s="376"/>
      <c r="X73" s="376"/>
      <c r="Y73" s="376"/>
      <c r="Z73" s="376"/>
      <c r="AA73" s="376"/>
      <c r="AB73" s="376"/>
      <c r="AC73" s="376"/>
      <c r="AD73" s="376"/>
      <c r="AE73" s="376"/>
      <c r="AF73" s="376"/>
      <c r="AG73" s="376"/>
      <c r="AH73" s="376"/>
      <c r="AI73" s="376"/>
      <c r="AJ73" s="346"/>
    </row>
    <row r="74" spans="2:36" ht="14.25">
      <c r="B74" s="373"/>
      <c r="C74" s="373"/>
      <c r="D74" s="452"/>
      <c r="E74" s="373"/>
      <c r="F74" s="373"/>
      <c r="G74" s="487"/>
      <c r="H74" s="373"/>
      <c r="I74" s="487"/>
      <c r="J74" s="373"/>
      <c r="K74" s="373"/>
      <c r="L74" s="373"/>
      <c r="M74" s="373"/>
      <c r="N74" s="373"/>
      <c r="O74" s="373"/>
      <c r="P74" s="373"/>
      <c r="Q74" s="373"/>
      <c r="R74" s="373"/>
      <c r="S74" s="376"/>
      <c r="T74" s="376"/>
      <c r="U74" s="376"/>
      <c r="V74" s="376"/>
      <c r="W74" s="376"/>
      <c r="X74" s="376"/>
      <c r="Y74" s="376"/>
      <c r="Z74" s="376"/>
      <c r="AA74" s="376"/>
      <c r="AB74" s="376"/>
      <c r="AC74" s="376"/>
      <c r="AD74" s="376"/>
      <c r="AE74" s="376"/>
      <c r="AF74" s="376"/>
      <c r="AG74" s="376"/>
      <c r="AH74" s="376"/>
      <c r="AI74" s="376"/>
      <c r="AJ74" s="346"/>
    </row>
    <row r="75" spans="2:36" ht="14.25">
      <c r="B75" s="373"/>
      <c r="C75" s="373"/>
      <c r="D75" s="452"/>
      <c r="E75" s="373"/>
      <c r="F75" s="373"/>
      <c r="G75" s="487"/>
      <c r="H75" s="373"/>
      <c r="I75" s="487"/>
      <c r="J75" s="373"/>
      <c r="K75" s="487"/>
      <c r="L75" s="373"/>
      <c r="M75" s="373"/>
      <c r="N75" s="373"/>
      <c r="O75" s="373"/>
      <c r="P75" s="373"/>
      <c r="Q75" s="373"/>
      <c r="R75" s="373"/>
      <c r="S75" s="376"/>
      <c r="T75" s="376"/>
      <c r="U75" s="376"/>
      <c r="V75" s="376"/>
      <c r="W75" s="376"/>
      <c r="X75" s="376"/>
      <c r="Y75" s="376"/>
      <c r="Z75" s="376"/>
      <c r="AA75" s="376"/>
      <c r="AB75" s="376"/>
      <c r="AC75" s="376"/>
      <c r="AD75" s="376"/>
      <c r="AE75" s="376"/>
      <c r="AF75" s="376"/>
      <c r="AG75" s="376"/>
      <c r="AH75" s="376"/>
      <c r="AI75" s="376"/>
      <c r="AJ75" s="346"/>
    </row>
    <row r="76" spans="2:36" ht="14.25">
      <c r="B76" s="373"/>
      <c r="C76" s="373"/>
      <c r="D76" s="452"/>
      <c r="E76" s="373"/>
      <c r="F76" s="373"/>
      <c r="G76" s="487"/>
      <c r="H76" s="373"/>
      <c r="I76" s="487"/>
      <c r="J76" s="373"/>
      <c r="K76" s="373"/>
      <c r="L76" s="373"/>
      <c r="M76" s="373"/>
      <c r="N76" s="373"/>
      <c r="O76" s="373"/>
      <c r="P76" s="373"/>
      <c r="Q76" s="373"/>
      <c r="R76" s="373"/>
      <c r="S76" s="376"/>
      <c r="T76" s="376"/>
      <c r="U76" s="376"/>
      <c r="V76" s="376"/>
      <c r="W76" s="376"/>
      <c r="X76" s="376"/>
      <c r="Y76" s="376"/>
      <c r="Z76" s="376"/>
      <c r="AA76" s="376"/>
      <c r="AB76" s="376"/>
      <c r="AC76" s="376"/>
      <c r="AD76" s="376"/>
      <c r="AE76" s="376"/>
      <c r="AF76" s="376"/>
      <c r="AG76" s="376"/>
      <c r="AH76" s="376"/>
      <c r="AI76" s="376"/>
      <c r="AJ76" s="346"/>
    </row>
    <row r="77" spans="2:36" ht="15">
      <c r="B77" s="373"/>
      <c r="C77" s="373"/>
      <c r="D77" s="452"/>
      <c r="E77" s="373"/>
      <c r="F77" s="373"/>
      <c r="G77" s="487"/>
      <c r="H77" s="373"/>
      <c r="I77" s="373"/>
      <c r="J77" s="373"/>
      <c r="K77" s="487"/>
      <c r="L77" s="486"/>
      <c r="M77" s="486"/>
      <c r="N77" s="486"/>
      <c r="O77" s="486"/>
      <c r="P77" s="486"/>
      <c r="Q77" s="486"/>
      <c r="R77" s="486"/>
      <c r="S77" s="486"/>
      <c r="T77" s="486"/>
      <c r="U77" s="486"/>
      <c r="V77" s="486"/>
      <c r="W77" s="486"/>
      <c r="X77" s="486"/>
      <c r="Y77" s="486"/>
      <c r="Z77" s="486"/>
      <c r="AA77" s="376"/>
      <c r="AB77" s="376"/>
      <c r="AC77" s="376"/>
      <c r="AD77" s="376"/>
      <c r="AE77" s="376"/>
      <c r="AF77" s="376"/>
      <c r="AG77" s="376"/>
      <c r="AH77" s="376"/>
      <c r="AI77" s="376"/>
      <c r="AJ77" s="346"/>
    </row>
    <row r="78" spans="2:36" ht="12.75">
      <c r="B78" s="356"/>
      <c r="C78" s="356"/>
      <c r="D78" s="488"/>
      <c r="E78" s="356"/>
      <c r="F78" s="356"/>
      <c r="G78" s="489"/>
      <c r="H78" s="356"/>
      <c r="I78" s="356"/>
      <c r="J78" s="356"/>
      <c r="K78" s="489"/>
      <c r="L78" s="345"/>
      <c r="M78" s="345"/>
      <c r="N78" s="345"/>
      <c r="O78" s="345"/>
      <c r="P78" s="345"/>
      <c r="Q78" s="345"/>
      <c r="R78" s="345"/>
      <c r="S78" s="345"/>
      <c r="T78" s="345"/>
      <c r="U78" s="345"/>
      <c r="V78" s="345"/>
      <c r="W78" s="345"/>
      <c r="X78" s="345"/>
      <c r="Y78" s="345"/>
      <c r="Z78" s="345"/>
      <c r="AA78" s="346"/>
      <c r="AB78" s="346"/>
      <c r="AC78" s="346"/>
      <c r="AD78" s="346"/>
      <c r="AE78" s="346"/>
      <c r="AF78" s="346"/>
      <c r="AG78" s="346"/>
      <c r="AH78" s="346"/>
      <c r="AI78" s="346"/>
      <c r="AJ78" s="346"/>
    </row>
    <row r="79" spans="2:36" ht="12.75">
      <c r="B79" s="356"/>
      <c r="C79" s="356"/>
      <c r="D79" s="488"/>
      <c r="E79" s="356"/>
      <c r="F79" s="356"/>
      <c r="G79" s="489"/>
      <c r="H79" s="356"/>
      <c r="I79" s="356"/>
      <c r="J79" s="356"/>
      <c r="K79" s="489"/>
      <c r="L79" s="345"/>
      <c r="M79" s="345"/>
      <c r="N79" s="345"/>
      <c r="O79" s="345"/>
      <c r="P79" s="345"/>
      <c r="Q79" s="345"/>
      <c r="R79" s="345"/>
      <c r="S79" s="345"/>
      <c r="T79" s="345"/>
      <c r="U79" s="345"/>
      <c r="V79" s="345"/>
      <c r="W79" s="345"/>
      <c r="X79" s="345"/>
      <c r="Y79" s="345"/>
      <c r="Z79" s="345"/>
      <c r="AA79" s="346"/>
      <c r="AB79" s="346"/>
      <c r="AC79" s="346"/>
      <c r="AD79" s="346"/>
      <c r="AE79" s="346"/>
      <c r="AF79" s="346"/>
      <c r="AG79" s="346"/>
      <c r="AH79" s="346"/>
      <c r="AI79" s="346"/>
      <c r="AJ79" s="346"/>
    </row>
    <row r="80" spans="2:36" ht="12.75">
      <c r="B80" s="356"/>
      <c r="C80" s="356"/>
      <c r="D80" s="488"/>
      <c r="E80" s="356"/>
      <c r="F80" s="356"/>
      <c r="G80" s="489"/>
      <c r="H80" s="356"/>
      <c r="I80" s="356"/>
      <c r="J80" s="356"/>
      <c r="K80" s="489"/>
      <c r="L80" s="345"/>
      <c r="M80" s="345"/>
      <c r="N80" s="345"/>
      <c r="O80" s="345"/>
      <c r="P80" s="345"/>
      <c r="Q80" s="345"/>
      <c r="R80" s="345"/>
      <c r="S80" s="345"/>
      <c r="T80" s="345"/>
      <c r="U80" s="345"/>
      <c r="V80" s="345"/>
      <c r="W80" s="345"/>
      <c r="X80" s="345"/>
      <c r="Y80" s="345"/>
      <c r="Z80" s="345"/>
      <c r="AA80" s="346"/>
      <c r="AB80" s="346"/>
      <c r="AC80" s="346"/>
      <c r="AD80" s="346"/>
      <c r="AE80" s="346"/>
      <c r="AF80" s="346"/>
      <c r="AG80" s="346"/>
      <c r="AH80" s="346"/>
      <c r="AI80" s="346"/>
      <c r="AJ80" s="346"/>
    </row>
    <row r="81" spans="2:35" ht="12.7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56"/>
      <c r="AB81" s="356"/>
      <c r="AC81" s="356"/>
      <c r="AD81" s="356"/>
      <c r="AE81" s="356"/>
      <c r="AF81" s="356"/>
      <c r="AG81" s="356"/>
      <c r="AH81" s="356"/>
      <c r="AI81" s="356"/>
    </row>
    <row r="82" spans="2:35" ht="12.75">
      <c r="B82" s="490"/>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row>
    <row r="83" spans="2:35" ht="12.75">
      <c r="B83" s="491"/>
      <c r="C83" s="356"/>
      <c r="D83" s="356"/>
      <c r="E83" s="356"/>
      <c r="F83" s="356"/>
      <c r="G83" s="492"/>
      <c r="H83" s="492"/>
      <c r="I83" s="492"/>
      <c r="J83" s="492"/>
      <c r="K83" s="492"/>
      <c r="L83" s="492"/>
      <c r="M83" s="492"/>
      <c r="N83" s="492"/>
      <c r="O83" s="492"/>
      <c r="P83" s="492"/>
      <c r="Q83" s="492"/>
      <c r="R83" s="492"/>
      <c r="S83" s="492"/>
      <c r="T83" s="492"/>
      <c r="U83" s="492"/>
      <c r="V83" s="492"/>
      <c r="W83" s="356"/>
      <c r="X83" s="356"/>
      <c r="Y83" s="356"/>
      <c r="Z83" s="356"/>
      <c r="AA83" s="356"/>
      <c r="AB83" s="356"/>
      <c r="AC83" s="356"/>
      <c r="AD83" s="356"/>
      <c r="AE83" s="356"/>
      <c r="AF83" s="356"/>
      <c r="AG83" s="356"/>
      <c r="AH83" s="356"/>
      <c r="AI83" s="356"/>
    </row>
    <row r="84" spans="2:35" ht="12.75">
      <c r="B84" s="356"/>
      <c r="C84" s="356"/>
      <c r="D84" s="492"/>
      <c r="E84" s="492"/>
      <c r="F84" s="492"/>
      <c r="G84" s="492"/>
      <c r="H84" s="492"/>
      <c r="I84" s="492"/>
      <c r="J84" s="492"/>
      <c r="K84" s="492"/>
      <c r="L84" s="492"/>
      <c r="M84" s="492"/>
      <c r="N84" s="492"/>
      <c r="O84" s="492"/>
      <c r="P84" s="492"/>
      <c r="Q84" s="492"/>
      <c r="R84" s="492"/>
      <c r="S84" s="492"/>
      <c r="T84" s="492"/>
      <c r="U84" s="492"/>
      <c r="V84" s="492"/>
      <c r="W84" s="492"/>
      <c r="X84" s="356"/>
      <c r="Y84" s="492"/>
      <c r="Z84" s="492"/>
      <c r="AA84" s="356"/>
      <c r="AB84" s="356"/>
      <c r="AC84" s="356"/>
      <c r="AD84" s="356"/>
      <c r="AE84" s="356"/>
      <c r="AF84" s="356"/>
      <c r="AG84" s="356"/>
      <c r="AH84" s="356"/>
      <c r="AI84" s="356"/>
    </row>
    <row r="85" spans="2:35" ht="12.75">
      <c r="B85" s="493"/>
      <c r="C85" s="356"/>
      <c r="D85" s="492"/>
      <c r="E85" s="492"/>
      <c r="F85" s="492"/>
      <c r="G85" s="492"/>
      <c r="H85" s="492"/>
      <c r="I85" s="492"/>
      <c r="J85" s="492"/>
      <c r="K85" s="492"/>
      <c r="L85" s="492"/>
      <c r="M85" s="492"/>
      <c r="N85" s="492"/>
      <c r="O85" s="492"/>
      <c r="P85" s="492"/>
      <c r="Q85" s="492"/>
      <c r="R85" s="492"/>
      <c r="S85" s="492"/>
      <c r="T85" s="492"/>
      <c r="U85" s="492"/>
      <c r="V85" s="492"/>
      <c r="W85" s="492"/>
      <c r="X85" s="356"/>
      <c r="Y85" s="492"/>
      <c r="Z85" s="492"/>
      <c r="AA85" s="356"/>
      <c r="AB85" s="356"/>
      <c r="AC85" s="356"/>
      <c r="AD85" s="356"/>
      <c r="AE85" s="356"/>
      <c r="AF85" s="356"/>
      <c r="AG85" s="356"/>
      <c r="AH85" s="356"/>
      <c r="AI85" s="356"/>
    </row>
    <row r="86" spans="2:35" ht="12.75">
      <c r="B86" s="493"/>
      <c r="C86" s="356"/>
      <c r="D86" s="492"/>
      <c r="E86" s="492"/>
      <c r="F86" s="492"/>
      <c r="G86" s="492"/>
      <c r="H86" s="492"/>
      <c r="I86" s="492"/>
      <c r="J86" s="492"/>
      <c r="K86" s="492"/>
      <c r="L86" s="492"/>
      <c r="M86" s="492"/>
      <c r="N86" s="492"/>
      <c r="O86" s="492"/>
      <c r="P86" s="492"/>
      <c r="Q86" s="492"/>
      <c r="R86" s="492"/>
      <c r="S86" s="492"/>
      <c r="T86" s="492"/>
      <c r="U86" s="492"/>
      <c r="V86" s="492"/>
      <c r="W86" s="492"/>
      <c r="X86" s="356"/>
      <c r="Y86" s="492"/>
      <c r="Z86" s="492"/>
      <c r="AA86" s="356"/>
      <c r="AB86" s="356"/>
      <c r="AC86" s="356"/>
      <c r="AD86" s="356"/>
      <c r="AE86" s="356"/>
      <c r="AF86" s="356"/>
      <c r="AG86" s="356"/>
      <c r="AH86" s="356"/>
      <c r="AI86" s="356"/>
    </row>
    <row r="87" spans="2:35" ht="12.75">
      <c r="B87" s="424"/>
      <c r="C87" s="356"/>
      <c r="D87" s="370"/>
      <c r="E87" s="370"/>
      <c r="F87" s="370"/>
      <c r="G87" s="370"/>
      <c r="H87" s="494"/>
      <c r="I87" s="370"/>
      <c r="J87" s="494"/>
      <c r="K87" s="494"/>
      <c r="L87" s="494"/>
      <c r="M87" s="494"/>
      <c r="N87" s="494"/>
      <c r="O87" s="494"/>
      <c r="P87" s="494"/>
      <c r="Q87" s="494"/>
      <c r="R87" s="494"/>
      <c r="S87" s="356"/>
      <c r="T87" s="356"/>
      <c r="U87" s="356"/>
      <c r="V87" s="356"/>
      <c r="W87" s="424"/>
      <c r="X87" s="356"/>
      <c r="Y87" s="494"/>
      <c r="Z87" s="492"/>
      <c r="AA87" s="356"/>
      <c r="AB87" s="356"/>
      <c r="AC87" s="356"/>
      <c r="AD87" s="356"/>
      <c r="AE87" s="356"/>
      <c r="AF87" s="356"/>
      <c r="AG87" s="356"/>
      <c r="AH87" s="356"/>
      <c r="AI87" s="356"/>
    </row>
    <row r="88" spans="2:35" ht="12.75">
      <c r="B88" s="424"/>
      <c r="C88" s="356"/>
      <c r="D88" s="370"/>
      <c r="E88" s="370"/>
      <c r="F88" s="370"/>
      <c r="G88" s="370"/>
      <c r="H88" s="494"/>
      <c r="I88" s="370"/>
      <c r="J88" s="494"/>
      <c r="K88" s="494"/>
      <c r="L88" s="494"/>
      <c r="M88" s="494"/>
      <c r="N88" s="494"/>
      <c r="O88" s="494"/>
      <c r="P88" s="494"/>
      <c r="Q88" s="494"/>
      <c r="R88" s="494"/>
      <c r="S88" s="356"/>
      <c r="T88" s="356"/>
      <c r="U88" s="356"/>
      <c r="V88" s="356"/>
      <c r="W88" s="424"/>
      <c r="X88" s="356"/>
      <c r="Y88" s="494"/>
      <c r="Z88" s="492"/>
      <c r="AA88" s="356"/>
      <c r="AB88" s="356"/>
      <c r="AC88" s="356"/>
      <c r="AD88" s="356"/>
      <c r="AE88" s="356"/>
      <c r="AF88" s="356"/>
      <c r="AG88" s="356"/>
      <c r="AH88" s="356"/>
      <c r="AI88" s="356"/>
    </row>
    <row r="89" spans="2:35" ht="12.75">
      <c r="B89" s="424"/>
      <c r="C89" s="356"/>
      <c r="D89" s="370"/>
      <c r="E89" s="370"/>
      <c r="F89" s="370"/>
      <c r="G89" s="370"/>
      <c r="H89" s="494"/>
      <c r="I89" s="370"/>
      <c r="J89" s="494"/>
      <c r="K89" s="494"/>
      <c r="L89" s="494"/>
      <c r="M89" s="494"/>
      <c r="N89" s="494"/>
      <c r="O89" s="494"/>
      <c r="P89" s="494"/>
      <c r="Q89" s="494"/>
      <c r="R89" s="494"/>
      <c r="S89" s="356"/>
      <c r="T89" s="356"/>
      <c r="U89" s="356"/>
      <c r="V89" s="356"/>
      <c r="W89" s="424"/>
      <c r="X89" s="356"/>
      <c r="Y89" s="494"/>
      <c r="Z89" s="492"/>
      <c r="AA89" s="356"/>
      <c r="AB89" s="356"/>
      <c r="AC89" s="356"/>
      <c r="AD89" s="356"/>
      <c r="AE89" s="356"/>
      <c r="AF89" s="356"/>
      <c r="AG89" s="356"/>
      <c r="AH89" s="356"/>
      <c r="AI89" s="356"/>
    </row>
    <row r="90" spans="2:35" ht="12.75">
      <c r="B90" s="495"/>
      <c r="C90" s="356"/>
      <c r="D90" s="370"/>
      <c r="E90" s="370"/>
      <c r="F90" s="370"/>
      <c r="G90" s="370"/>
      <c r="H90" s="494"/>
      <c r="I90" s="370"/>
      <c r="J90" s="494"/>
      <c r="K90" s="494"/>
      <c r="L90" s="494"/>
      <c r="M90" s="494"/>
      <c r="N90" s="494"/>
      <c r="O90" s="494"/>
      <c r="P90" s="494"/>
      <c r="Q90" s="494"/>
      <c r="R90" s="494"/>
      <c r="S90" s="356"/>
      <c r="T90" s="356"/>
      <c r="U90" s="356"/>
      <c r="V90" s="356"/>
      <c r="W90" s="424"/>
      <c r="X90" s="356"/>
      <c r="Y90" s="494"/>
      <c r="Z90" s="492"/>
      <c r="AA90" s="356"/>
      <c r="AB90" s="356"/>
      <c r="AC90" s="356"/>
      <c r="AD90" s="356"/>
      <c r="AE90" s="356"/>
      <c r="AF90" s="356"/>
      <c r="AG90" s="356"/>
      <c r="AH90" s="356"/>
      <c r="AI90" s="356"/>
    </row>
    <row r="91" spans="2:35" ht="12.75">
      <c r="B91" s="495"/>
      <c r="C91" s="356"/>
      <c r="D91" s="370"/>
      <c r="E91" s="370"/>
      <c r="F91" s="370"/>
      <c r="G91" s="370"/>
      <c r="H91" s="494"/>
      <c r="I91" s="370"/>
      <c r="J91" s="494"/>
      <c r="K91" s="494"/>
      <c r="L91" s="494"/>
      <c r="M91" s="494"/>
      <c r="N91" s="494"/>
      <c r="O91" s="494"/>
      <c r="P91" s="494"/>
      <c r="Q91" s="494"/>
      <c r="R91" s="494"/>
      <c r="S91" s="356"/>
      <c r="T91" s="356"/>
      <c r="U91" s="356"/>
      <c r="V91" s="356"/>
      <c r="W91" s="424"/>
      <c r="X91" s="356"/>
      <c r="Y91" s="494"/>
      <c r="Z91" s="492"/>
      <c r="AA91" s="356"/>
      <c r="AB91" s="356"/>
      <c r="AC91" s="356"/>
      <c r="AD91" s="356"/>
      <c r="AE91" s="356"/>
      <c r="AF91" s="356"/>
      <c r="AG91" s="356"/>
      <c r="AH91" s="356"/>
      <c r="AI91" s="356"/>
    </row>
    <row r="92" spans="2:35" ht="12.75">
      <c r="B92" s="496"/>
      <c r="C92" s="356"/>
      <c r="D92" s="370"/>
      <c r="E92" s="370"/>
      <c r="F92" s="370"/>
      <c r="G92" s="370"/>
      <c r="H92" s="494"/>
      <c r="I92" s="370"/>
      <c r="J92" s="494"/>
      <c r="K92" s="494"/>
      <c r="L92" s="494"/>
      <c r="M92" s="494"/>
      <c r="N92" s="494"/>
      <c r="O92" s="494"/>
      <c r="P92" s="494"/>
      <c r="Q92" s="494"/>
      <c r="R92" s="494"/>
      <c r="S92" s="356"/>
      <c r="T92" s="356"/>
      <c r="U92" s="356"/>
      <c r="V92" s="356"/>
      <c r="W92" s="424"/>
      <c r="X92" s="356"/>
      <c r="Y92" s="494"/>
      <c r="Z92" s="492"/>
      <c r="AA92" s="356"/>
      <c r="AB92" s="356"/>
      <c r="AC92" s="356"/>
      <c r="AD92" s="356"/>
      <c r="AE92" s="356"/>
      <c r="AF92" s="356"/>
      <c r="AG92" s="356"/>
      <c r="AH92" s="356"/>
      <c r="AI92" s="356"/>
    </row>
    <row r="93" spans="2:35" ht="12.75">
      <c r="B93" s="424"/>
      <c r="C93" s="356"/>
      <c r="D93" s="370"/>
      <c r="E93" s="370"/>
      <c r="F93" s="370"/>
      <c r="G93" s="370"/>
      <c r="H93" s="494"/>
      <c r="I93" s="370"/>
      <c r="J93" s="494"/>
      <c r="K93" s="494"/>
      <c r="L93" s="494"/>
      <c r="M93" s="494"/>
      <c r="N93" s="494"/>
      <c r="O93" s="494"/>
      <c r="P93" s="494"/>
      <c r="Q93" s="494"/>
      <c r="R93" s="494"/>
      <c r="S93" s="356"/>
      <c r="T93" s="356"/>
      <c r="U93" s="356"/>
      <c r="V93" s="356"/>
      <c r="W93" s="424"/>
      <c r="X93" s="356"/>
      <c r="Y93" s="494"/>
      <c r="Z93" s="492"/>
      <c r="AA93" s="356"/>
      <c r="AB93" s="356"/>
      <c r="AC93" s="356"/>
      <c r="AD93" s="356"/>
      <c r="AE93" s="356"/>
      <c r="AF93" s="356"/>
      <c r="AG93" s="356"/>
      <c r="AH93" s="356"/>
      <c r="AI93" s="356"/>
    </row>
    <row r="94" spans="2:35" ht="12.75">
      <c r="B94" s="424"/>
      <c r="C94" s="356"/>
      <c r="D94" s="370"/>
      <c r="E94" s="370"/>
      <c r="F94" s="370"/>
      <c r="G94" s="370"/>
      <c r="H94" s="494"/>
      <c r="I94" s="370"/>
      <c r="J94" s="494"/>
      <c r="K94" s="494"/>
      <c r="L94" s="494"/>
      <c r="M94" s="494"/>
      <c r="N94" s="494"/>
      <c r="O94" s="494"/>
      <c r="P94" s="494"/>
      <c r="Q94" s="494"/>
      <c r="R94" s="494"/>
      <c r="S94" s="356"/>
      <c r="T94" s="356"/>
      <c r="U94" s="356"/>
      <c r="V94" s="356"/>
      <c r="W94" s="424"/>
      <c r="X94" s="356"/>
      <c r="Y94" s="494"/>
      <c r="Z94" s="492"/>
      <c r="AA94" s="356"/>
      <c r="AB94" s="356"/>
      <c r="AC94" s="356"/>
      <c r="AD94" s="356"/>
      <c r="AE94" s="356"/>
      <c r="AF94" s="356"/>
      <c r="AG94" s="356"/>
      <c r="AH94" s="356"/>
      <c r="AI94" s="356"/>
    </row>
    <row r="95" spans="2:35" ht="12.75">
      <c r="B95" s="424"/>
      <c r="C95" s="356"/>
      <c r="D95" s="370"/>
      <c r="E95" s="370"/>
      <c r="F95" s="370"/>
      <c r="G95" s="370"/>
      <c r="H95" s="494"/>
      <c r="I95" s="370"/>
      <c r="J95" s="494"/>
      <c r="K95" s="494"/>
      <c r="L95" s="494"/>
      <c r="M95" s="494"/>
      <c r="N95" s="494"/>
      <c r="O95" s="494"/>
      <c r="P95" s="494"/>
      <c r="Q95" s="494"/>
      <c r="R95" s="494"/>
      <c r="S95" s="356"/>
      <c r="T95" s="356"/>
      <c r="U95" s="356"/>
      <c r="V95" s="356"/>
      <c r="W95" s="424"/>
      <c r="X95" s="356"/>
      <c r="Y95" s="494"/>
      <c r="Z95" s="492"/>
      <c r="AA95" s="356"/>
      <c r="AB95" s="356"/>
      <c r="AC95" s="356"/>
      <c r="AD95" s="356"/>
      <c r="AE95" s="356"/>
      <c r="AF95" s="356"/>
      <c r="AG95" s="356"/>
      <c r="AH95" s="356"/>
      <c r="AI95" s="356"/>
    </row>
    <row r="96" spans="2:35" ht="12.75">
      <c r="B96" s="424"/>
      <c r="C96" s="356"/>
      <c r="D96" s="370"/>
      <c r="E96" s="370"/>
      <c r="F96" s="370"/>
      <c r="G96" s="370"/>
      <c r="H96" s="494"/>
      <c r="I96" s="370"/>
      <c r="J96" s="494"/>
      <c r="K96" s="494"/>
      <c r="L96" s="494"/>
      <c r="M96" s="494"/>
      <c r="N96" s="494"/>
      <c r="O96" s="494"/>
      <c r="P96" s="494"/>
      <c r="Q96" s="494"/>
      <c r="R96" s="494"/>
      <c r="S96" s="356"/>
      <c r="T96" s="356"/>
      <c r="U96" s="356"/>
      <c r="V96" s="356"/>
      <c r="W96" s="424"/>
      <c r="X96" s="356"/>
      <c r="Y96" s="494"/>
      <c r="Z96" s="492"/>
      <c r="AA96" s="356"/>
      <c r="AB96" s="356"/>
      <c r="AC96" s="356"/>
      <c r="AD96" s="356"/>
      <c r="AE96" s="356"/>
      <c r="AF96" s="356"/>
      <c r="AG96" s="356"/>
      <c r="AH96" s="356"/>
      <c r="AI96" s="356"/>
    </row>
    <row r="97" spans="2:35" ht="12.75">
      <c r="B97" s="424"/>
      <c r="C97" s="356"/>
      <c r="D97" s="370"/>
      <c r="E97" s="370"/>
      <c r="F97" s="370"/>
      <c r="G97" s="370"/>
      <c r="H97" s="494"/>
      <c r="I97" s="370"/>
      <c r="J97" s="494"/>
      <c r="K97" s="494"/>
      <c r="L97" s="494"/>
      <c r="M97" s="494"/>
      <c r="N97" s="494"/>
      <c r="O97" s="494"/>
      <c r="P97" s="494"/>
      <c r="Q97" s="494"/>
      <c r="R97" s="494"/>
      <c r="S97" s="356"/>
      <c r="T97" s="356"/>
      <c r="U97" s="356"/>
      <c r="V97" s="356"/>
      <c r="W97" s="424"/>
      <c r="X97" s="356"/>
      <c r="Y97" s="494"/>
      <c r="Z97" s="492"/>
      <c r="AA97" s="356"/>
      <c r="AB97" s="356"/>
      <c r="AC97" s="356"/>
      <c r="AD97" s="356"/>
      <c r="AE97" s="356"/>
      <c r="AF97" s="356"/>
      <c r="AG97" s="356"/>
      <c r="AH97" s="356"/>
      <c r="AI97" s="356"/>
    </row>
    <row r="98" spans="2:35" ht="12.75">
      <c r="B98" s="424"/>
      <c r="C98" s="356"/>
      <c r="D98" s="370"/>
      <c r="E98" s="370"/>
      <c r="F98" s="370"/>
      <c r="G98" s="370"/>
      <c r="H98" s="494"/>
      <c r="I98" s="370"/>
      <c r="J98" s="494"/>
      <c r="K98" s="494"/>
      <c r="L98" s="494"/>
      <c r="M98" s="494"/>
      <c r="N98" s="494"/>
      <c r="O98" s="494"/>
      <c r="P98" s="494"/>
      <c r="Q98" s="494"/>
      <c r="R98" s="494"/>
      <c r="S98" s="356"/>
      <c r="T98" s="356"/>
      <c r="U98" s="356"/>
      <c r="V98" s="356"/>
      <c r="W98" s="424"/>
      <c r="X98" s="356"/>
      <c r="Y98" s="494"/>
      <c r="Z98" s="492"/>
      <c r="AA98" s="356"/>
      <c r="AB98" s="356"/>
      <c r="AC98" s="356"/>
      <c r="AD98" s="356"/>
      <c r="AE98" s="356"/>
      <c r="AF98" s="356"/>
      <c r="AG98" s="356"/>
      <c r="AH98" s="356"/>
      <c r="AI98" s="356"/>
    </row>
    <row r="99" spans="2:35" ht="12.75">
      <c r="B99" s="424"/>
      <c r="C99" s="356"/>
      <c r="D99" s="370"/>
      <c r="E99" s="370"/>
      <c r="F99" s="370"/>
      <c r="G99" s="370"/>
      <c r="H99" s="494"/>
      <c r="I99" s="370"/>
      <c r="J99" s="494"/>
      <c r="K99" s="494"/>
      <c r="L99" s="494"/>
      <c r="M99" s="494"/>
      <c r="N99" s="494"/>
      <c r="O99" s="494"/>
      <c r="P99" s="494"/>
      <c r="Q99" s="494"/>
      <c r="R99" s="494"/>
      <c r="S99" s="356"/>
      <c r="T99" s="356"/>
      <c r="U99" s="356"/>
      <c r="V99" s="356"/>
      <c r="W99" s="424"/>
      <c r="X99" s="356"/>
      <c r="Y99" s="494"/>
      <c r="Z99" s="492"/>
      <c r="AA99" s="356"/>
      <c r="AB99" s="356"/>
      <c r="AC99" s="356"/>
      <c r="AD99" s="356"/>
      <c r="AE99" s="356"/>
      <c r="AF99" s="356"/>
      <c r="AG99" s="356"/>
      <c r="AH99" s="356"/>
      <c r="AI99" s="356"/>
    </row>
    <row r="100" spans="2:35" ht="12.75">
      <c r="B100" s="424"/>
      <c r="C100" s="356"/>
      <c r="D100" s="370"/>
      <c r="E100" s="370"/>
      <c r="F100" s="370"/>
      <c r="G100" s="370"/>
      <c r="H100" s="494"/>
      <c r="I100" s="370"/>
      <c r="J100" s="494"/>
      <c r="K100" s="494"/>
      <c r="L100" s="494"/>
      <c r="M100" s="494"/>
      <c r="N100" s="494"/>
      <c r="O100" s="494"/>
      <c r="P100" s="494"/>
      <c r="Q100" s="494"/>
      <c r="R100" s="494"/>
      <c r="S100" s="356"/>
      <c r="T100" s="356"/>
      <c r="U100" s="356"/>
      <c r="V100" s="356"/>
      <c r="W100" s="424"/>
      <c r="X100" s="356"/>
      <c r="Y100" s="494"/>
      <c r="Z100" s="492"/>
      <c r="AA100" s="356"/>
      <c r="AB100" s="356"/>
      <c r="AC100" s="356"/>
      <c r="AD100" s="356"/>
      <c r="AE100" s="356"/>
      <c r="AF100" s="356"/>
      <c r="AG100" s="356"/>
      <c r="AH100" s="356"/>
      <c r="AI100" s="356"/>
    </row>
    <row r="101" spans="2:35" ht="12.75">
      <c r="B101" s="424"/>
      <c r="C101" s="356"/>
      <c r="D101" s="370"/>
      <c r="E101" s="370"/>
      <c r="F101" s="370"/>
      <c r="G101" s="370"/>
      <c r="H101" s="494"/>
      <c r="I101" s="370"/>
      <c r="J101" s="494"/>
      <c r="K101" s="494"/>
      <c r="L101" s="494"/>
      <c r="M101" s="494"/>
      <c r="N101" s="494"/>
      <c r="O101" s="494"/>
      <c r="P101" s="494"/>
      <c r="Q101" s="494"/>
      <c r="R101" s="494"/>
      <c r="S101" s="356"/>
      <c r="T101" s="356"/>
      <c r="U101" s="356"/>
      <c r="V101" s="356"/>
      <c r="W101" s="424"/>
      <c r="X101" s="356"/>
      <c r="Y101" s="494"/>
      <c r="Z101" s="492"/>
      <c r="AA101" s="356"/>
      <c r="AB101" s="356"/>
      <c r="AC101" s="356"/>
      <c r="AD101" s="356"/>
      <c r="AE101" s="356"/>
      <c r="AF101" s="356"/>
      <c r="AG101" s="356"/>
      <c r="AH101" s="356"/>
      <c r="AI101" s="356"/>
    </row>
    <row r="102" spans="2:35" ht="12.75">
      <c r="B102" s="424"/>
      <c r="C102" s="356"/>
      <c r="D102" s="370"/>
      <c r="E102" s="370"/>
      <c r="F102" s="370"/>
      <c r="G102" s="370"/>
      <c r="H102" s="494"/>
      <c r="I102" s="370"/>
      <c r="J102" s="494"/>
      <c r="K102" s="494"/>
      <c r="L102" s="494"/>
      <c r="M102" s="494"/>
      <c r="N102" s="494"/>
      <c r="O102" s="494"/>
      <c r="P102" s="494"/>
      <c r="Q102" s="494"/>
      <c r="R102" s="494"/>
      <c r="S102" s="356"/>
      <c r="T102" s="356"/>
      <c r="U102" s="356"/>
      <c r="V102" s="356"/>
      <c r="W102" s="424"/>
      <c r="X102" s="356"/>
      <c r="Y102" s="494"/>
      <c r="Z102" s="492"/>
      <c r="AA102" s="356"/>
      <c r="AB102" s="356"/>
      <c r="AC102" s="356"/>
      <c r="AD102" s="356"/>
      <c r="AE102" s="356"/>
      <c r="AF102" s="356"/>
      <c r="AG102" s="356"/>
      <c r="AH102" s="356"/>
      <c r="AI102" s="356"/>
    </row>
    <row r="103" spans="2:35" ht="12.75">
      <c r="B103" s="424"/>
      <c r="C103" s="356"/>
      <c r="D103" s="370"/>
      <c r="E103" s="370"/>
      <c r="F103" s="370"/>
      <c r="G103" s="370"/>
      <c r="H103" s="494"/>
      <c r="I103" s="370"/>
      <c r="J103" s="494"/>
      <c r="K103" s="494"/>
      <c r="L103" s="494"/>
      <c r="M103" s="494"/>
      <c r="N103" s="494"/>
      <c r="O103" s="494"/>
      <c r="P103" s="494"/>
      <c r="Q103" s="494"/>
      <c r="R103" s="494"/>
      <c r="S103" s="356"/>
      <c r="T103" s="356"/>
      <c r="U103" s="356"/>
      <c r="V103" s="356"/>
      <c r="W103" s="424"/>
      <c r="X103" s="356"/>
      <c r="Y103" s="494"/>
      <c r="Z103" s="492"/>
      <c r="AA103" s="356"/>
      <c r="AB103" s="356"/>
      <c r="AC103" s="356"/>
      <c r="AD103" s="356"/>
      <c r="AE103" s="356"/>
      <c r="AF103" s="356"/>
      <c r="AG103" s="356"/>
      <c r="AH103" s="356"/>
      <c r="AI103" s="356"/>
    </row>
    <row r="104" spans="2:35" ht="12.75">
      <c r="B104" s="356"/>
      <c r="C104" s="356"/>
      <c r="D104" s="370"/>
      <c r="E104" s="370"/>
      <c r="F104" s="370"/>
      <c r="G104" s="370"/>
      <c r="H104" s="356"/>
      <c r="I104" s="370"/>
      <c r="J104" s="356"/>
      <c r="K104" s="356"/>
      <c r="L104" s="356"/>
      <c r="M104" s="494"/>
      <c r="N104" s="494"/>
      <c r="O104" s="494"/>
      <c r="P104" s="494"/>
      <c r="Q104" s="494"/>
      <c r="R104" s="494"/>
      <c r="S104" s="356"/>
      <c r="T104" s="356"/>
      <c r="U104" s="356"/>
      <c r="V104" s="356"/>
      <c r="W104" s="356"/>
      <c r="X104" s="356"/>
      <c r="Y104" s="356"/>
      <c r="Z104" s="356"/>
      <c r="AA104" s="356"/>
      <c r="AB104" s="356"/>
      <c r="AC104" s="356"/>
      <c r="AD104" s="356"/>
      <c r="AE104" s="356"/>
      <c r="AF104" s="356"/>
      <c r="AG104" s="356"/>
      <c r="AH104" s="356"/>
      <c r="AI104" s="356"/>
    </row>
    <row r="105" spans="2:35" ht="12.75">
      <c r="B105" s="494"/>
      <c r="C105" s="494"/>
      <c r="D105" s="370"/>
      <c r="E105" s="370"/>
      <c r="F105" s="370"/>
      <c r="G105" s="370"/>
      <c r="H105" s="494"/>
      <c r="I105" s="370"/>
      <c r="J105" s="494"/>
      <c r="K105" s="370"/>
      <c r="L105" s="494"/>
      <c r="M105" s="494"/>
      <c r="N105" s="494"/>
      <c r="O105" s="494"/>
      <c r="P105" s="494"/>
      <c r="Q105" s="494"/>
      <c r="R105" s="494"/>
      <c r="S105" s="494"/>
      <c r="T105" s="494"/>
      <c r="U105" s="494"/>
      <c r="V105" s="494"/>
      <c r="W105" s="424"/>
      <c r="X105" s="494"/>
      <c r="Y105" s="494"/>
      <c r="Z105" s="494"/>
      <c r="AA105" s="356"/>
      <c r="AB105" s="356"/>
      <c r="AC105" s="356"/>
      <c r="AD105" s="356"/>
      <c r="AE105" s="356"/>
      <c r="AF105" s="356"/>
      <c r="AG105" s="356"/>
      <c r="AH105" s="356"/>
      <c r="AI105" s="356"/>
    </row>
    <row r="106" spans="2:35" ht="12.75">
      <c r="B106" s="494"/>
      <c r="C106" s="494"/>
      <c r="D106" s="494"/>
      <c r="E106" s="494"/>
      <c r="F106" s="494"/>
      <c r="G106" s="494"/>
      <c r="H106" s="494"/>
      <c r="I106" s="494"/>
      <c r="J106" s="494"/>
      <c r="K106" s="494"/>
      <c r="L106" s="494"/>
      <c r="M106" s="494"/>
      <c r="N106" s="494"/>
      <c r="O106" s="494"/>
      <c r="P106" s="494"/>
      <c r="Q106" s="494"/>
      <c r="R106" s="494"/>
      <c r="S106" s="494"/>
      <c r="T106" s="494"/>
      <c r="U106" s="494"/>
      <c r="V106" s="494"/>
      <c r="W106" s="424"/>
      <c r="X106" s="494"/>
      <c r="Y106" s="494"/>
      <c r="Z106" s="494"/>
      <c r="AA106" s="356"/>
      <c r="AB106" s="356"/>
      <c r="AC106" s="356"/>
      <c r="AD106" s="356"/>
      <c r="AE106" s="356"/>
      <c r="AF106" s="356"/>
      <c r="AG106" s="356"/>
      <c r="AH106" s="356"/>
      <c r="AI106" s="356"/>
    </row>
    <row r="107" spans="2:35" ht="12.75">
      <c r="B107" s="497"/>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356"/>
      <c r="AB107" s="356"/>
      <c r="AC107" s="356"/>
      <c r="AD107" s="356"/>
      <c r="AE107" s="356"/>
      <c r="AF107" s="356"/>
      <c r="AG107" s="356"/>
      <c r="AH107" s="356"/>
      <c r="AI107" s="356"/>
    </row>
    <row r="108" spans="2:35" ht="12.75">
      <c r="B108" s="491"/>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row>
    <row r="109" spans="2:35" ht="12.75">
      <c r="B109" s="348"/>
      <c r="C109" s="356"/>
      <c r="D109" s="498"/>
      <c r="E109" s="356"/>
      <c r="F109" s="356"/>
      <c r="G109" s="356"/>
      <c r="H109" s="356"/>
      <c r="I109" s="356"/>
      <c r="J109" s="356"/>
      <c r="K109" s="498"/>
      <c r="L109" s="356"/>
      <c r="M109" s="499"/>
      <c r="N109" s="499"/>
      <c r="O109" s="499"/>
      <c r="P109" s="499"/>
      <c r="Q109" s="499"/>
      <c r="R109" s="499"/>
      <c r="S109" s="356"/>
      <c r="T109" s="356"/>
      <c r="U109" s="356"/>
      <c r="V109" s="356"/>
      <c r="W109" s="500"/>
      <c r="X109" s="356"/>
      <c r="Y109" s="499"/>
      <c r="Z109" s="356"/>
      <c r="AA109" s="356"/>
      <c r="AB109" s="356"/>
      <c r="AC109" s="356"/>
      <c r="AD109" s="356"/>
      <c r="AE109" s="356"/>
      <c r="AF109" s="356"/>
      <c r="AG109" s="356"/>
      <c r="AH109" s="356"/>
      <c r="AI109" s="356"/>
    </row>
    <row r="110" spans="2:35" ht="12.75">
      <c r="B110" s="348"/>
      <c r="C110" s="356"/>
      <c r="D110" s="501"/>
      <c r="E110" s="356"/>
      <c r="F110" s="356"/>
      <c r="G110" s="356"/>
      <c r="H110" s="356"/>
      <c r="I110" s="356"/>
      <c r="J110" s="356"/>
      <c r="K110" s="501"/>
      <c r="L110" s="356"/>
      <c r="M110" s="501"/>
      <c r="N110" s="501"/>
      <c r="O110" s="501"/>
      <c r="P110" s="501"/>
      <c r="Q110" s="501"/>
      <c r="R110" s="501"/>
      <c r="S110" s="356"/>
      <c r="T110" s="356"/>
      <c r="U110" s="356"/>
      <c r="V110" s="356"/>
      <c r="W110" s="500"/>
      <c r="X110" s="356"/>
      <c r="Y110" s="501"/>
      <c r="Z110" s="356"/>
      <c r="AA110" s="356"/>
      <c r="AB110" s="356"/>
      <c r="AC110" s="356"/>
      <c r="AD110" s="356"/>
      <c r="AE110" s="356"/>
      <c r="AF110" s="356"/>
      <c r="AG110" s="356"/>
      <c r="AH110" s="356"/>
      <c r="AI110" s="356"/>
    </row>
    <row r="111" spans="2:35" ht="12.75">
      <c r="B111" s="348"/>
      <c r="C111" s="356"/>
      <c r="D111" s="501"/>
      <c r="E111" s="356"/>
      <c r="F111" s="356"/>
      <c r="G111" s="356"/>
      <c r="H111" s="356"/>
      <c r="I111" s="356"/>
      <c r="J111" s="356"/>
      <c r="K111" s="501"/>
      <c r="L111" s="356"/>
      <c r="M111" s="501"/>
      <c r="N111" s="501"/>
      <c r="O111" s="501"/>
      <c r="P111" s="501"/>
      <c r="Q111" s="501"/>
      <c r="R111" s="501"/>
      <c r="S111" s="356"/>
      <c r="T111" s="356"/>
      <c r="U111" s="356"/>
      <c r="V111" s="356"/>
      <c r="W111" s="500"/>
      <c r="X111" s="356"/>
      <c r="Y111" s="501"/>
      <c r="Z111" s="356"/>
      <c r="AA111" s="356"/>
      <c r="AB111" s="356"/>
      <c r="AC111" s="356"/>
      <c r="AD111" s="356"/>
      <c r="AE111" s="356"/>
      <c r="AF111" s="356"/>
      <c r="AG111" s="356"/>
      <c r="AH111" s="356"/>
      <c r="AI111" s="356"/>
    </row>
    <row r="112" spans="2:35" ht="12.75">
      <c r="B112" s="348"/>
      <c r="C112" s="356"/>
      <c r="D112" s="501"/>
      <c r="E112" s="356"/>
      <c r="F112" s="356"/>
      <c r="G112" s="356"/>
      <c r="H112" s="356"/>
      <c r="I112" s="356"/>
      <c r="J112" s="356"/>
      <c r="K112" s="501"/>
      <c r="L112" s="356"/>
      <c r="M112" s="501"/>
      <c r="N112" s="501"/>
      <c r="O112" s="501"/>
      <c r="P112" s="501"/>
      <c r="Q112" s="501"/>
      <c r="R112" s="501"/>
      <c r="S112" s="356"/>
      <c r="T112" s="356"/>
      <c r="U112" s="356"/>
      <c r="V112" s="356"/>
      <c r="W112" s="500"/>
      <c r="X112" s="356"/>
      <c r="Y112" s="501"/>
      <c r="Z112" s="356"/>
      <c r="AA112" s="356"/>
      <c r="AB112" s="356"/>
      <c r="AC112" s="356"/>
      <c r="AD112" s="356"/>
      <c r="AE112" s="356"/>
      <c r="AF112" s="356"/>
      <c r="AG112" s="356"/>
      <c r="AH112" s="356"/>
      <c r="AI112" s="356"/>
    </row>
    <row r="113" spans="2:35" ht="12.75">
      <c r="B113" s="348"/>
      <c r="C113" s="356"/>
      <c r="D113" s="501"/>
      <c r="E113" s="356"/>
      <c r="F113" s="356"/>
      <c r="G113" s="356"/>
      <c r="H113" s="356"/>
      <c r="I113" s="356"/>
      <c r="J113" s="356"/>
      <c r="K113" s="501"/>
      <c r="L113" s="356"/>
      <c r="M113" s="501"/>
      <c r="N113" s="501"/>
      <c r="O113" s="501"/>
      <c r="P113" s="501"/>
      <c r="Q113" s="501"/>
      <c r="R113" s="501"/>
      <c r="S113" s="356"/>
      <c r="T113" s="356"/>
      <c r="U113" s="356"/>
      <c r="V113" s="356"/>
      <c r="W113" s="500"/>
      <c r="X113" s="356"/>
      <c r="Y113" s="501"/>
      <c r="Z113" s="356"/>
      <c r="AA113" s="356"/>
      <c r="AB113" s="356"/>
      <c r="AC113" s="356"/>
      <c r="AD113" s="356"/>
      <c r="AE113" s="356"/>
      <c r="AF113" s="356"/>
      <c r="AG113" s="356"/>
      <c r="AH113" s="356"/>
      <c r="AI113" s="356"/>
    </row>
    <row r="114" spans="2:35" ht="12.75">
      <c r="B114" s="424"/>
      <c r="C114" s="356"/>
      <c r="D114" s="348"/>
      <c r="E114" s="356"/>
      <c r="F114" s="356"/>
      <c r="G114" s="356"/>
      <c r="H114" s="356"/>
      <c r="I114" s="356"/>
      <c r="J114" s="356"/>
      <c r="K114" s="348"/>
      <c r="L114" s="356"/>
      <c r="M114" s="356"/>
      <c r="N114" s="356"/>
      <c r="O114" s="356"/>
      <c r="P114" s="356"/>
      <c r="Q114" s="356"/>
      <c r="R114" s="356"/>
      <c r="S114" s="356"/>
      <c r="T114" s="356"/>
      <c r="U114" s="356"/>
      <c r="V114" s="356"/>
      <c r="W114" s="500"/>
      <c r="X114" s="356"/>
      <c r="Y114" s="356"/>
      <c r="Z114" s="356"/>
      <c r="AA114" s="356"/>
      <c r="AB114" s="356"/>
      <c r="AC114" s="356"/>
      <c r="AD114" s="356"/>
      <c r="AE114" s="356"/>
      <c r="AF114" s="356"/>
      <c r="AG114" s="356"/>
      <c r="AH114" s="356"/>
      <c r="AI114" s="356"/>
    </row>
    <row r="115" spans="2:35" ht="12.75">
      <c r="B115" s="424"/>
      <c r="C115" s="356"/>
      <c r="D115" s="498"/>
      <c r="E115" s="356"/>
      <c r="F115" s="356"/>
      <c r="G115" s="356"/>
      <c r="H115" s="356"/>
      <c r="I115" s="356"/>
      <c r="J115" s="356"/>
      <c r="K115" s="498"/>
      <c r="L115" s="356"/>
      <c r="M115" s="498"/>
      <c r="N115" s="498"/>
      <c r="O115" s="498"/>
      <c r="P115" s="498"/>
      <c r="Q115" s="498"/>
      <c r="R115" s="498"/>
      <c r="S115" s="356"/>
      <c r="T115" s="356"/>
      <c r="U115" s="356"/>
      <c r="V115" s="356"/>
      <c r="W115" s="500"/>
      <c r="X115" s="356"/>
      <c r="Y115" s="498"/>
      <c r="Z115" s="356"/>
      <c r="AA115" s="356"/>
      <c r="AB115" s="356"/>
      <c r="AC115" s="356"/>
      <c r="AD115" s="356"/>
      <c r="AE115" s="356"/>
      <c r="AF115" s="356"/>
      <c r="AG115" s="356"/>
      <c r="AH115" s="356"/>
      <c r="AI115" s="356"/>
    </row>
    <row r="116" spans="2:35" ht="12.75">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row>
    <row r="117" spans="2:35" ht="12.75">
      <c r="B117" s="491"/>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row>
    <row r="118" spans="2:35" ht="12.75">
      <c r="B118" s="490"/>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row>
    <row r="119" spans="2:35" ht="12.75">
      <c r="B119" s="356"/>
      <c r="C119" s="356"/>
      <c r="D119" s="488"/>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row>
    <row r="120" spans="2:35" ht="12.75">
      <c r="B120" s="356"/>
      <c r="C120" s="356"/>
      <c r="D120" s="413"/>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row>
    <row r="121" spans="2:35" ht="12.75">
      <c r="B121" s="356"/>
      <c r="C121" s="356"/>
      <c r="D121" s="413"/>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row>
    <row r="122" spans="2:35" ht="12.75">
      <c r="B122" s="356"/>
      <c r="C122" s="356"/>
      <c r="D122" s="502"/>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row>
    <row r="123" spans="2:35" ht="12.75">
      <c r="B123" s="356"/>
      <c r="C123" s="356"/>
      <c r="D123" s="413"/>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row>
    <row r="124" spans="2:35" ht="12.75">
      <c r="B124" s="356"/>
      <c r="C124" s="356"/>
      <c r="D124" s="413"/>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row>
    <row r="125" spans="2:35" ht="12.75">
      <c r="B125" s="503"/>
      <c r="C125" s="356"/>
      <c r="D125" s="488"/>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row>
    <row r="126" spans="2:35" ht="12.75">
      <c r="B126" s="503"/>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row>
    <row r="127" spans="2:35" ht="12.75">
      <c r="B127" s="356"/>
      <c r="C127" s="345"/>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row>
    <row r="128" spans="2:35" ht="12.75">
      <c r="B128" s="504"/>
      <c r="C128" s="356"/>
      <c r="D128" s="492"/>
      <c r="E128" s="356"/>
      <c r="F128" s="356"/>
      <c r="G128" s="492"/>
      <c r="H128" s="356"/>
      <c r="I128" s="492"/>
      <c r="J128" s="356"/>
      <c r="K128" s="492"/>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row>
    <row r="129" spans="2:35" ht="12.75">
      <c r="B129" s="356"/>
      <c r="C129" s="356"/>
      <c r="D129" s="492"/>
      <c r="E129" s="356"/>
      <c r="F129" s="356"/>
      <c r="G129" s="492"/>
      <c r="H129" s="356"/>
      <c r="I129" s="492"/>
      <c r="J129" s="356"/>
      <c r="K129" s="492"/>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row>
    <row r="130" spans="2:35" ht="12.75">
      <c r="B130" s="356"/>
      <c r="C130" s="356"/>
      <c r="D130" s="488"/>
      <c r="E130" s="356"/>
      <c r="F130" s="356"/>
      <c r="G130" s="424"/>
      <c r="H130" s="356"/>
      <c r="I130" s="424"/>
      <c r="J130" s="356"/>
      <c r="K130" s="505"/>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row>
    <row r="131" spans="2:35" ht="12.75">
      <c r="B131" s="356"/>
      <c r="C131" s="356"/>
      <c r="D131" s="488"/>
      <c r="E131" s="356"/>
      <c r="F131" s="356"/>
      <c r="G131" s="424"/>
      <c r="H131" s="356"/>
      <c r="I131" s="424"/>
      <c r="J131" s="356"/>
      <c r="K131" s="424"/>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row>
    <row r="132" spans="2:35" ht="12.75">
      <c r="B132" s="356"/>
      <c r="C132" s="356"/>
      <c r="D132" s="488"/>
      <c r="E132" s="356"/>
      <c r="F132" s="356"/>
      <c r="G132" s="424"/>
      <c r="H132" s="356"/>
      <c r="I132" s="424"/>
      <c r="J132" s="356"/>
      <c r="K132" s="424"/>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row>
    <row r="133" spans="2:35" ht="12.75">
      <c r="B133" s="356"/>
      <c r="C133" s="356"/>
      <c r="D133" s="488"/>
      <c r="E133" s="356"/>
      <c r="F133" s="356"/>
      <c r="G133" s="424"/>
      <c r="H133" s="356"/>
      <c r="I133" s="424"/>
      <c r="J133" s="356"/>
      <c r="K133" s="424"/>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row>
    <row r="134" spans="2:35" ht="12.75">
      <c r="B134" s="356"/>
      <c r="C134" s="356"/>
      <c r="D134" s="488"/>
      <c r="E134" s="356"/>
      <c r="F134" s="356"/>
      <c r="G134" s="424"/>
      <c r="H134" s="356"/>
      <c r="I134" s="424"/>
      <c r="J134" s="356"/>
      <c r="K134" s="424"/>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row>
    <row r="135" spans="2:35" ht="12.75">
      <c r="B135" s="356"/>
      <c r="C135" s="356"/>
      <c r="D135" s="488"/>
      <c r="E135" s="356"/>
      <c r="F135" s="356"/>
      <c r="G135" s="424"/>
      <c r="H135" s="356"/>
      <c r="I135" s="424"/>
      <c r="J135" s="356"/>
      <c r="K135" s="424"/>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row>
    <row r="136" spans="2:35" ht="12.75">
      <c r="B136" s="356"/>
      <c r="C136" s="356"/>
      <c r="D136" s="488"/>
      <c r="E136" s="356"/>
      <c r="F136" s="356"/>
      <c r="G136" s="424"/>
      <c r="H136" s="356"/>
      <c r="I136" s="424"/>
      <c r="J136" s="356"/>
      <c r="K136" s="424"/>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row>
    <row r="137" spans="2:35" ht="12.75">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5" ht="12.75">
      <c r="B138" s="356"/>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5" ht="12.75">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5" ht="12.75">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5" ht="12.75">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5" ht="12.75">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5" ht="12.75">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5" ht="12.75">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45" spans="2:35" ht="12.75">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row>
    <row r="146" spans="2:35" ht="12.75">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row>
    <row r="147" spans="2:35" ht="12.75">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row>
    <row r="148" spans="2:35" ht="12.75">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row>
    <row r="149" spans="2:35" ht="12.75">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row>
  </sheetData>
  <mergeCells count="1">
    <mergeCell ref="AT12:AU12"/>
  </mergeCells>
  <pageMargins left="0.17" right="0.16" top="1" bottom="1" header="0.5" footer="0.5"/>
  <pageSetup fitToHeight="0" orientation="landscape" scale="45" r:id="rId1"/>
  <headerFooter alignWithMargins="0"/>
  <colBreaks count="1" manualBreakCount="1">
    <brk id="27" max="54"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4"/>
  <sheetViews>
    <sheetView view="pageBreakPreview" zoomScale="60" zoomScaleNormal="60" workbookViewId="0" topLeftCell="A16"/>
  </sheetViews>
  <sheetFormatPr defaultColWidth="8.88555555555556" defaultRowHeight="15"/>
  <cols>
    <col min="1" max="1" width="6" style="562" customWidth="1"/>
    <col min="2" max="2" width="1.44444444444444" style="562" customWidth="1"/>
    <col min="3" max="3" width="62.1111111111111" style="562" customWidth="1"/>
    <col min="4" max="4" width="18.2222222222222" style="562" customWidth="1"/>
    <col min="5" max="5" width="14.4444444444444" style="562" customWidth="1"/>
    <col min="6" max="6" width="18.2222222222222" style="562" customWidth="1"/>
    <col min="7" max="7" width="18" style="562" customWidth="1"/>
    <col min="8" max="8" width="13.8888888888889" style="562" customWidth="1"/>
    <col min="9" max="9" width="19.8888888888889" style="562" bestFit="1" customWidth="1"/>
    <col min="10" max="10" width="12.7777777777778" style="562" customWidth="1"/>
    <col min="11" max="11" width="16.8888888888889" style="562" customWidth="1"/>
    <col min="12" max="12" width="15.8888888888889" style="562" customWidth="1"/>
    <col min="13" max="13" width="18" style="562" customWidth="1"/>
    <col min="14" max="14" width="15.4444444444444" style="562" customWidth="1"/>
    <col min="15" max="15" width="14.6666666666667" style="562" customWidth="1"/>
    <col min="16" max="16" width="15.1111111111111" style="562" customWidth="1"/>
    <col min="17" max="17" width="16.2222222222222" style="562" customWidth="1"/>
    <col min="18" max="18" width="8.88888888888889" style="562"/>
    <col min="19" max="19" width="14.3333333333333" style="562" customWidth="1"/>
    <col min="20" max="16384" width="8.88888888888889" style="562"/>
  </cols>
  <sheetData>
    <row r="1" spans="14:19" ht="15">
      <c r="N1" s="563"/>
      <c r="Q1" s="563"/>
      <c r="S1" s="563" t="s">
        <v>692</v>
      </c>
    </row>
    <row r="2" spans="7:19" ht="15.75">
      <c r="G2" s="564"/>
      <c r="N2" s="563"/>
      <c r="Q2" s="563"/>
      <c r="S2" s="563" t="s">
        <v>224</v>
      </c>
    </row>
    <row r="3" spans="14:19" ht="15">
      <c r="N3" s="565"/>
      <c r="Q3" s="565"/>
      <c r="S3" s="565" t="str">
        <f>'Attachment H-28A MAIT '!K4</f>
        <v>For the 12 months ended 12/31/2021</v>
      </c>
    </row>
    <row r="5" spans="1:14" ht="15.75">
      <c r="A5" s="1202" t="s">
        <v>873</v>
      </c>
      <c r="B5" s="1202"/>
      <c r="C5" s="1202"/>
      <c r="D5" s="1202"/>
      <c r="E5" s="1202"/>
      <c r="F5" s="1202"/>
      <c r="G5" s="1202"/>
      <c r="H5" s="1202"/>
      <c r="I5" s="1202"/>
      <c r="J5" s="1202"/>
      <c r="K5" s="1202"/>
      <c r="L5" s="1202"/>
      <c r="M5" s="1202"/>
      <c r="N5" s="1202"/>
    </row>
    <row r="6" spans="1:14" ht="15">
      <c r="A6" s="1203" t="s">
        <v>696</v>
      </c>
      <c r="B6" s="1203"/>
      <c r="C6" s="1203"/>
      <c r="D6" s="1203"/>
      <c r="E6" s="1203"/>
      <c r="F6" s="1203"/>
      <c r="G6" s="1203"/>
      <c r="H6" s="1203"/>
      <c r="I6" s="1203"/>
      <c r="J6" s="1203"/>
      <c r="K6" s="1203"/>
      <c r="L6" s="1203"/>
      <c r="M6" s="1203"/>
      <c r="N6" s="1203"/>
    </row>
    <row r="7" spans="1:12" ht="15">
      <c r="A7" s="1203"/>
      <c r="B7" s="1203"/>
      <c r="C7" s="1203"/>
      <c r="D7" s="1203"/>
      <c r="E7" s="1203"/>
      <c r="F7" s="1203"/>
      <c r="G7" s="1203"/>
      <c r="H7" s="1203"/>
      <c r="I7" s="1203"/>
      <c r="J7" s="1203"/>
      <c r="K7" s="1203"/>
      <c r="L7" s="1203"/>
    </row>
    <row r="8" spans="1:12" ht="15">
      <c r="A8" s="566"/>
      <c r="C8" s="567"/>
      <c r="D8" s="567"/>
      <c r="F8" s="567"/>
      <c r="H8" s="567"/>
      <c r="I8" s="567"/>
      <c r="J8" s="567"/>
      <c r="K8" s="567"/>
      <c r="L8" s="567"/>
    </row>
    <row r="9" spans="1:12" ht="15">
      <c r="A9" s="566"/>
      <c r="C9" s="567"/>
      <c r="D9" s="567"/>
      <c r="E9" s="567"/>
      <c r="F9" s="567"/>
      <c r="G9" s="568"/>
      <c r="H9" s="567"/>
      <c r="I9" s="567"/>
      <c r="J9" s="567"/>
      <c r="K9" s="567"/>
      <c r="L9" s="567"/>
    </row>
    <row r="10" spans="1:12" ht="15">
      <c r="A10" s="566"/>
      <c r="D10" s="567"/>
      <c r="E10" s="567"/>
      <c r="F10" s="567"/>
      <c r="G10" s="568"/>
      <c r="H10" s="567"/>
      <c r="I10" s="567"/>
      <c r="J10" s="567"/>
      <c r="K10" s="567"/>
      <c r="L10" s="567"/>
    </row>
    <row r="11" spans="1:19" ht="15">
      <c r="A11" s="566"/>
      <c r="C11" s="567"/>
      <c r="D11" s="567"/>
      <c r="E11" s="567"/>
      <c r="F11" s="567"/>
      <c r="G11" s="568"/>
      <c r="K11" s="1205" t="s">
        <v>697</v>
      </c>
      <c r="L11" s="1206"/>
      <c r="M11" s="1206"/>
      <c r="N11" s="1206"/>
      <c r="O11" s="1206"/>
      <c r="P11" s="1206"/>
      <c r="Q11" s="1206"/>
      <c r="R11" s="1206"/>
      <c r="S11" s="1207"/>
    </row>
    <row r="12" spans="1:19" ht="15">
      <c r="A12" s="566"/>
      <c r="C12" s="567"/>
      <c r="D12" s="567"/>
      <c r="E12" s="567"/>
      <c r="F12" s="567"/>
      <c r="G12" s="567"/>
      <c r="K12" s="569"/>
      <c r="L12" s="570"/>
      <c r="S12" s="571"/>
    </row>
    <row r="13" spans="3:19" ht="15">
      <c r="C13" s="572" t="s">
        <v>22</v>
      </c>
      <c r="D13" s="572"/>
      <c r="E13" s="572" t="s">
        <v>23</v>
      </c>
      <c r="F13" s="572"/>
      <c r="G13" s="572" t="s">
        <v>24</v>
      </c>
      <c r="I13" s="573" t="s">
        <v>25</v>
      </c>
      <c r="K13" s="574" t="s">
        <v>26</v>
      </c>
      <c r="L13" s="573" t="s">
        <v>27</v>
      </c>
      <c r="O13" s="573" t="s">
        <v>449</v>
      </c>
      <c r="Q13" s="573" t="s">
        <v>450</v>
      </c>
      <c r="S13" s="575" t="s">
        <v>451</v>
      </c>
    </row>
    <row r="14" spans="3:19" ht="15.75">
      <c r="C14" s="576"/>
      <c r="D14" s="576"/>
      <c r="E14" s="577"/>
      <c r="F14" s="577"/>
      <c r="G14" s="578"/>
      <c r="K14" s="569"/>
      <c r="S14" s="571"/>
    </row>
    <row r="15" spans="1:19" ht="15.75">
      <c r="A15" s="566" t="s">
        <v>5</v>
      </c>
      <c r="C15" s="576"/>
      <c r="D15" s="576"/>
      <c r="E15" s="579" t="s">
        <v>223</v>
      </c>
      <c r="F15" s="579"/>
      <c r="G15" s="580" t="s">
        <v>28</v>
      </c>
      <c r="I15" s="580" t="s">
        <v>11</v>
      </c>
      <c r="K15" s="581" t="s">
        <v>5</v>
      </c>
      <c r="L15" s="579"/>
      <c r="O15" s="579" t="s">
        <v>223</v>
      </c>
      <c r="Q15" s="579" t="s">
        <v>452</v>
      </c>
      <c r="S15" s="582" t="s">
        <v>11</v>
      </c>
    </row>
    <row r="16" spans="1:19" ht="15.75">
      <c r="A16" s="566" t="s">
        <v>7</v>
      </c>
      <c r="C16" s="583"/>
      <c r="D16" s="583"/>
      <c r="E16" s="578"/>
      <c r="F16" s="578"/>
      <c r="G16" s="578"/>
      <c r="I16" s="578"/>
      <c r="K16" s="581" t="s">
        <v>7</v>
      </c>
      <c r="S16" s="571"/>
    </row>
    <row r="17" spans="1:19" ht="15.75">
      <c r="A17" s="584"/>
      <c r="C17" s="576"/>
      <c r="D17" s="576"/>
      <c r="E17" s="578"/>
      <c r="F17" s="578"/>
      <c r="G17" s="578"/>
      <c r="I17" s="578"/>
      <c r="K17" s="569"/>
      <c r="S17" s="571"/>
    </row>
    <row r="18" spans="1:19" ht="15">
      <c r="A18" s="585">
        <v>1</v>
      </c>
      <c r="C18" s="576" t="s">
        <v>191</v>
      </c>
      <c r="D18" s="576"/>
      <c r="E18" s="585" t="s">
        <v>732</v>
      </c>
      <c r="F18" s="585"/>
      <c r="G18" s="586">
        <f>'Attachment H-28A MAIT '!I57</f>
        <v>2172855687.4461536</v>
      </c>
      <c r="K18" s="569"/>
      <c r="S18" s="571"/>
    </row>
    <row r="19" spans="1:19" ht="15">
      <c r="A19" s="585">
        <v>2</v>
      </c>
      <c r="C19" s="576" t="s">
        <v>192</v>
      </c>
      <c r="D19" s="576"/>
      <c r="E19" s="585" t="s">
        <v>733</v>
      </c>
      <c r="F19" s="585"/>
      <c r="G19" s="586">
        <f>'Attachment H-28A MAIT '!I73</f>
        <v>1840931818.2684612</v>
      </c>
      <c r="K19" s="569"/>
      <c r="S19" s="571"/>
    </row>
    <row r="20" spans="1:19" ht="15">
      <c r="A20" s="585"/>
      <c r="E20" s="585"/>
      <c r="F20" s="585"/>
      <c r="K20" s="569"/>
      <c r="S20" s="571"/>
    </row>
    <row r="21" spans="1:19" ht="15">
      <c r="A21" s="585"/>
      <c r="C21" s="576" t="s">
        <v>193</v>
      </c>
      <c r="D21" s="576"/>
      <c r="E21" s="585"/>
      <c r="F21" s="585"/>
      <c r="G21" s="578"/>
      <c r="I21" s="578"/>
      <c r="K21" s="569"/>
      <c r="S21" s="571"/>
    </row>
    <row r="22" spans="1:19" ht="15">
      <c r="A22" s="585">
        <v>3</v>
      </c>
      <c r="C22" s="576" t="s">
        <v>194</v>
      </c>
      <c r="D22" s="576"/>
      <c r="E22" s="585" t="s">
        <v>749</v>
      </c>
      <c r="F22" s="585"/>
      <c r="G22" s="586">
        <f>'Attachment H-28A MAIT '!I144</f>
        <v>68938797.488623679</v>
      </c>
      <c r="K22" s="569"/>
      <c r="S22" s="571"/>
    </row>
    <row r="23" spans="1:19" ht="15">
      <c r="A23" s="585">
        <v>4</v>
      </c>
      <c r="C23" s="576" t="s">
        <v>195</v>
      </c>
      <c r="D23" s="576"/>
      <c r="E23" s="585" t="s">
        <v>225</v>
      </c>
      <c r="F23" s="585"/>
      <c r="G23" s="587">
        <f>IF(G22=0,0,G22/G18)</f>
        <v>0.031727278478236295</v>
      </c>
      <c r="I23" s="588">
        <f>G23</f>
        <v>0.031727278478236295</v>
      </c>
      <c r="K23" s="569"/>
      <c r="S23" s="571"/>
    </row>
    <row r="24" spans="1:19" ht="15">
      <c r="A24" s="585"/>
      <c r="C24" s="576"/>
      <c r="D24" s="576"/>
      <c r="E24" s="585"/>
      <c r="F24" s="585"/>
      <c r="G24" s="587"/>
      <c r="I24" s="588"/>
      <c r="K24" s="569"/>
      <c r="S24" s="571"/>
    </row>
    <row r="25" spans="1:19" ht="15">
      <c r="A25" s="585"/>
      <c r="C25" s="576" t="s">
        <v>406</v>
      </c>
      <c r="D25" s="576"/>
      <c r="E25" s="585"/>
      <c r="F25" s="585"/>
      <c r="G25" s="587"/>
      <c r="I25" s="588"/>
      <c r="K25" s="569"/>
      <c r="S25" s="571"/>
    </row>
    <row r="26" spans="1:19" ht="15">
      <c r="A26" s="585">
        <v>5</v>
      </c>
      <c r="C26" s="576" t="s">
        <v>407</v>
      </c>
      <c r="D26" s="576"/>
      <c r="E26" s="585" t="s">
        <v>750</v>
      </c>
      <c r="F26" s="585"/>
      <c r="G26" s="586">
        <f>'Attachment H-28A MAIT '!I148+'Attachment H-28A MAIT '!I149</f>
        <v>7005848</v>
      </c>
      <c r="I26" s="588"/>
      <c r="K26" s="569"/>
      <c r="S26" s="571"/>
    </row>
    <row r="27" spans="1:19" ht="15">
      <c r="A27" s="585">
        <v>6</v>
      </c>
      <c r="C27" s="576" t="s">
        <v>408</v>
      </c>
      <c r="D27" s="576"/>
      <c r="E27" s="585" t="s">
        <v>226</v>
      </c>
      <c r="F27" s="585"/>
      <c r="G27" s="587">
        <f>G26/G18</f>
        <v>0.003224258306926154</v>
      </c>
      <c r="I27" s="588">
        <f>G27</f>
        <v>0.003224258306926154</v>
      </c>
      <c r="K27" s="569"/>
      <c r="S27" s="571"/>
    </row>
    <row r="28" spans="1:19" ht="15">
      <c r="A28" s="585"/>
      <c r="C28" s="576"/>
      <c r="D28" s="576"/>
      <c r="E28" s="585"/>
      <c r="F28" s="585"/>
      <c r="G28" s="587"/>
      <c r="I28" s="588"/>
      <c r="K28" s="569"/>
      <c r="S28" s="571"/>
    </row>
    <row r="29" spans="1:19" ht="15">
      <c r="A29" s="573"/>
      <c r="C29" s="576" t="s">
        <v>196</v>
      </c>
      <c r="D29" s="576"/>
      <c r="E29" s="589"/>
      <c r="F29" s="589"/>
      <c r="G29" s="578"/>
      <c r="I29" s="587"/>
      <c r="K29" s="569"/>
      <c r="S29" s="571"/>
    </row>
    <row r="30" spans="1:19" ht="15">
      <c r="A30" s="573" t="s">
        <v>200</v>
      </c>
      <c r="C30" s="576" t="s">
        <v>198</v>
      </c>
      <c r="D30" s="576"/>
      <c r="E30" s="585" t="s">
        <v>751</v>
      </c>
      <c r="F30" s="585"/>
      <c r="G30" s="586">
        <f>'Attachment H-28A MAIT '!I162</f>
        <v>677699</v>
      </c>
      <c r="I30" s="587"/>
      <c r="K30" s="569"/>
      <c r="S30" s="571"/>
    </row>
    <row r="31" spans="1:19" ht="15">
      <c r="A31" s="573" t="s">
        <v>203</v>
      </c>
      <c r="C31" s="576" t="s">
        <v>199</v>
      </c>
      <c r="D31" s="576"/>
      <c r="E31" s="585" t="s">
        <v>409</v>
      </c>
      <c r="F31" s="585"/>
      <c r="G31" s="587">
        <f>IF(G30=0,0,G30/G18)</f>
        <v>0.00031189323981130443</v>
      </c>
      <c r="I31" s="588">
        <f>G31</f>
        <v>0.00031189323981130443</v>
      </c>
      <c r="K31" s="569"/>
      <c r="S31" s="571"/>
    </row>
    <row r="32" spans="1:19" ht="15">
      <c r="A32" s="573"/>
      <c r="C32" s="576"/>
      <c r="D32" s="576"/>
      <c r="E32" s="585"/>
      <c r="F32" s="585"/>
      <c r="G32" s="587"/>
      <c r="I32" s="588"/>
      <c r="K32" s="569"/>
      <c r="S32" s="571"/>
    </row>
    <row r="33" spans="1:19" ht="15.75">
      <c r="A33" s="590" t="s">
        <v>204</v>
      </c>
      <c r="B33" s="564"/>
      <c r="C33" s="583" t="s">
        <v>201</v>
      </c>
      <c r="D33" s="583"/>
      <c r="E33" s="577" t="s">
        <v>571</v>
      </c>
      <c r="F33" s="577"/>
      <c r="G33" s="591"/>
      <c r="I33" s="592">
        <f>I23+I27+I31</f>
        <v>0.035263430024973751</v>
      </c>
      <c r="K33" s="569"/>
      <c r="S33" s="571"/>
    </row>
    <row r="34" spans="1:19" ht="15">
      <c r="A34" s="573"/>
      <c r="C34" s="576"/>
      <c r="D34" s="576"/>
      <c r="E34" s="585"/>
      <c r="F34" s="585"/>
      <c r="G34" s="578"/>
      <c r="I34" s="587"/>
      <c r="K34" s="569"/>
      <c r="S34" s="571"/>
    </row>
    <row r="35" spans="1:19" ht="15">
      <c r="A35" s="573"/>
      <c r="C35" s="578" t="s">
        <v>202</v>
      </c>
      <c r="D35" s="578"/>
      <c r="E35" s="585"/>
      <c r="F35" s="585"/>
      <c r="G35" s="578"/>
      <c r="I35" s="587"/>
      <c r="K35" s="574"/>
      <c r="L35" s="578" t="s">
        <v>202</v>
      </c>
      <c r="M35" s="578"/>
      <c r="N35" s="578"/>
      <c r="O35" s="585"/>
      <c r="P35" s="585"/>
      <c r="Q35" s="578"/>
      <c r="S35" s="593"/>
    </row>
    <row r="36" spans="1:19" ht="15">
      <c r="A36" s="573" t="s">
        <v>206</v>
      </c>
      <c r="C36" s="578" t="s">
        <v>78</v>
      </c>
      <c r="D36" s="578"/>
      <c r="E36" s="585" t="s">
        <v>752</v>
      </c>
      <c r="F36" s="585"/>
      <c r="G36" s="586">
        <f>'Attachment H-28A MAIT '!I177</f>
        <v>38215983.44397527</v>
      </c>
      <c r="I36" s="587"/>
      <c r="K36" s="574" t="s">
        <v>572</v>
      </c>
      <c r="L36" s="578" t="s">
        <v>78</v>
      </c>
      <c r="M36" s="578"/>
      <c r="N36" s="578"/>
      <c r="O36" s="585" t="s">
        <v>735</v>
      </c>
      <c r="P36" s="585"/>
      <c r="Q36" s="586">
        <f>'Attachment 2 - Incentive ROE'!I60</f>
        <v>38215983.44397527</v>
      </c>
      <c r="S36" s="593"/>
    </row>
    <row r="37" spans="1:19" ht="15">
      <c r="A37" s="573" t="s">
        <v>208</v>
      </c>
      <c r="C37" s="578" t="s">
        <v>205</v>
      </c>
      <c r="D37" s="578"/>
      <c r="E37" s="585" t="s">
        <v>793</v>
      </c>
      <c r="F37" s="585"/>
      <c r="G37" s="587">
        <f>IF(G36=0,0,G36/G19)</f>
        <v>0.020759043363116163</v>
      </c>
      <c r="I37" s="588">
        <f>G37</f>
        <v>0.020759043363116163</v>
      </c>
      <c r="K37" s="574" t="s">
        <v>573</v>
      </c>
      <c r="L37" s="578" t="s">
        <v>205</v>
      </c>
      <c r="M37" s="578"/>
      <c r="N37" s="578"/>
      <c r="O37" s="585" t="s">
        <v>574</v>
      </c>
      <c r="P37" s="585"/>
      <c r="Q37" s="587">
        <f>IF(Q36=0,0,Q36/G19)</f>
        <v>0.020759043363116163</v>
      </c>
      <c r="S37" s="594">
        <f>Q37</f>
        <v>0.020759043363116163</v>
      </c>
    </row>
    <row r="38" spans="1:19" ht="15">
      <c r="A38" s="573"/>
      <c r="C38" s="578"/>
      <c r="D38" s="578"/>
      <c r="E38" s="585"/>
      <c r="F38" s="585"/>
      <c r="G38" s="578"/>
      <c r="I38" s="587"/>
      <c r="K38" s="574"/>
      <c r="L38" s="578"/>
      <c r="M38" s="578"/>
      <c r="N38" s="578"/>
      <c r="O38" s="585"/>
      <c r="P38" s="585"/>
      <c r="Q38" s="578"/>
      <c r="S38" s="593"/>
    </row>
    <row r="39" spans="1:19" ht="15">
      <c r="A39" s="573"/>
      <c r="C39" s="576" t="s">
        <v>79</v>
      </c>
      <c r="D39" s="576"/>
      <c r="E39" s="595"/>
      <c r="F39" s="595"/>
      <c r="I39" s="587"/>
      <c r="K39" s="574"/>
      <c r="L39" s="576" t="s">
        <v>79</v>
      </c>
      <c r="M39" s="576"/>
      <c r="N39" s="576"/>
      <c r="O39" s="595"/>
      <c r="P39" s="595"/>
      <c r="S39" s="593"/>
    </row>
    <row r="40" spans="1:19" ht="15">
      <c r="A40" s="573" t="s">
        <v>210</v>
      </c>
      <c r="C40" s="576" t="s">
        <v>207</v>
      </c>
      <c r="D40" s="576"/>
      <c r="E40" s="585" t="s">
        <v>734</v>
      </c>
      <c r="F40" s="585"/>
      <c r="G40" s="586">
        <f>'Attachment H-28A MAIT '!I179</f>
        <v>122537855.82994714</v>
      </c>
      <c r="I40" s="587"/>
      <c r="K40" s="574" t="s">
        <v>446</v>
      </c>
      <c r="L40" s="576" t="s">
        <v>207</v>
      </c>
      <c r="M40" s="576"/>
      <c r="N40" s="576"/>
      <c r="O40" s="585" t="s">
        <v>736</v>
      </c>
      <c r="P40" s="585"/>
      <c r="Q40" s="586">
        <f>'Attachment 2 - Incentive ROE'!I43</f>
        <v>122537855.82994714</v>
      </c>
      <c r="S40" s="593"/>
    </row>
    <row r="41" spans="1:19" ht="15">
      <c r="A41" s="573" t="s">
        <v>247</v>
      </c>
      <c r="C41" s="578" t="s">
        <v>209</v>
      </c>
      <c r="D41" s="578"/>
      <c r="E41" s="585" t="s">
        <v>453</v>
      </c>
      <c r="F41" s="585"/>
      <c r="G41" s="588">
        <f>IF(G40=0,0,G40/G19)</f>
        <v>0.066562951769285769</v>
      </c>
      <c r="I41" s="588">
        <f>G41</f>
        <v>0.066562951769285769</v>
      </c>
      <c r="K41" s="574" t="s">
        <v>447</v>
      </c>
      <c r="L41" s="578" t="s">
        <v>209</v>
      </c>
      <c r="M41" s="578"/>
      <c r="N41" s="578"/>
      <c r="O41" s="585" t="s">
        <v>454</v>
      </c>
      <c r="P41" s="585"/>
      <c r="Q41" s="588">
        <f>IF(Q40=0,0,Q40/G19)</f>
        <v>0.066562951769285769</v>
      </c>
      <c r="S41" s="594">
        <f>Q41</f>
        <v>0.066562951769285769</v>
      </c>
    </row>
    <row r="42" spans="1:19" ht="15">
      <c r="A42" s="573"/>
      <c r="C42" s="576"/>
      <c r="D42" s="576"/>
      <c r="E42" s="585"/>
      <c r="F42" s="585"/>
      <c r="G42" s="578"/>
      <c r="I42" s="587"/>
      <c r="K42" s="574"/>
      <c r="L42" s="576"/>
      <c r="M42" s="576"/>
      <c r="N42" s="576"/>
      <c r="O42" s="585"/>
      <c r="P42" s="585"/>
      <c r="Q42" s="578"/>
      <c r="S42" s="593"/>
    </row>
    <row r="43" spans="1:19" ht="15.75">
      <c r="A43" s="590" t="s">
        <v>248</v>
      </c>
      <c r="B43" s="564"/>
      <c r="C43" s="583" t="s">
        <v>211</v>
      </c>
      <c r="D43" s="583"/>
      <c r="E43" s="577" t="s">
        <v>577</v>
      </c>
      <c r="F43" s="577"/>
      <c r="G43" s="591"/>
      <c r="I43" s="592">
        <f>I37+I41</f>
        <v>0.087321995132401936</v>
      </c>
      <c r="K43" s="596" t="s">
        <v>448</v>
      </c>
      <c r="L43" s="583" t="s">
        <v>211</v>
      </c>
      <c r="M43" s="583"/>
      <c r="N43" s="583"/>
      <c r="O43" s="577" t="s">
        <v>575</v>
      </c>
      <c r="P43" s="577"/>
      <c r="Q43" s="591"/>
      <c r="S43" s="597">
        <f>S37+S41</f>
        <v>0.087321995132401936</v>
      </c>
    </row>
    <row r="44" spans="11:19" ht="15">
      <c r="K44" s="569"/>
      <c r="S44" s="571"/>
    </row>
    <row r="45" spans="11:19" ht="15.75">
      <c r="K45" s="598" t="s">
        <v>249</v>
      </c>
      <c r="L45" s="599" t="s">
        <v>546</v>
      </c>
      <c r="M45" s="600"/>
      <c r="N45" s="600"/>
      <c r="O45" s="601"/>
      <c r="P45" s="601" t="s">
        <v>576</v>
      </c>
      <c r="Q45" s="599"/>
      <c r="R45" s="599"/>
      <c r="S45" s="723">
        <f>S43-I43</f>
        <v>0</v>
      </c>
    </row>
    <row r="46" spans="1:7" ht="15">
      <c r="A46" s="566"/>
      <c r="G46" s="578"/>
    </row>
    <row r="47" spans="14:19" ht="15">
      <c r="N47" s="602"/>
      <c r="Q47" s="602"/>
      <c r="S47" s="602" t="str">
        <f>S1</f>
        <v>Attachment  H-28A, Attachment 11</v>
      </c>
    </row>
    <row r="48" spans="14:19" ht="15">
      <c r="N48" s="602"/>
      <c r="Q48" s="602"/>
      <c r="S48" s="602" t="s">
        <v>227</v>
      </c>
    </row>
    <row r="49" spans="14:19" ht="15">
      <c r="N49" s="602"/>
      <c r="Q49" s="602"/>
      <c r="S49" s="602" t="str">
        <f>S3</f>
        <v>For the 12 months ended 12/31/2021</v>
      </c>
    </row>
    <row r="50" spans="1:7" ht="15">
      <c r="A50" s="566"/>
      <c r="G50" s="578"/>
    </row>
    <row r="51" spans="1:4" ht="15">
      <c r="A51" s="566"/>
      <c r="C51" s="576"/>
      <c r="D51" s="576"/>
    </row>
    <row r="52" spans="1:12" ht="15">
      <c r="A52" s="566"/>
      <c r="C52" s="576"/>
      <c r="D52" s="576"/>
      <c r="L52" s="578"/>
    </row>
    <row r="53" spans="1:1" ht="14.25" customHeight="1">
      <c r="A53" s="566"/>
    </row>
    <row r="54" spans="1:14" ht="15.75">
      <c r="A54" s="1209" t="str">
        <f>A5</f>
        <v>Transmission Enhancement Charge (TEC) Worksheet</v>
      </c>
      <c r="B54" s="1209"/>
      <c r="C54" s="1209"/>
      <c r="D54" s="1209"/>
      <c r="E54" s="1209"/>
      <c r="F54" s="1209"/>
      <c r="G54" s="1209"/>
      <c r="H54" s="1209"/>
      <c r="I54" s="1209"/>
      <c r="J54" s="1209"/>
      <c r="K54" s="1209"/>
      <c r="L54" s="1209"/>
      <c r="M54" s="1209"/>
      <c r="N54" s="1209"/>
    </row>
    <row r="55" spans="1:14" ht="15">
      <c r="A55" s="1210" t="str">
        <f>A6</f>
        <v>To be completed in conjunction with Attachment H-28A</v>
      </c>
      <c r="B55" s="1210"/>
      <c r="C55" s="1210"/>
      <c r="D55" s="1210"/>
      <c r="E55" s="1210"/>
      <c r="F55" s="1210"/>
      <c r="G55" s="1210"/>
      <c r="H55" s="1210"/>
      <c r="I55" s="1210"/>
      <c r="J55" s="1210"/>
      <c r="K55" s="1210"/>
      <c r="L55" s="1210"/>
      <c r="M55" s="1210"/>
      <c r="N55" s="1210"/>
    </row>
    <row r="56" spans="1:12" ht="15.75">
      <c r="A56" s="566"/>
      <c r="E56" s="583"/>
      <c r="H56" s="567"/>
      <c r="I56" s="567"/>
      <c r="J56" s="567"/>
      <c r="K56" s="567"/>
      <c r="L56" s="567"/>
    </row>
    <row r="57" spans="1:12" ht="15.75">
      <c r="A57" s="566"/>
      <c r="E57" s="583"/>
      <c r="F57" s="583"/>
      <c r="H57" s="567"/>
      <c r="I57" s="567"/>
      <c r="J57" s="567"/>
      <c r="K57" s="567"/>
      <c r="L57" s="567"/>
    </row>
    <row r="58" spans="1:17" ht="15.75">
      <c r="A58" s="566"/>
      <c r="C58" s="603">
        <v>-1</v>
      </c>
      <c r="D58" s="603">
        <v>-2</v>
      </c>
      <c r="E58" s="603">
        <v>-3</v>
      </c>
      <c r="F58" s="603">
        <v>-4</v>
      </c>
      <c r="G58" s="603">
        <v>-5</v>
      </c>
      <c r="H58" s="603">
        <v>-6</v>
      </c>
      <c r="I58" s="603">
        <v>-7</v>
      </c>
      <c r="J58" s="603">
        <v>-8</v>
      </c>
      <c r="K58" s="603">
        <v>-9</v>
      </c>
      <c r="L58" s="603">
        <v>-10</v>
      </c>
      <c r="M58" s="603">
        <v>-11</v>
      </c>
      <c r="N58" s="603">
        <v>-12</v>
      </c>
      <c r="O58" s="603">
        <v>-13</v>
      </c>
      <c r="P58" s="603">
        <v>-14</v>
      </c>
      <c r="Q58" s="603"/>
    </row>
    <row r="59" spans="1:16" ht="63">
      <c r="A59" s="604" t="s">
        <v>212</v>
      </c>
      <c r="B59" s="605"/>
      <c r="C59" s="606" t="s">
        <v>213</v>
      </c>
      <c r="D59" s="607" t="s">
        <v>229</v>
      </c>
      <c r="E59" s="608" t="s">
        <v>339</v>
      </c>
      <c r="F59" s="608" t="s">
        <v>201</v>
      </c>
      <c r="G59" s="609" t="s">
        <v>214</v>
      </c>
      <c r="H59" s="608" t="s">
        <v>215</v>
      </c>
      <c r="I59" s="608" t="s">
        <v>211</v>
      </c>
      <c r="J59" s="609" t="s">
        <v>216</v>
      </c>
      <c r="K59" s="608" t="s">
        <v>217</v>
      </c>
      <c r="L59" s="610" t="s">
        <v>410</v>
      </c>
      <c r="M59" s="610" t="s">
        <v>596</v>
      </c>
      <c r="N59" s="610" t="s">
        <v>543</v>
      </c>
      <c r="O59" s="610" t="s">
        <v>294</v>
      </c>
      <c r="P59" s="610" t="s">
        <v>544</v>
      </c>
    </row>
    <row r="60" spans="1:16" ht="46.5" customHeight="1">
      <c r="A60" s="611"/>
      <c r="B60" s="612"/>
      <c r="C60" s="612"/>
      <c r="D60" s="612"/>
      <c r="E60" s="613" t="s">
        <v>592</v>
      </c>
      <c r="F60" s="613" t="s">
        <v>590</v>
      </c>
      <c r="G60" s="614" t="s">
        <v>218</v>
      </c>
      <c r="H60" s="613" t="s">
        <v>593</v>
      </c>
      <c r="I60" s="634" t="s">
        <v>591</v>
      </c>
      <c r="J60" s="614" t="s">
        <v>219</v>
      </c>
      <c r="K60" s="613" t="s">
        <v>164</v>
      </c>
      <c r="L60" s="615" t="s">
        <v>411</v>
      </c>
      <c r="M60" s="615" t="s">
        <v>794</v>
      </c>
      <c r="N60" s="615" t="s">
        <v>545</v>
      </c>
      <c r="O60" s="615" t="s">
        <v>440</v>
      </c>
      <c r="P60" s="615" t="s">
        <v>594</v>
      </c>
    </row>
    <row r="61" spans="1:16" ht="15">
      <c r="A61" s="616"/>
      <c r="B61" s="567"/>
      <c r="C61" s="572"/>
      <c r="D61" s="567"/>
      <c r="E61" s="567"/>
      <c r="F61" s="567"/>
      <c r="G61" s="617"/>
      <c r="H61" s="567"/>
      <c r="I61" s="567"/>
      <c r="J61" s="617"/>
      <c r="K61" s="567"/>
      <c r="L61" s="617"/>
      <c r="M61" s="617"/>
      <c r="N61" s="617"/>
      <c r="O61" s="617"/>
      <c r="P61" s="617"/>
    </row>
    <row r="62" spans="1:16" ht="30">
      <c r="A62" s="581" t="s">
        <v>559</v>
      </c>
      <c r="B62" s="589"/>
      <c r="C62" s="857" t="s">
        <v>1275</v>
      </c>
      <c r="D62" s="858" t="s">
        <v>1276</v>
      </c>
      <c r="E62" s="586">
        <f>'Attach 11a - TEC Cost Support'!E10</f>
        <v>12637431.470000001</v>
      </c>
      <c r="F62" s="588">
        <f>$I$33</f>
        <v>0.035263430024973751</v>
      </c>
      <c r="G62" s="618">
        <f>E62*F62</f>
        <v>445639.18033774616</v>
      </c>
      <c r="H62" s="586">
        <f>'Attach 11a - TEC Cost Support'!AI10</f>
        <v>9806805.1720677465</v>
      </c>
      <c r="I62" s="588">
        <f>$I$43</f>
        <v>0.087321995132401936</v>
      </c>
      <c r="J62" s="618">
        <f>H62*I62</f>
        <v>856349.79349971388</v>
      </c>
      <c r="K62" s="859">
        <v>259067.34513499995</v>
      </c>
      <c r="L62" s="619">
        <f>G62+J62+K62</f>
        <v>1561056.31897246</v>
      </c>
      <c r="M62" s="1097">
        <f>H62*$S$45</f>
        <v>0</v>
      </c>
      <c r="N62" s="619">
        <f>L62+M62</f>
        <v>1561056.31897246</v>
      </c>
      <c r="O62" s="620"/>
      <c r="P62" s="619">
        <f>N62+O62</f>
        <v>1561056.31897246</v>
      </c>
    </row>
    <row r="63" spans="1:16" ht="15">
      <c r="A63" s="581" t="s">
        <v>560</v>
      </c>
      <c r="C63" s="689" t="s">
        <v>1277</v>
      </c>
      <c r="D63" s="690" t="s">
        <v>1278</v>
      </c>
      <c r="E63" s="586">
        <f>'Attach 11a - TEC Cost Support'!E11</f>
        <v>3207134.25</v>
      </c>
      <c r="F63" s="588">
        <f t="shared" si="0" ref="F63:F84">$I$33</f>
        <v>0.035263430024973751</v>
      </c>
      <c r="G63" s="618">
        <f t="shared" si="1" ref="G63:G68">E63*F63</f>
        <v>113094.55420557167</v>
      </c>
      <c r="H63" s="586">
        <f>'Attach 11a - TEC Cost Support'!AI11</f>
        <v>2734054.3432187499</v>
      </c>
      <c r="I63" s="588">
        <f t="shared" si="2" ref="I63:I84">$I$43</f>
        <v>0.087321995132401936</v>
      </c>
      <c r="J63" s="618">
        <f t="shared" si="3" ref="J63:J68">H63*I63</f>
        <v>238743.08005027004</v>
      </c>
      <c r="K63" s="860">
        <v>65746.252124999985</v>
      </c>
      <c r="L63" s="619">
        <f t="shared" si="4" ref="L63:L68">G63+J63+K63</f>
        <v>417583.88638084172</v>
      </c>
      <c r="M63" s="1097">
        <f t="shared" si="5" ref="M63:M68">H63*$S$45</f>
        <v>0</v>
      </c>
      <c r="N63" s="619">
        <f t="shared" si="6" ref="N63:N68">L63+M63</f>
        <v>417583.88638084172</v>
      </c>
      <c r="O63" s="620"/>
      <c r="P63" s="619">
        <f t="shared" si="7" ref="P63:P68">N63+O63</f>
        <v>417583.88638084172</v>
      </c>
    </row>
    <row r="64" spans="1:16" ht="15">
      <c r="A64" s="581" t="s">
        <v>561</v>
      </c>
      <c r="C64" s="689" t="s">
        <v>1279</v>
      </c>
      <c r="D64" s="690" t="s">
        <v>1280</v>
      </c>
      <c r="E64" s="586">
        <f>'Attach 11a - TEC Cost Support'!E12</f>
        <v>1380393.0999999999</v>
      </c>
      <c r="F64" s="588">
        <f t="shared" si="0"/>
        <v>0.035263430024973751</v>
      </c>
      <c r="G64" s="618">
        <f t="shared" si="1"/>
        <v>48677.395488806585</v>
      </c>
      <c r="H64" s="586">
        <f>'Attach 11a - TEC Cost Support'!AI12</f>
        <v>1071306.9740228404</v>
      </c>
      <c r="I64" s="588">
        <f t="shared" si="2"/>
        <v>0.087321995132401936</v>
      </c>
      <c r="J64" s="618">
        <f t="shared" si="3"/>
        <v>93548.662370930717</v>
      </c>
      <c r="K64" s="860">
        <v>28036.277029999997</v>
      </c>
      <c r="L64" s="619">
        <f t="shared" si="4"/>
        <v>170262.33488973731</v>
      </c>
      <c r="M64" s="1097">
        <f t="shared" si="5"/>
        <v>0</v>
      </c>
      <c r="N64" s="619">
        <f>L64+M64</f>
        <v>170262.33488973731</v>
      </c>
      <c r="O64" s="620"/>
      <c r="P64" s="619">
        <f t="shared" si="7"/>
        <v>170262.33488973731</v>
      </c>
    </row>
    <row r="65" spans="1:16" ht="15">
      <c r="A65" s="581" t="s">
        <v>1102</v>
      </c>
      <c r="C65" s="689" t="s">
        <v>1281</v>
      </c>
      <c r="D65" s="690" t="s">
        <v>1282</v>
      </c>
      <c r="E65" s="586">
        <f>'Attach 11a - TEC Cost Support'!E13</f>
        <v>1038334.66</v>
      </c>
      <c r="F65" s="588">
        <f t="shared" si="0"/>
        <v>0.035263430024973751</v>
      </c>
      <c r="G65" s="618">
        <f t="shared" si="1"/>
        <v>36615.241625414914</v>
      </c>
      <c r="H65" s="586">
        <f>'Attach 11a - TEC Cost Support'!AI13</f>
        <v>911581.5875380002</v>
      </c>
      <c r="I65" s="588">
        <f t="shared" si="2"/>
        <v>0.087321995132401936</v>
      </c>
      <c r="J65" s="618">
        <f t="shared" si="3"/>
        <v>79601.122949780489</v>
      </c>
      <c r="K65" s="860">
        <v>21285.860530000002</v>
      </c>
      <c r="L65" s="619">
        <f t="shared" si="4"/>
        <v>137502.22510519539</v>
      </c>
      <c r="M65" s="1097">
        <f t="shared" si="5"/>
        <v>0</v>
      </c>
      <c r="N65" s="619">
        <f>L65+M65</f>
        <v>137502.22510519539</v>
      </c>
      <c r="O65" s="620"/>
      <c r="P65" s="619">
        <f t="shared" si="7"/>
        <v>137502.22510519539</v>
      </c>
    </row>
    <row r="66" spans="1:16" ht="15">
      <c r="A66" s="581" t="s">
        <v>1103</v>
      </c>
      <c r="C66" s="689" t="s">
        <v>1283</v>
      </c>
      <c r="D66" s="690" t="s">
        <v>1284</v>
      </c>
      <c r="E66" s="586">
        <f>'Attach 11a - TEC Cost Support'!E14</f>
        <v>927946.83999999997</v>
      </c>
      <c r="F66" s="588">
        <f t="shared" si="0"/>
        <v>0.035263430024973751</v>
      </c>
      <c r="G66" s="618">
        <f t="shared" si="1"/>
        <v>32722.588459235511</v>
      </c>
      <c r="H66" s="586">
        <f>'Attach 11a - TEC Cost Support'!AI14</f>
        <v>790724.2593220002</v>
      </c>
      <c r="I66" s="588">
        <f t="shared" si="2"/>
        <v>0.087321995132401936</v>
      </c>
      <c r="J66" s="618">
        <f t="shared" si="3"/>
        <v>69047.61992358783</v>
      </c>
      <c r="K66" s="860">
        <v>19022.910219999994</v>
      </c>
      <c r="L66" s="619">
        <f t="shared" si="4"/>
        <v>120793.11860282334</v>
      </c>
      <c r="M66" s="1097">
        <f t="shared" si="5"/>
        <v>0</v>
      </c>
      <c r="N66" s="619">
        <f t="shared" si="6"/>
        <v>120793.11860282334</v>
      </c>
      <c r="O66" s="620"/>
      <c r="P66" s="619">
        <f t="shared" si="7"/>
        <v>120793.11860282334</v>
      </c>
    </row>
    <row r="67" spans="1:16" ht="15">
      <c r="A67" s="581" t="s">
        <v>1104</v>
      </c>
      <c r="C67" s="689" t="s">
        <v>1285</v>
      </c>
      <c r="D67" s="690" t="s">
        <v>1286</v>
      </c>
      <c r="E67" s="586">
        <f>'Attach 11a - TEC Cost Support'!E15</f>
        <v>2184960.5638461532</v>
      </c>
      <c r="F67" s="588">
        <f t="shared" si="0"/>
        <v>0.035263430024973751</v>
      </c>
      <c r="G67" s="618">
        <f t="shared" si="1"/>
        <v>77049.203950516021</v>
      </c>
      <c r="H67" s="586">
        <f>'Attach 11a - TEC Cost Support'!AI15</f>
        <v>1863692.2342356234</v>
      </c>
      <c r="I67" s="588">
        <f t="shared" si="2"/>
        <v>0.087321995132401936</v>
      </c>
      <c r="J67" s="618">
        <f t="shared" si="3"/>
        <v>162741.32420621839</v>
      </c>
      <c r="K67" s="860">
        <v>44346.619632216745</v>
      </c>
      <c r="L67" s="619">
        <f t="shared" si="4"/>
        <v>284137.14778895117</v>
      </c>
      <c r="M67" s="1097">
        <f t="shared" si="5"/>
        <v>0</v>
      </c>
      <c r="N67" s="619">
        <f t="shared" si="6"/>
        <v>284137.14778895117</v>
      </c>
      <c r="O67" s="620"/>
      <c r="P67" s="619">
        <f t="shared" si="7"/>
        <v>284137.14778895117</v>
      </c>
    </row>
    <row r="68" spans="1:16" ht="15">
      <c r="A68" s="581" t="s">
        <v>1105</v>
      </c>
      <c r="C68" s="689" t="s">
        <v>1287</v>
      </c>
      <c r="D68" s="690" t="s">
        <v>1288</v>
      </c>
      <c r="E68" s="586">
        <f>'Attach 11a - TEC Cost Support'!E16</f>
        <v>10820474.569230767</v>
      </c>
      <c r="F68" s="588">
        <f t="shared" si="0"/>
        <v>0.035263430024973751</v>
      </c>
      <c r="G68" s="618">
        <f t="shared" si="1"/>
        <v>381567.04780907714</v>
      </c>
      <c r="H68" s="586">
        <f>'Attach 11a - TEC Cost Support'!AI16</f>
        <v>9837162.8803413287</v>
      </c>
      <c r="I68" s="588">
        <f t="shared" si="2"/>
        <v>0.087321995132401936</v>
      </c>
      <c r="J68" s="618">
        <f t="shared" si="3"/>
        <v>859000.6891538105</v>
      </c>
      <c r="K68" s="860">
        <v>224176.51479798884</v>
      </c>
      <c r="L68" s="619">
        <f t="shared" si="4"/>
        <v>1464744.2517608765</v>
      </c>
      <c r="M68" s="1097">
        <f t="shared" si="5"/>
        <v>0</v>
      </c>
      <c r="N68" s="619">
        <f t="shared" si="6"/>
        <v>1464744.2517608765</v>
      </c>
      <c r="O68" s="620"/>
      <c r="P68" s="619">
        <f t="shared" si="7"/>
        <v>1464744.2517608765</v>
      </c>
    </row>
    <row r="69" spans="1:16" ht="25.5">
      <c r="A69" s="581" t="s">
        <v>1106</v>
      </c>
      <c r="C69" s="693" t="s">
        <v>1289</v>
      </c>
      <c r="D69" s="690" t="s">
        <v>1290</v>
      </c>
      <c r="E69" s="586">
        <f>'Attach 11a - TEC Cost Support'!E17</f>
        <v>63016199.793076925</v>
      </c>
      <c r="F69" s="588">
        <f>$I$33</f>
        <v>0.035263430024973751</v>
      </c>
      <c r="G69" s="618">
        <f>E69*F69</f>
        <v>2222167.3518429333</v>
      </c>
      <c r="H69" s="586">
        <f>'Attach 11a - TEC Cost Support'!AI17</f>
        <v>59947918.064008616</v>
      </c>
      <c r="I69" s="588">
        <f>$I$43</f>
        <v>0.087321995132401936</v>
      </c>
      <c r="J69" s="618">
        <f>H69*I69</f>
        <v>5234771.80938299</v>
      </c>
      <c r="K69" s="860">
        <v>1490307.8413823813</v>
      </c>
      <c r="L69" s="619">
        <f>G69+J69+K69</f>
        <v>8947247.0026083048</v>
      </c>
      <c r="M69" s="1097">
        <f>H69*$S$45</f>
        <v>0</v>
      </c>
      <c r="N69" s="619">
        <f>L69+M69</f>
        <v>8947247.0026083048</v>
      </c>
      <c r="O69" s="620"/>
      <c r="P69" s="619">
        <f>N69+O69</f>
        <v>8947247.0026083048</v>
      </c>
    </row>
    <row r="70" spans="1:16" ht="15">
      <c r="A70" s="581" t="s">
        <v>1145</v>
      </c>
      <c r="C70" s="693" t="s">
        <v>1137</v>
      </c>
      <c r="D70" s="690" t="s">
        <v>1138</v>
      </c>
      <c r="E70" s="586">
        <f>'Attach 11a - TEC Cost Support'!E18</f>
        <v>130995.06000000004</v>
      </c>
      <c r="F70" s="588">
        <f t="shared" si="8" ref="F70:F73">$I$33</f>
        <v>0.035263430024973751</v>
      </c>
      <c r="G70" s="618">
        <f t="shared" si="9" ref="G70:G73">E70*F70</f>
        <v>4619.3351319272397</v>
      </c>
      <c r="H70" s="586">
        <f>'Attach 11a - TEC Cost Support'!AI18</f>
        <v>105987.92571500005</v>
      </c>
      <c r="I70" s="588">
        <f t="shared" si="10" ref="I70:I73">$I$43</f>
        <v>0.087321995132401936</v>
      </c>
      <c r="J70" s="618">
        <f t="shared" si="11" ref="J70:J73">H70*I70</f>
        <v>9255.0771333786124</v>
      </c>
      <c r="K70" s="860">
        <v>2685.3987300000003</v>
      </c>
      <c r="L70" s="619">
        <f t="shared" si="12" ref="L70:L73">G70+J70+K70</f>
        <v>16559.810995305852</v>
      </c>
      <c r="M70" s="1097">
        <f>H70*$S$45</f>
        <v>0</v>
      </c>
      <c r="N70" s="619">
        <f t="shared" si="13" ref="N70:N73">L70+M70</f>
        <v>16559.810995305852</v>
      </c>
      <c r="O70" s="620"/>
      <c r="P70" s="619">
        <f t="shared" si="14" ref="P70:P73">N70+O70</f>
        <v>16559.810995305852</v>
      </c>
    </row>
    <row r="71" spans="1:16" ht="15">
      <c r="A71" s="581" t="s">
        <v>1107</v>
      </c>
      <c r="C71" s="693" t="s">
        <v>1139</v>
      </c>
      <c r="D71" s="690" t="s">
        <v>1140</v>
      </c>
      <c r="E71" s="586">
        <f>'Attach 11a - TEC Cost Support'!E19</f>
        <v>87274.759999999995</v>
      </c>
      <c r="F71" s="588">
        <f t="shared" si="8"/>
        <v>0.035263430024973751</v>
      </c>
      <c r="G71" s="618">
        <f t="shared" si="9"/>
        <v>3077.6073922063779</v>
      </c>
      <c r="H71" s="586">
        <f>'Attach 11a - TEC Cost Support'!AI19</f>
        <v>71849.98221687504</v>
      </c>
      <c r="I71" s="588">
        <f t="shared" si="10"/>
        <v>0.087321995132401936</v>
      </c>
      <c r="J71" s="618">
        <f t="shared" si="11"/>
        <v>6274.0837974051283</v>
      </c>
      <c r="K71" s="860">
        <v>1789.1325799999993</v>
      </c>
      <c r="L71" s="619">
        <f t="shared" si="12"/>
        <v>11140.823769611505</v>
      </c>
      <c r="M71" s="1097">
        <f t="shared" si="15" ref="M71:M73">H71*$S$45</f>
        <v>0</v>
      </c>
      <c r="N71" s="619">
        <f t="shared" si="13"/>
        <v>11140.823769611505</v>
      </c>
      <c r="O71" s="620"/>
      <c r="P71" s="619">
        <f t="shared" si="14"/>
        <v>11140.823769611505</v>
      </c>
    </row>
    <row r="72" spans="1:16" ht="15">
      <c r="A72" s="581" t="s">
        <v>1108</v>
      </c>
      <c r="C72" s="693" t="s">
        <v>1141</v>
      </c>
      <c r="D72" s="690" t="s">
        <v>1142</v>
      </c>
      <c r="E72" s="586">
        <f>'Attach 11a - TEC Cost Support'!E20</f>
        <v>52028.847692307696</v>
      </c>
      <c r="F72" s="588">
        <f t="shared" si="8"/>
        <v>0.035263430024973751</v>
      </c>
      <c r="G72" s="618">
        <f t="shared" si="9"/>
        <v>1834.7156298777095</v>
      </c>
      <c r="H72" s="586">
        <f>'Attach 11a - TEC Cost Support'!AI20</f>
        <v>45519.893639754388</v>
      </c>
      <c r="I72" s="588">
        <f t="shared" si="10"/>
        <v>0.087321995132401936</v>
      </c>
      <c r="J72" s="618">
        <f t="shared" si="11"/>
        <v>3974.8879308380865</v>
      </c>
      <c r="K72" s="860">
        <v>694.78752162718456</v>
      </c>
      <c r="L72" s="619">
        <f t="shared" si="12"/>
        <v>6504.3910823429796</v>
      </c>
      <c r="M72" s="1097">
        <f t="shared" si="15"/>
        <v>0</v>
      </c>
      <c r="N72" s="619">
        <f t="shared" si="13"/>
        <v>6504.3910823429796</v>
      </c>
      <c r="O72" s="620"/>
      <c r="P72" s="619">
        <f t="shared" si="14"/>
        <v>6504.3910823429796</v>
      </c>
    </row>
    <row r="73" spans="1:16" ht="15">
      <c r="A73" s="581" t="s">
        <v>1109</v>
      </c>
      <c r="C73" s="693" t="s">
        <v>1143</v>
      </c>
      <c r="D73" s="690" t="s">
        <v>1144</v>
      </c>
      <c r="E73" s="586">
        <f>'Attach 11a - TEC Cost Support'!E21</f>
        <v>60497.667692307696</v>
      </c>
      <c r="F73" s="588">
        <f t="shared" si="8"/>
        <v>0.035263430024973751</v>
      </c>
      <c r="G73" s="618">
        <f t="shared" si="9"/>
        <v>2133.3552713418076</v>
      </c>
      <c r="H73" s="586">
        <f>'Attach 11a - TEC Cost Support'!AI21</f>
        <v>59877.566598461541</v>
      </c>
      <c r="I73" s="588">
        <f t="shared" si="10"/>
        <v>0.087321995132401936</v>
      </c>
      <c r="J73" s="618">
        <f t="shared" si="11"/>
        <v>5228.628579050931</v>
      </c>
      <c r="K73" s="860">
        <v>1287.5710212499998</v>
      </c>
      <c r="L73" s="619">
        <f t="shared" si="12"/>
        <v>8649.5548716427384</v>
      </c>
      <c r="M73" s="1097">
        <f t="shared" si="15"/>
        <v>0</v>
      </c>
      <c r="N73" s="619">
        <f t="shared" si="13"/>
        <v>8649.5548716427384</v>
      </c>
      <c r="O73" s="620"/>
      <c r="P73" s="619">
        <f t="shared" si="14"/>
        <v>8649.5548716427384</v>
      </c>
    </row>
    <row r="74" spans="1:16" ht="30.6" customHeight="1">
      <c r="A74" s="581" t="s">
        <v>1117</v>
      </c>
      <c r="C74" s="693" t="s">
        <v>1291</v>
      </c>
      <c r="D74" s="690" t="s">
        <v>1292</v>
      </c>
      <c r="E74" s="586">
        <f>'Attach 11a - TEC Cost Support'!E22</f>
        <v>6067117.0823076917</v>
      </c>
      <c r="F74" s="588">
        <f>$I$33</f>
        <v>0.035263430024973751</v>
      </c>
      <c r="G74" s="618">
        <f>E74*F74</f>
        <v>213947.3586852802</v>
      </c>
      <c r="H74" s="586">
        <f>'Attach 11a - TEC Cost Support'!AI22</f>
        <v>5673756.3018689435</v>
      </c>
      <c r="I74" s="588">
        <f t="shared" si="2"/>
        <v>0.087321995132401936</v>
      </c>
      <c r="J74" s="618">
        <f>H74*I74</f>
        <v>495443.72017423471</v>
      </c>
      <c r="K74" s="860">
        <v>124307.26638847393</v>
      </c>
      <c r="L74" s="619">
        <f>G74+J74+K74</f>
        <v>833698.34524798882</v>
      </c>
      <c r="M74" s="1097">
        <f>H74*$S$45</f>
        <v>0</v>
      </c>
      <c r="N74" s="619">
        <f>L74+M74</f>
        <v>833698.34524798882</v>
      </c>
      <c r="O74" s="620"/>
      <c r="P74" s="619">
        <f>N74+O74</f>
        <v>833698.34524798882</v>
      </c>
    </row>
    <row r="75" spans="1:16" ht="30">
      <c r="A75" s="581" t="s">
        <v>1146</v>
      </c>
      <c r="C75" s="693" t="s">
        <v>1293</v>
      </c>
      <c r="D75" s="692" t="s">
        <v>1294</v>
      </c>
      <c r="E75" s="586">
        <f>'Attach 11a - TEC Cost Support'!E23</f>
        <v>2261219.2253846149</v>
      </c>
      <c r="F75" s="588">
        <f t="shared" si="0"/>
        <v>0.035263430024973751</v>
      </c>
      <c r="G75" s="618">
        <f t="shared" si="16" ref="G75:G84">E75*F75</f>
        <v>79738.345925475718</v>
      </c>
      <c r="H75" s="586">
        <f>'Attach 11a - TEC Cost Support'!AI23</f>
        <v>2039795.2835074246</v>
      </c>
      <c r="I75" s="588">
        <f t="shared" si="2"/>
        <v>0.087321995132401936</v>
      </c>
      <c r="J75" s="618">
        <f>H75*I75</f>
        <v>178118.99381753177</v>
      </c>
      <c r="K75" s="860">
        <v>50290.24748754243</v>
      </c>
      <c r="L75" s="619">
        <f t="shared" si="17" ref="L75:L84">G75+J75+K75</f>
        <v>308147.58723054995</v>
      </c>
      <c r="M75" s="1097">
        <f t="shared" si="18" ref="M75:M84">H75*$S$45</f>
        <v>0</v>
      </c>
      <c r="N75" s="619">
        <f t="shared" si="19" ref="N75:N84">L75+M75</f>
        <v>308147.58723054995</v>
      </c>
      <c r="O75" s="620"/>
      <c r="P75" s="619">
        <f t="shared" si="20" ref="P75:P84">N75+O75</f>
        <v>308147.58723054995</v>
      </c>
    </row>
    <row r="76" spans="1:16" ht="30">
      <c r="A76" s="581" t="s">
        <v>1147</v>
      </c>
      <c r="C76" s="693" t="s">
        <v>1293</v>
      </c>
      <c r="D76" s="692" t="s">
        <v>1295</v>
      </c>
      <c r="E76" s="586">
        <f>'Attach 11a - TEC Cost Support'!E24</f>
        <v>2261219.2253846149</v>
      </c>
      <c r="F76" s="588">
        <f t="shared" si="0"/>
        <v>0.035263430024973751</v>
      </c>
      <c r="G76" s="618">
        <f t="shared" si="16"/>
        <v>79738.345925475718</v>
      </c>
      <c r="H76" s="586">
        <f>'Attach 11a - TEC Cost Support'!AI24</f>
        <v>2039795.2835074246</v>
      </c>
      <c r="I76" s="588">
        <f t="shared" si="2"/>
        <v>0.087321995132401936</v>
      </c>
      <c r="J76" s="618">
        <f>H76*I76</f>
        <v>178118.99381753177</v>
      </c>
      <c r="K76" s="860">
        <v>50290.24748754243</v>
      </c>
      <c r="L76" s="619">
        <f t="shared" si="17"/>
        <v>308147.58723054995</v>
      </c>
      <c r="M76" s="1097">
        <f t="shared" si="18"/>
        <v>0</v>
      </c>
      <c r="N76" s="619">
        <f t="shared" si="19"/>
        <v>308147.58723054995</v>
      </c>
      <c r="O76" s="620"/>
      <c r="P76" s="619">
        <f t="shared" si="20"/>
        <v>308147.58723054995</v>
      </c>
    </row>
    <row r="77" spans="1:16" ht="15">
      <c r="A77" s="581" t="s">
        <v>1148</v>
      </c>
      <c r="C77" s="689" t="s">
        <v>1296</v>
      </c>
      <c r="D77" s="690" t="s">
        <v>1297</v>
      </c>
      <c r="E77" s="586">
        <f>'Attach 11a - TEC Cost Support'!E25</f>
        <v>6078227.2068307688</v>
      </c>
      <c r="F77" s="588">
        <f t="shared" si="0"/>
        <v>0.035263430024973751</v>
      </c>
      <c r="G77" s="618">
        <f t="shared" si="16"/>
        <v>214339.13978396848</v>
      </c>
      <c r="H77" s="586">
        <f>'Attach 11a - TEC Cost Support'!AI25</f>
        <v>5546434.4944770858</v>
      </c>
      <c r="I77" s="588">
        <f t="shared" si="2"/>
        <v>0.087321995132401936</v>
      </c>
      <c r="J77" s="618">
        <f t="shared" si="21" ref="J77:J84">H77*I77</f>
        <v>484325.72592891427</v>
      </c>
      <c r="K77" s="860">
        <v>124612.10086441724</v>
      </c>
      <c r="L77" s="619">
        <f t="shared" si="17"/>
        <v>823276.96657729999</v>
      </c>
      <c r="M77" s="1097">
        <f t="shared" si="18"/>
        <v>0</v>
      </c>
      <c r="N77" s="619">
        <f t="shared" si="19"/>
        <v>823276.96657729999</v>
      </c>
      <c r="O77" s="620"/>
      <c r="P77" s="619">
        <f t="shared" si="20"/>
        <v>823276.96657729999</v>
      </c>
    </row>
    <row r="78" spans="1:16" ht="15">
      <c r="A78" s="581" t="s">
        <v>1149</v>
      </c>
      <c r="C78" s="689" t="s">
        <v>1298</v>
      </c>
      <c r="D78" s="690" t="s">
        <v>1299</v>
      </c>
      <c r="E78" s="586">
        <f>'Attach 11a - TEC Cost Support'!E26</f>
        <v>2749765.0208615381</v>
      </c>
      <c r="F78" s="588">
        <f t="shared" si="0"/>
        <v>0.035263430024973751</v>
      </c>
      <c r="G78" s="618">
        <f t="shared" si="16"/>
        <v>96966.146398271332</v>
      </c>
      <c r="H78" s="586">
        <f>'Attach 11a - TEC Cost Support'!AI26</f>
        <v>2502586.3321995102</v>
      </c>
      <c r="I78" s="588">
        <f t="shared" si="2"/>
        <v>0.087321995132401936</v>
      </c>
      <c r="J78" s="618">
        <f t="shared" si="21"/>
        <v>218530.83151874124</v>
      </c>
      <c r="K78" s="860">
        <v>65956.730176577505</v>
      </c>
      <c r="L78" s="619">
        <f t="shared" si="17"/>
        <v>381453.7080935901</v>
      </c>
      <c r="M78" s="1097">
        <f t="shared" si="18"/>
        <v>0</v>
      </c>
      <c r="N78" s="619">
        <f t="shared" si="19"/>
        <v>381453.7080935901</v>
      </c>
      <c r="O78" s="620"/>
      <c r="P78" s="619">
        <f t="shared" si="20"/>
        <v>381453.7080935901</v>
      </c>
    </row>
    <row r="79" spans="1:16" ht="15">
      <c r="A79" s="581" t="s">
        <v>1226</v>
      </c>
      <c r="C79" s="689" t="s">
        <v>1227</v>
      </c>
      <c r="D79" s="690" t="s">
        <v>1228</v>
      </c>
      <c r="E79" s="586">
        <f>'Attach 11a - TEC Cost Support'!E27</f>
        <v>98163360.814615384</v>
      </c>
      <c r="F79" s="588">
        <f t="shared" si="0"/>
        <v>0.035263430024973751</v>
      </c>
      <c r="G79" s="618">
        <f t="shared" si="16"/>
        <v>3461576.8051024401</v>
      </c>
      <c r="H79" s="586">
        <f>'Attach 11a - TEC Cost Support'!AI27</f>
        <v>94631066.66447486</v>
      </c>
      <c r="I79" s="588">
        <f t="shared" si="2"/>
        <v>0.087321995132401936</v>
      </c>
      <c r="J79" s="618">
        <f t="shared" si="21"/>
        <v>8263373.5426492766</v>
      </c>
      <c r="K79" s="860">
        <v>2312729.6724350359</v>
      </c>
      <c r="L79" s="619">
        <f t="shared" si="17"/>
        <v>14037680.020186752</v>
      </c>
      <c r="M79" s="1097">
        <f t="shared" si="18"/>
        <v>0</v>
      </c>
      <c r="N79" s="619">
        <f t="shared" si="19"/>
        <v>14037680.020186752</v>
      </c>
      <c r="O79" s="620"/>
      <c r="P79" s="619">
        <f t="shared" si="20"/>
        <v>14037680.020186752</v>
      </c>
    </row>
    <row r="80" spans="1:16" ht="25.5">
      <c r="A80" s="581" t="s">
        <v>1260</v>
      </c>
      <c r="C80" s="1127" t="s">
        <v>1302</v>
      </c>
      <c r="D80" s="1126" t="s">
        <v>1303</v>
      </c>
      <c r="E80" s="586">
        <f>'Attach 11a - TEC Cost Support'!E28</f>
        <v>0</v>
      </c>
      <c r="F80" s="588">
        <f t="shared" si="0"/>
        <v>0.035263430024973751</v>
      </c>
      <c r="G80" s="618">
        <f t="shared" si="16"/>
        <v>0</v>
      </c>
      <c r="H80" s="586">
        <f>'Attach 11a - TEC Cost Support'!AI28</f>
        <v>0</v>
      </c>
      <c r="I80" s="588">
        <f t="shared" si="2"/>
        <v>0.087321995132401936</v>
      </c>
      <c r="J80" s="618">
        <f t="shared" si="21"/>
        <v>0</v>
      </c>
      <c r="K80" s="859">
        <v>0</v>
      </c>
      <c r="L80" s="621">
        <f t="shared" si="17"/>
        <v>0</v>
      </c>
      <c r="M80" s="1097">
        <f t="shared" si="18"/>
        <v>0</v>
      </c>
      <c r="N80" s="619">
        <f t="shared" si="19"/>
        <v>0</v>
      </c>
      <c r="O80" s="1149"/>
      <c r="P80" s="619">
        <f t="shared" si="20"/>
        <v>0</v>
      </c>
    </row>
    <row r="81" spans="1:16" ht="15">
      <c r="A81" s="581" t="s">
        <v>1261</v>
      </c>
      <c r="C81" s="1127" t="s">
        <v>1304</v>
      </c>
      <c r="D81" s="1126" t="s">
        <v>1305</v>
      </c>
      <c r="E81" s="586">
        <f>'Attach 11a - TEC Cost Support'!E29</f>
        <v>0</v>
      </c>
      <c r="F81" s="588">
        <f t="shared" si="0"/>
        <v>0.035263430024973751</v>
      </c>
      <c r="G81" s="618">
        <f t="shared" si="16"/>
        <v>0</v>
      </c>
      <c r="H81" s="586">
        <f>'Attach 11a - TEC Cost Support'!AI29</f>
        <v>0</v>
      </c>
      <c r="I81" s="588">
        <f t="shared" si="2"/>
        <v>0.087321995132401936</v>
      </c>
      <c r="J81" s="618">
        <f t="shared" si="21"/>
        <v>0</v>
      </c>
      <c r="K81" s="860">
        <v>0</v>
      </c>
      <c r="L81" s="621">
        <f t="shared" si="17"/>
        <v>0</v>
      </c>
      <c r="M81" s="1097">
        <f t="shared" si="18"/>
        <v>0</v>
      </c>
      <c r="N81" s="619">
        <f t="shared" si="19"/>
        <v>0</v>
      </c>
      <c r="O81" s="1149"/>
      <c r="P81" s="619">
        <f t="shared" si="20"/>
        <v>0</v>
      </c>
    </row>
    <row r="82" spans="1:16" ht="15">
      <c r="A82" s="581" t="s">
        <v>1262</v>
      </c>
      <c r="C82" s="1127" t="s">
        <v>1263</v>
      </c>
      <c r="D82" s="1126" t="s">
        <v>1257</v>
      </c>
      <c r="E82" s="586">
        <f>'Attach 11a - TEC Cost Support'!E30</f>
        <v>0</v>
      </c>
      <c r="F82" s="588">
        <f t="shared" si="0"/>
        <v>0.035263430024973751</v>
      </c>
      <c r="G82" s="618">
        <f t="shared" si="16"/>
        <v>0</v>
      </c>
      <c r="H82" s="586">
        <f>'Attach 11a - TEC Cost Support'!AI30</f>
        <v>0</v>
      </c>
      <c r="I82" s="588">
        <f t="shared" si="2"/>
        <v>0.087321995132401936</v>
      </c>
      <c r="J82" s="618">
        <f t="shared" si="21"/>
        <v>0</v>
      </c>
      <c r="K82" s="860">
        <v>0</v>
      </c>
      <c r="L82" s="621">
        <f t="shared" si="17"/>
        <v>0</v>
      </c>
      <c r="M82" s="1097">
        <f t="shared" si="18"/>
        <v>0</v>
      </c>
      <c r="N82" s="619">
        <f t="shared" si="19"/>
        <v>0</v>
      </c>
      <c r="O82" s="1149"/>
      <c r="P82" s="619">
        <f t="shared" si="20"/>
        <v>0</v>
      </c>
    </row>
    <row r="83" spans="1:16" ht="25.5">
      <c r="A83" s="581" t="s">
        <v>1300</v>
      </c>
      <c r="C83" s="1127" t="s">
        <v>1264</v>
      </c>
      <c r="D83" s="1126" t="s">
        <v>1258</v>
      </c>
      <c r="E83" s="586">
        <f>'Attach 11a - TEC Cost Support'!E31</f>
        <v>0</v>
      </c>
      <c r="F83" s="588">
        <f t="shared" si="0"/>
        <v>0.035263430024973751</v>
      </c>
      <c r="G83" s="618">
        <f t="shared" si="16"/>
        <v>0</v>
      </c>
      <c r="H83" s="586">
        <f>'Attach 11a - TEC Cost Support'!AI31</f>
        <v>0</v>
      </c>
      <c r="I83" s="588">
        <f t="shared" si="2"/>
        <v>0.087321995132401936</v>
      </c>
      <c r="J83" s="618">
        <f t="shared" si="21"/>
        <v>0</v>
      </c>
      <c r="K83" s="860">
        <v>0</v>
      </c>
      <c r="L83" s="621">
        <f t="shared" si="17"/>
        <v>0</v>
      </c>
      <c r="M83" s="1097">
        <f t="shared" si="18"/>
        <v>0</v>
      </c>
      <c r="N83" s="619">
        <f t="shared" si="19"/>
        <v>0</v>
      </c>
      <c r="O83" s="1149"/>
      <c r="P83" s="619">
        <f t="shared" si="20"/>
        <v>0</v>
      </c>
    </row>
    <row r="84" spans="1:16" ht="25.5">
      <c r="A84" s="581" t="s">
        <v>1301</v>
      </c>
      <c r="C84" s="1127" t="s">
        <v>1265</v>
      </c>
      <c r="D84" s="1126" t="s">
        <v>1259</v>
      </c>
      <c r="E84" s="586">
        <f>'Attach 11a - TEC Cost Support'!E32</f>
        <v>0</v>
      </c>
      <c r="F84" s="588">
        <f t="shared" si="0"/>
        <v>0.035263430024973751</v>
      </c>
      <c r="G84" s="618">
        <f t="shared" si="16"/>
        <v>0</v>
      </c>
      <c r="H84" s="586">
        <f>'Attach 11a - TEC Cost Support'!AI32</f>
        <v>0</v>
      </c>
      <c r="I84" s="588">
        <f t="shared" si="2"/>
        <v>0.087321995132401936</v>
      </c>
      <c r="J84" s="618">
        <f t="shared" si="21"/>
        <v>0</v>
      </c>
      <c r="K84" s="860">
        <v>0</v>
      </c>
      <c r="L84" s="621">
        <f t="shared" si="17"/>
        <v>0</v>
      </c>
      <c r="M84" s="1097">
        <f t="shared" si="18"/>
        <v>0</v>
      </c>
      <c r="N84" s="619">
        <f t="shared" si="19"/>
        <v>0</v>
      </c>
      <c r="O84" s="1149"/>
      <c r="P84" s="619">
        <f t="shared" si="20"/>
        <v>0</v>
      </c>
    </row>
    <row r="85" spans="1:16" ht="15">
      <c r="A85" s="622"/>
      <c r="B85" s="600"/>
      <c r="C85" s="623"/>
      <c r="D85" s="623"/>
      <c r="E85" s="623"/>
      <c r="F85" s="623"/>
      <c r="G85" s="624"/>
      <c r="H85" s="623"/>
      <c r="I85" s="623"/>
      <c r="J85" s="624"/>
      <c r="K85" s="623"/>
      <c r="L85" s="624"/>
      <c r="M85" s="624"/>
      <c r="N85" s="624"/>
      <c r="O85" s="624"/>
      <c r="P85" s="624"/>
    </row>
    <row r="86" spans="1:16" ht="15">
      <c r="A86" s="573" t="s">
        <v>245</v>
      </c>
      <c r="C86" s="562" t="s">
        <v>693</v>
      </c>
      <c r="D86" s="576"/>
      <c r="E86" s="589"/>
      <c r="F86" s="589"/>
      <c r="G86" s="578"/>
      <c r="H86" s="578"/>
      <c r="I86" s="578"/>
      <c r="J86" s="578"/>
      <c r="K86" s="578"/>
      <c r="L86" s="625"/>
      <c r="M86" s="625"/>
      <c r="N86" s="1110">
        <f>SUM(N62:N85)</f>
        <v>29838585.081394825</v>
      </c>
      <c r="O86" s="586"/>
      <c r="P86" s="625"/>
    </row>
    <row r="87" spans="1:15" ht="15">
      <c r="A87" s="626" t="s">
        <v>246</v>
      </c>
      <c r="B87" s="277"/>
      <c r="C87" s="562" t="s">
        <v>816</v>
      </c>
      <c r="D87" s="277"/>
      <c r="E87" s="277"/>
      <c r="F87" s="277"/>
      <c r="G87" s="277"/>
      <c r="H87" s="277"/>
      <c r="I87" s="277"/>
      <c r="J87" s="277"/>
      <c r="K87" s="277"/>
      <c r="L87" s="277"/>
      <c r="M87" s="277">
        <f>SUM(M62:M85)</f>
        <v>0</v>
      </c>
      <c r="N87" s="277"/>
      <c r="O87" s="277"/>
    </row>
    <row r="88" spans="1:15" ht="15">
      <c r="A88" s="277"/>
      <c r="B88" s="277"/>
      <c r="C88" s="277"/>
      <c r="D88" s="277"/>
      <c r="E88" s="277"/>
      <c r="F88" s="277"/>
      <c r="G88" s="277"/>
      <c r="H88" s="277"/>
      <c r="I88" s="277"/>
      <c r="J88" s="277"/>
      <c r="K88" s="277"/>
      <c r="L88" s="277"/>
      <c r="M88" s="277"/>
      <c r="N88" s="277"/>
      <c r="O88" s="277"/>
    </row>
    <row r="89" spans="1:12" ht="15">
      <c r="A89" s="627" t="s">
        <v>230</v>
      </c>
      <c r="B89" s="277"/>
      <c r="C89" s="277"/>
      <c r="D89" s="277"/>
      <c r="E89" s="277"/>
      <c r="F89" s="277"/>
      <c r="G89" s="277"/>
      <c r="H89" s="277"/>
      <c r="I89" s="277"/>
      <c r="J89" s="277"/>
      <c r="K89" s="277"/>
      <c r="L89" s="277"/>
    </row>
    <row r="90" spans="1:12" ht="15">
      <c r="A90" s="589" t="s">
        <v>123</v>
      </c>
      <c r="C90" s="1208" t="s">
        <v>694</v>
      </c>
      <c r="D90" s="1208"/>
      <c r="E90" s="1208"/>
      <c r="F90" s="1208"/>
      <c r="G90" s="1208"/>
      <c r="H90" s="1208"/>
      <c r="I90" s="1208"/>
      <c r="J90" s="1208"/>
      <c r="K90" s="1208"/>
      <c r="L90" s="1208"/>
    </row>
    <row r="91" spans="1:12" ht="15">
      <c r="A91" s="589" t="s">
        <v>124</v>
      </c>
      <c r="C91" s="1208" t="s">
        <v>695</v>
      </c>
      <c r="D91" s="1208"/>
      <c r="E91" s="1208"/>
      <c r="F91" s="1208"/>
      <c r="G91" s="1208"/>
      <c r="H91" s="1208"/>
      <c r="I91" s="1208"/>
      <c r="J91" s="1208"/>
      <c r="K91" s="1208"/>
      <c r="L91" s="1208"/>
    </row>
    <row r="92" spans="1:12" ht="15" customHeight="1">
      <c r="A92" s="628" t="s">
        <v>125</v>
      </c>
      <c r="C92" s="1204" t="s">
        <v>232</v>
      </c>
      <c r="D92" s="1204"/>
      <c r="E92" s="1204"/>
      <c r="F92" s="1204"/>
      <c r="G92" s="1204"/>
      <c r="H92" s="1204"/>
      <c r="I92" s="1204"/>
      <c r="J92" s="1204"/>
      <c r="K92" s="1204"/>
      <c r="L92" s="1204"/>
    </row>
    <row r="93" spans="1:12" ht="15">
      <c r="A93" s="628" t="s">
        <v>126</v>
      </c>
      <c r="C93" s="1204" t="s">
        <v>220</v>
      </c>
      <c r="D93" s="1204"/>
      <c r="E93" s="1204"/>
      <c r="F93" s="1204"/>
      <c r="G93" s="1204"/>
      <c r="H93" s="1204"/>
      <c r="I93" s="1204"/>
      <c r="J93" s="1204"/>
      <c r="K93" s="1204"/>
      <c r="L93" s="1204"/>
    </row>
    <row r="94" spans="1:12" ht="15">
      <c r="A94" s="589" t="s">
        <v>127</v>
      </c>
      <c r="C94" s="1208" t="s">
        <v>768</v>
      </c>
      <c r="D94" s="1208"/>
      <c r="E94" s="1208"/>
      <c r="F94" s="1208"/>
      <c r="G94" s="1208"/>
      <c r="H94" s="1208"/>
      <c r="I94" s="1208"/>
      <c r="J94" s="1208"/>
      <c r="K94" s="1208"/>
      <c r="L94" s="1208"/>
    </row>
    <row r="95" spans="1:3" ht="15">
      <c r="A95" s="589" t="s">
        <v>128</v>
      </c>
      <c r="C95" s="562" t="s">
        <v>595</v>
      </c>
    </row>
    <row r="96" spans="1:3" ht="15">
      <c r="A96" s="589" t="s">
        <v>129</v>
      </c>
      <c r="C96" s="562" t="s">
        <v>769</v>
      </c>
    </row>
    <row r="97" spans="1:10" ht="15">
      <c r="A97" s="589" t="s">
        <v>131</v>
      </c>
      <c r="C97" s="562" t="s">
        <v>445</v>
      </c>
      <c r="D97" s="573"/>
      <c r="E97" s="589"/>
      <c r="F97" s="589"/>
      <c r="G97" s="578"/>
      <c r="J97" s="630"/>
    </row>
    <row r="98" spans="1:10" ht="15">
      <c r="A98" s="573"/>
      <c r="C98" s="650"/>
      <c r="D98" s="573"/>
      <c r="E98" s="589"/>
      <c r="F98" s="589"/>
      <c r="G98" s="578"/>
      <c r="J98" s="630"/>
    </row>
    <row r="99" spans="3:12" ht="15">
      <c r="C99" s="277"/>
      <c r="D99" s="277"/>
      <c r="E99" s="277"/>
      <c r="F99" s="277"/>
      <c r="G99" s="277"/>
      <c r="H99" s="277"/>
      <c r="I99" s="277"/>
      <c r="J99" s="277"/>
      <c r="K99" s="277"/>
      <c r="L99" s="277"/>
    </row>
    <row r="100" spans="3:12" ht="15">
      <c r="C100" s="277"/>
      <c r="D100" s="277"/>
      <c r="E100" s="277"/>
      <c r="F100" s="277"/>
      <c r="G100" s="277"/>
      <c r="H100" s="277"/>
      <c r="I100" s="277"/>
      <c r="J100" s="277"/>
      <c r="K100" s="277"/>
      <c r="L100" s="277"/>
    </row>
    <row r="101" spans="3:12" ht="15">
      <c r="C101" s="277"/>
      <c r="D101" s="277"/>
      <c r="E101" s="277"/>
      <c r="F101" s="277"/>
      <c r="G101" s="277"/>
      <c r="H101" s="277"/>
      <c r="I101" s="277"/>
      <c r="J101" s="277"/>
      <c r="K101" s="277"/>
      <c r="L101" s="277"/>
    </row>
    <row r="102" spans="3:12" ht="15">
      <c r="C102" s="277"/>
      <c r="D102" s="277"/>
      <c r="E102" s="277"/>
      <c r="F102" s="277"/>
      <c r="G102" s="277"/>
      <c r="H102" s="277"/>
      <c r="I102" s="277"/>
      <c r="J102" s="277"/>
      <c r="K102" s="277"/>
      <c r="L102" s="277"/>
    </row>
    <row r="103" spans="3:12" ht="15">
      <c r="C103" s="277"/>
      <c r="D103" s="277"/>
      <c r="E103" s="277"/>
      <c r="F103" s="277"/>
      <c r="G103" s="277"/>
      <c r="H103" s="277"/>
      <c r="I103" s="277"/>
      <c r="J103" s="277"/>
      <c r="K103" s="277"/>
      <c r="L103" s="277"/>
    </row>
    <row r="104" spans="3:12" ht="15">
      <c r="C104" s="277"/>
      <c r="D104" s="277"/>
      <c r="E104" s="277"/>
      <c r="F104" s="277"/>
      <c r="G104" s="277"/>
      <c r="H104" s="277"/>
      <c r="I104" s="277"/>
      <c r="J104" s="277"/>
      <c r="K104" s="277"/>
      <c r="L104" s="277"/>
    </row>
    <row r="105" spans="3:12" ht="15">
      <c r="C105" s="277"/>
      <c r="D105" s="277"/>
      <c r="E105" s="277"/>
      <c r="F105" s="277"/>
      <c r="G105" s="277"/>
      <c r="H105" s="277"/>
      <c r="I105" s="277"/>
      <c r="J105" s="277"/>
      <c r="K105" s="277"/>
      <c r="L105" s="277"/>
    </row>
    <row r="106" spans="3:12" ht="15">
      <c r="C106" s="277"/>
      <c r="D106" s="277"/>
      <c r="E106" s="277"/>
      <c r="F106" s="277"/>
      <c r="G106" s="277"/>
      <c r="H106" s="277"/>
      <c r="I106" s="277"/>
      <c r="J106" s="277"/>
      <c r="K106" s="277"/>
      <c r="L106" s="277"/>
    </row>
    <row r="107" spans="3:12" ht="15">
      <c r="C107" s="277"/>
      <c r="D107" s="277"/>
      <c r="E107" s="277"/>
      <c r="F107" s="277"/>
      <c r="G107" s="277"/>
      <c r="H107" s="277"/>
      <c r="I107" s="277"/>
      <c r="J107" s="277"/>
      <c r="K107" s="277"/>
      <c r="L107" s="277"/>
    </row>
    <row r="108" spans="3:12" ht="15">
      <c r="C108" s="277"/>
      <c r="D108" s="277"/>
      <c r="E108" s="277"/>
      <c r="F108" s="277"/>
      <c r="G108" s="277"/>
      <c r="H108" s="277"/>
      <c r="I108" s="277"/>
      <c r="J108" s="277"/>
      <c r="K108" s="277"/>
      <c r="L108" s="277"/>
    </row>
    <row r="109" spans="3:12" ht="15">
      <c r="C109" s="277"/>
      <c r="D109" s="277"/>
      <c r="E109" s="277"/>
      <c r="F109" s="277"/>
      <c r="G109" s="277"/>
      <c r="H109" s="277"/>
      <c r="I109" s="277"/>
      <c r="J109" s="277"/>
      <c r="K109" s="277"/>
      <c r="L109" s="277"/>
    </row>
    <row r="110" spans="3:12" ht="15">
      <c r="C110" s="277"/>
      <c r="D110" s="277"/>
      <c r="E110" s="277"/>
      <c r="F110" s="277"/>
      <c r="G110" s="277"/>
      <c r="H110" s="277"/>
      <c r="I110" s="277"/>
      <c r="J110" s="277"/>
      <c r="K110" s="277"/>
      <c r="L110" s="277"/>
    </row>
    <row r="111" spans="3:12" ht="15">
      <c r="C111" s="277"/>
      <c r="D111" s="277"/>
      <c r="E111" s="277"/>
      <c r="F111" s="277"/>
      <c r="G111" s="277"/>
      <c r="H111" s="277"/>
      <c r="I111" s="277"/>
      <c r="J111" s="277"/>
      <c r="K111" s="277"/>
      <c r="L111" s="277"/>
    </row>
    <row r="112" spans="3:12" ht="15">
      <c r="C112" s="277"/>
      <c r="D112" s="277"/>
      <c r="E112" s="277"/>
      <c r="F112" s="277"/>
      <c r="G112" s="277"/>
      <c r="H112" s="277"/>
      <c r="I112" s="277"/>
      <c r="J112" s="277"/>
      <c r="K112" s="277"/>
      <c r="L112" s="277"/>
    </row>
    <row r="113" spans="3:12" ht="15">
      <c r="C113" s="277"/>
      <c r="D113" s="277"/>
      <c r="E113" s="277"/>
      <c r="F113" s="277"/>
      <c r="G113" s="277"/>
      <c r="H113" s="277"/>
      <c r="I113" s="277"/>
      <c r="J113" s="277"/>
      <c r="K113" s="277"/>
      <c r="L113" s="277"/>
    </row>
    <row r="114" spans="3:12" ht="15">
      <c r="C114" s="277"/>
      <c r="D114" s="277"/>
      <c r="E114" s="277"/>
      <c r="F114" s="277"/>
      <c r="G114" s="277"/>
      <c r="H114" s="277"/>
      <c r="I114" s="277"/>
      <c r="J114" s="277"/>
      <c r="K114" s="277"/>
      <c r="L114" s="277"/>
    </row>
    <row r="115" spans="3:12" ht="15">
      <c r="C115" s="277"/>
      <c r="D115" s="277"/>
      <c r="E115" s="277"/>
      <c r="F115" s="277"/>
      <c r="G115" s="277"/>
      <c r="H115" s="277"/>
      <c r="I115" s="277"/>
      <c r="J115" s="277"/>
      <c r="K115" s="277"/>
      <c r="L115" s="277"/>
    </row>
    <row r="116" spans="3:12" ht="15">
      <c r="C116" s="277"/>
      <c r="D116" s="277"/>
      <c r="E116" s="277"/>
      <c r="F116" s="277"/>
      <c r="G116" s="277"/>
      <c r="H116" s="277"/>
      <c r="I116" s="277"/>
      <c r="J116" s="277"/>
      <c r="K116" s="277"/>
      <c r="L116" s="277"/>
    </row>
    <row r="117" spans="3:12" ht="15">
      <c r="C117" s="277"/>
      <c r="D117" s="277"/>
      <c r="E117" s="277"/>
      <c r="F117" s="277"/>
      <c r="G117" s="277"/>
      <c r="H117" s="277"/>
      <c r="I117" s="277"/>
      <c r="J117" s="277"/>
      <c r="K117" s="277"/>
      <c r="L117" s="277"/>
    </row>
    <row r="118" spans="3:12" ht="15">
      <c r="C118" s="277"/>
      <c r="D118" s="277"/>
      <c r="E118" s="277"/>
      <c r="F118" s="277"/>
      <c r="G118" s="277"/>
      <c r="H118" s="277"/>
      <c r="I118" s="277"/>
      <c r="J118" s="277"/>
      <c r="K118" s="277"/>
      <c r="L118" s="277"/>
    </row>
    <row r="119" spans="3:12" ht="15">
      <c r="C119" s="277"/>
      <c r="D119" s="277"/>
      <c r="E119" s="277"/>
      <c r="F119" s="277"/>
      <c r="G119" s="277"/>
      <c r="H119" s="277"/>
      <c r="I119" s="277"/>
      <c r="J119" s="277"/>
      <c r="K119" s="277"/>
      <c r="L119" s="277"/>
    </row>
    <row r="120" spans="3:12" ht="15">
      <c r="C120" s="277"/>
      <c r="D120" s="277"/>
      <c r="E120" s="277"/>
      <c r="F120" s="277"/>
      <c r="G120" s="277"/>
      <c r="H120" s="277"/>
      <c r="I120" s="277"/>
      <c r="J120" s="277"/>
      <c r="K120" s="277"/>
      <c r="L120" s="277"/>
    </row>
    <row r="121" spans="3:12" ht="15">
      <c r="C121" s="277"/>
      <c r="D121" s="277"/>
      <c r="E121" s="277"/>
      <c r="F121" s="277"/>
      <c r="G121" s="277"/>
      <c r="H121" s="277"/>
      <c r="I121" s="277"/>
      <c r="J121" s="277"/>
      <c r="K121" s="277"/>
      <c r="L121" s="277"/>
    </row>
    <row r="122" spans="3:12" ht="15">
      <c r="C122" s="277"/>
      <c r="D122" s="277"/>
      <c r="E122" s="277"/>
      <c r="F122" s="277"/>
      <c r="G122" s="277"/>
      <c r="H122" s="277"/>
      <c r="I122" s="277"/>
      <c r="J122" s="277"/>
      <c r="K122" s="277"/>
      <c r="L122" s="277"/>
    </row>
    <row r="123" spans="3:12" ht="15">
      <c r="C123" s="277"/>
      <c r="D123" s="277"/>
      <c r="E123" s="277"/>
      <c r="F123" s="277"/>
      <c r="G123" s="277"/>
      <c r="H123" s="277"/>
      <c r="I123" s="277"/>
      <c r="J123" s="277"/>
      <c r="K123" s="277"/>
      <c r="L123" s="277"/>
    </row>
    <row r="124" spans="3:12" ht="15">
      <c r="C124" s="277"/>
      <c r="D124" s="277"/>
      <c r="E124" s="277"/>
      <c r="F124" s="277"/>
      <c r="G124" s="277"/>
      <c r="H124" s="277"/>
      <c r="I124" s="277"/>
      <c r="J124" s="277"/>
      <c r="K124" s="277"/>
      <c r="L124" s="277"/>
    </row>
    <row r="125" spans="3:12" ht="15">
      <c r="C125" s="277"/>
      <c r="D125" s="277"/>
      <c r="E125" s="277"/>
      <c r="F125" s="277"/>
      <c r="G125" s="277"/>
      <c r="H125" s="277"/>
      <c r="I125" s="277"/>
      <c r="J125" s="277"/>
      <c r="K125" s="277"/>
      <c r="L125" s="277"/>
    </row>
    <row r="126" spans="3:12" ht="15">
      <c r="C126" s="277"/>
      <c r="D126" s="277"/>
      <c r="E126" s="277"/>
      <c r="F126" s="277"/>
      <c r="G126" s="277"/>
      <c r="H126" s="277"/>
      <c r="I126" s="277"/>
      <c r="J126" s="277"/>
      <c r="K126" s="277"/>
      <c r="L126" s="277"/>
    </row>
    <row r="127" spans="3:12" ht="15">
      <c r="C127" s="277"/>
      <c r="D127" s="277"/>
      <c r="E127" s="277"/>
      <c r="F127" s="277"/>
      <c r="G127" s="277"/>
      <c r="H127" s="277"/>
      <c r="I127" s="277"/>
      <c r="J127" s="277"/>
      <c r="K127" s="277"/>
      <c r="L127" s="277"/>
    </row>
    <row r="128" spans="3:12" ht="15">
      <c r="C128" s="277"/>
      <c r="D128" s="277"/>
      <c r="E128" s="277"/>
      <c r="F128" s="277"/>
      <c r="G128" s="277"/>
      <c r="H128" s="277"/>
      <c r="I128" s="277"/>
      <c r="J128" s="277"/>
      <c r="K128" s="277"/>
      <c r="L128" s="277"/>
    </row>
    <row r="129" spans="3:12" ht="15">
      <c r="C129" s="277"/>
      <c r="D129" s="277"/>
      <c r="E129" s="277"/>
      <c r="F129" s="277"/>
      <c r="G129" s="277"/>
      <c r="H129" s="277"/>
      <c r="I129" s="277"/>
      <c r="J129" s="277"/>
      <c r="K129" s="277"/>
      <c r="L129" s="277"/>
    </row>
    <row r="130" spans="3:12" ht="15">
      <c r="C130" s="277"/>
      <c r="D130" s="277"/>
      <c r="E130" s="277"/>
      <c r="F130" s="277"/>
      <c r="G130" s="277"/>
      <c r="H130" s="277"/>
      <c r="I130" s="277"/>
      <c r="J130" s="277"/>
      <c r="K130" s="277"/>
      <c r="L130" s="277"/>
    </row>
    <row r="131" spans="3:12" ht="15">
      <c r="C131" s="277"/>
      <c r="D131" s="277"/>
      <c r="E131" s="277"/>
      <c r="F131" s="277"/>
      <c r="G131" s="277"/>
      <c r="H131" s="277"/>
      <c r="I131" s="277"/>
      <c r="J131" s="277"/>
      <c r="K131" s="277"/>
      <c r="L131" s="277"/>
    </row>
    <row r="132" spans="3:12" ht="15">
      <c r="C132" s="277"/>
      <c r="D132" s="277"/>
      <c r="E132" s="277"/>
      <c r="F132" s="277"/>
      <c r="G132" s="277"/>
      <c r="H132" s="277"/>
      <c r="I132" s="277"/>
      <c r="J132" s="277"/>
      <c r="K132" s="277"/>
      <c r="L132" s="277"/>
    </row>
    <row r="133" spans="3:12" ht="15">
      <c r="C133" s="277"/>
      <c r="D133" s="277"/>
      <c r="E133" s="277"/>
      <c r="F133" s="277"/>
      <c r="G133" s="277"/>
      <c r="H133" s="277"/>
      <c r="I133" s="277"/>
      <c r="J133" s="277"/>
      <c r="K133" s="277"/>
      <c r="L133" s="277"/>
    </row>
    <row r="134" spans="3:12" ht="15">
      <c r="C134" s="277"/>
      <c r="D134" s="277"/>
      <c r="E134" s="277"/>
      <c r="F134" s="277"/>
      <c r="G134" s="277"/>
      <c r="H134" s="277"/>
      <c r="I134" s="277"/>
      <c r="J134" s="277"/>
      <c r="K134" s="277"/>
      <c r="L134" s="277"/>
    </row>
    <row r="135" spans="3:12" ht="15">
      <c r="C135" s="277"/>
      <c r="D135" s="277"/>
      <c r="E135" s="277"/>
      <c r="F135" s="277"/>
      <c r="G135" s="277"/>
      <c r="H135" s="277"/>
      <c r="I135" s="277"/>
      <c r="J135" s="277"/>
      <c r="K135" s="277"/>
      <c r="L135" s="277"/>
    </row>
    <row r="136" spans="3:12" ht="15">
      <c r="C136" s="277"/>
      <c r="D136" s="277"/>
      <c r="E136" s="277"/>
      <c r="F136" s="277"/>
      <c r="G136" s="277"/>
      <c r="H136" s="277"/>
      <c r="I136" s="277"/>
      <c r="J136" s="277"/>
      <c r="K136" s="277"/>
      <c r="L136" s="277"/>
    </row>
    <row r="137" spans="3:12" ht="15">
      <c r="C137" s="277"/>
      <c r="D137" s="277"/>
      <c r="E137" s="277"/>
      <c r="F137" s="277"/>
      <c r="G137" s="277"/>
      <c r="H137" s="277"/>
      <c r="I137" s="277"/>
      <c r="J137" s="277"/>
      <c r="K137" s="277"/>
      <c r="L137" s="277"/>
    </row>
    <row r="138" spans="3:12" ht="15">
      <c r="C138" s="277"/>
      <c r="D138" s="277"/>
      <c r="E138" s="277"/>
      <c r="F138" s="277"/>
      <c r="G138" s="277"/>
      <c r="H138" s="277"/>
      <c r="I138" s="277"/>
      <c r="J138" s="277"/>
      <c r="K138" s="277"/>
      <c r="L138" s="277"/>
    </row>
    <row r="139" spans="3:12" ht="15">
      <c r="C139" s="277"/>
      <c r="D139" s="277"/>
      <c r="E139" s="277"/>
      <c r="F139" s="277"/>
      <c r="G139" s="277"/>
      <c r="H139" s="277"/>
      <c r="I139" s="277"/>
      <c r="J139" s="277"/>
      <c r="K139" s="277"/>
      <c r="L139" s="277"/>
    </row>
    <row r="140" spans="3:12" ht="15">
      <c r="C140" s="277"/>
      <c r="D140" s="277"/>
      <c r="E140" s="277"/>
      <c r="F140" s="277"/>
      <c r="G140" s="277"/>
      <c r="H140" s="277"/>
      <c r="I140" s="277"/>
      <c r="J140" s="277"/>
      <c r="K140" s="277"/>
      <c r="L140" s="277"/>
    </row>
    <row r="141" spans="3:12" ht="15">
      <c r="C141" s="277"/>
      <c r="D141" s="277"/>
      <c r="E141" s="277"/>
      <c r="F141" s="277"/>
      <c r="G141" s="277"/>
      <c r="H141" s="277"/>
      <c r="I141" s="277"/>
      <c r="J141" s="277"/>
      <c r="K141" s="277"/>
      <c r="L141" s="277"/>
    </row>
    <row r="142" spans="3:12" ht="15">
      <c r="C142" s="277"/>
      <c r="D142" s="277"/>
      <c r="E142" s="277"/>
      <c r="F142" s="277"/>
      <c r="G142" s="277"/>
      <c r="H142" s="277"/>
      <c r="I142" s="277"/>
      <c r="J142" s="277"/>
      <c r="K142" s="277"/>
      <c r="L142" s="277"/>
    </row>
    <row r="143" spans="3:12" ht="15">
      <c r="C143" s="277"/>
      <c r="D143" s="277"/>
      <c r="E143" s="277"/>
      <c r="F143" s="277"/>
      <c r="G143" s="277"/>
      <c r="H143" s="277"/>
      <c r="I143" s="277"/>
      <c r="J143" s="277"/>
      <c r="K143" s="277"/>
      <c r="L143" s="277"/>
    </row>
    <row r="144" spans="3:12" ht="15">
      <c r="C144" s="277"/>
      <c r="D144" s="277"/>
      <c r="E144" s="277"/>
      <c r="F144" s="277"/>
      <c r="G144" s="277"/>
      <c r="H144" s="277"/>
      <c r="I144" s="277"/>
      <c r="J144" s="277"/>
      <c r="K144" s="277"/>
      <c r="L144" s="277"/>
    </row>
    <row r="145" spans="3:12" ht="15">
      <c r="C145" s="277"/>
      <c r="D145" s="277"/>
      <c r="E145" s="277"/>
      <c r="F145" s="277"/>
      <c r="G145" s="277"/>
      <c r="H145" s="277"/>
      <c r="I145" s="277"/>
      <c r="J145" s="277"/>
      <c r="K145" s="277"/>
      <c r="L145" s="277"/>
    </row>
    <row r="146" spans="3:12" ht="15">
      <c r="C146" s="277"/>
      <c r="D146" s="277"/>
      <c r="E146" s="277"/>
      <c r="F146" s="277"/>
      <c r="G146" s="277"/>
      <c r="H146" s="277"/>
      <c r="I146" s="277"/>
      <c r="J146" s="277"/>
      <c r="K146" s="277"/>
      <c r="L146" s="277"/>
    </row>
    <row r="147" spans="3:12" ht="15">
      <c r="C147" s="277"/>
      <c r="D147" s="277"/>
      <c r="E147" s="277"/>
      <c r="F147" s="277"/>
      <c r="G147" s="277"/>
      <c r="H147" s="277"/>
      <c r="I147" s="277"/>
      <c r="J147" s="277"/>
      <c r="K147" s="277"/>
      <c r="L147" s="277"/>
    </row>
    <row r="148" spans="3:12" ht="15">
      <c r="C148" s="277"/>
      <c r="D148" s="277"/>
      <c r="E148" s="277"/>
      <c r="F148" s="277"/>
      <c r="G148" s="277"/>
      <c r="H148" s="277"/>
      <c r="I148" s="277"/>
      <c r="J148" s="277"/>
      <c r="K148" s="277"/>
      <c r="L148" s="277"/>
    </row>
    <row r="149" spans="3:12" ht="15">
      <c r="C149" s="277"/>
      <c r="D149" s="277"/>
      <c r="E149" s="277"/>
      <c r="F149" s="277"/>
      <c r="G149" s="277"/>
      <c r="H149" s="277"/>
      <c r="I149" s="277"/>
      <c r="J149" s="277"/>
      <c r="K149" s="277"/>
      <c r="L149" s="277"/>
    </row>
    <row r="150" spans="3:12" ht="15">
      <c r="C150" s="277"/>
      <c r="D150" s="277"/>
      <c r="E150" s="277"/>
      <c r="F150" s="277"/>
      <c r="G150" s="277"/>
      <c r="H150" s="277"/>
      <c r="I150" s="277"/>
      <c r="J150" s="277"/>
      <c r="K150" s="277"/>
      <c r="L150" s="277"/>
    </row>
    <row r="151" spans="3:12" ht="15">
      <c r="C151" s="277"/>
      <c r="D151" s="277"/>
      <c r="E151" s="277"/>
      <c r="F151" s="277"/>
      <c r="G151" s="277"/>
      <c r="H151" s="277"/>
      <c r="I151" s="277"/>
      <c r="J151" s="277"/>
      <c r="K151" s="277"/>
      <c r="L151" s="277"/>
    </row>
    <row r="152" spans="3:12" ht="15">
      <c r="C152" s="277"/>
      <c r="D152" s="277"/>
      <c r="E152" s="277"/>
      <c r="F152" s="277"/>
      <c r="G152" s="277"/>
      <c r="H152" s="277"/>
      <c r="I152" s="277"/>
      <c r="J152" s="277"/>
      <c r="K152" s="277"/>
      <c r="L152" s="277"/>
    </row>
    <row r="153" spans="3:12" ht="15">
      <c r="C153" s="277"/>
      <c r="D153" s="277"/>
      <c r="E153" s="277"/>
      <c r="F153" s="277"/>
      <c r="G153" s="277"/>
      <c r="H153" s="277"/>
      <c r="I153" s="277"/>
      <c r="J153" s="277"/>
      <c r="K153" s="277"/>
      <c r="L153" s="277"/>
    </row>
    <row r="154" spans="3:12" ht="15">
      <c r="C154" s="277"/>
      <c r="D154" s="277"/>
      <c r="E154" s="277"/>
      <c r="F154" s="277"/>
      <c r="G154" s="277"/>
      <c r="H154" s="277"/>
      <c r="I154" s="277"/>
      <c r="J154" s="277"/>
      <c r="K154" s="277"/>
      <c r="L154" s="277"/>
    </row>
    <row r="155" spans="3:12" ht="15">
      <c r="C155" s="277"/>
      <c r="D155" s="277"/>
      <c r="E155" s="277"/>
      <c r="F155" s="277"/>
      <c r="G155" s="277"/>
      <c r="H155" s="277"/>
      <c r="I155" s="277"/>
      <c r="J155" s="277"/>
      <c r="K155" s="277"/>
      <c r="L155" s="277"/>
    </row>
    <row r="156" spans="3:12" ht="15">
      <c r="C156" s="277"/>
      <c r="D156" s="277"/>
      <c r="E156" s="277"/>
      <c r="F156" s="277"/>
      <c r="G156" s="277"/>
      <c r="H156" s="277"/>
      <c r="I156" s="277"/>
      <c r="J156" s="277"/>
      <c r="K156" s="277"/>
      <c r="L156" s="277"/>
    </row>
    <row r="157" spans="3:12" ht="15">
      <c r="C157" s="277"/>
      <c r="D157" s="277"/>
      <c r="E157" s="277"/>
      <c r="F157" s="277"/>
      <c r="G157" s="277"/>
      <c r="H157" s="277"/>
      <c r="I157" s="277"/>
      <c r="J157" s="277"/>
      <c r="K157" s="277"/>
      <c r="L157" s="277"/>
    </row>
    <row r="158" spans="3:12" ht="15">
      <c r="C158" s="277"/>
      <c r="D158" s="277"/>
      <c r="E158" s="277"/>
      <c r="F158" s="277"/>
      <c r="G158" s="277"/>
      <c r="H158" s="277"/>
      <c r="I158" s="277"/>
      <c r="J158" s="277"/>
      <c r="K158" s="277"/>
      <c r="L158" s="277"/>
    </row>
    <row r="159" spans="3:12" ht="15">
      <c r="C159" s="277"/>
      <c r="D159" s="277"/>
      <c r="E159" s="277"/>
      <c r="F159" s="277"/>
      <c r="G159" s="277"/>
      <c r="H159" s="277"/>
      <c r="I159" s="277"/>
      <c r="J159" s="277"/>
      <c r="K159" s="277"/>
      <c r="L159" s="277"/>
    </row>
    <row r="160" spans="3:12" ht="15">
      <c r="C160" s="277"/>
      <c r="D160" s="277"/>
      <c r="E160" s="277"/>
      <c r="F160" s="277"/>
      <c r="G160" s="277"/>
      <c r="H160" s="277"/>
      <c r="I160" s="277"/>
      <c r="J160" s="277"/>
      <c r="K160" s="277"/>
      <c r="L160" s="277"/>
    </row>
    <row r="161" spans="3:12" ht="15">
      <c r="C161" s="277"/>
      <c r="D161" s="277"/>
      <c r="E161" s="277"/>
      <c r="F161" s="277"/>
      <c r="G161" s="277"/>
      <c r="H161" s="277"/>
      <c r="I161" s="277"/>
      <c r="J161" s="277"/>
      <c r="K161" s="277"/>
      <c r="L161" s="277"/>
    </row>
    <row r="162" spans="3:12" ht="15">
      <c r="C162" s="277"/>
      <c r="D162" s="277"/>
      <c r="E162" s="277"/>
      <c r="F162" s="277"/>
      <c r="G162" s="277"/>
      <c r="H162" s="277"/>
      <c r="I162" s="277"/>
      <c r="J162" s="277"/>
      <c r="K162" s="277"/>
      <c r="L162" s="277"/>
    </row>
    <row r="163" spans="3:12" ht="15">
      <c r="C163" s="277"/>
      <c r="D163" s="277"/>
      <c r="E163" s="277"/>
      <c r="F163" s="277"/>
      <c r="G163" s="277"/>
      <c r="H163" s="277"/>
      <c r="I163" s="277"/>
      <c r="J163" s="277"/>
      <c r="K163" s="277"/>
      <c r="L163" s="277"/>
    </row>
    <row r="164" spans="3:12" ht="15">
      <c r="C164" s="277"/>
      <c r="D164" s="277"/>
      <c r="E164" s="277"/>
      <c r="F164" s="277"/>
      <c r="G164" s="277"/>
      <c r="H164" s="277"/>
      <c r="I164" s="277"/>
      <c r="J164" s="277"/>
      <c r="K164" s="277"/>
      <c r="L164" s="277"/>
    </row>
    <row r="165" spans="3:12" ht="15">
      <c r="C165" s="277"/>
      <c r="D165" s="277"/>
      <c r="E165" s="277"/>
      <c r="F165" s="277"/>
      <c r="G165" s="277"/>
      <c r="H165" s="277"/>
      <c r="I165" s="277"/>
      <c r="J165" s="277"/>
      <c r="K165" s="277"/>
      <c r="L165" s="277"/>
    </row>
    <row r="166" spans="3:12" ht="15">
      <c r="C166" s="277"/>
      <c r="D166" s="277"/>
      <c r="E166" s="277"/>
      <c r="F166" s="277"/>
      <c r="G166" s="277"/>
      <c r="H166" s="277"/>
      <c r="I166" s="277"/>
      <c r="J166" s="277"/>
      <c r="K166" s="277"/>
      <c r="L166" s="277"/>
    </row>
    <row r="167" spans="3:12" ht="15">
      <c r="C167" s="277"/>
      <c r="D167" s="277"/>
      <c r="E167" s="277"/>
      <c r="F167" s="277"/>
      <c r="G167" s="277"/>
      <c r="H167" s="277"/>
      <c r="I167" s="277"/>
      <c r="J167" s="277"/>
      <c r="K167" s="277"/>
      <c r="L167" s="277"/>
    </row>
    <row r="168" spans="3:12" ht="15">
      <c r="C168" s="277"/>
      <c r="D168" s="277"/>
      <c r="E168" s="277"/>
      <c r="F168" s="277"/>
      <c r="G168" s="277"/>
      <c r="H168" s="277"/>
      <c r="I168" s="277"/>
      <c r="J168" s="277"/>
      <c r="K168" s="277"/>
      <c r="L168" s="277"/>
    </row>
    <row r="169" spans="3:12" ht="15">
      <c r="C169" s="277"/>
      <c r="D169" s="277"/>
      <c r="E169" s="277"/>
      <c r="F169" s="277"/>
      <c r="G169" s="277"/>
      <c r="H169" s="277"/>
      <c r="I169" s="277"/>
      <c r="J169" s="277"/>
      <c r="K169" s="277"/>
      <c r="L169" s="277"/>
    </row>
    <row r="170" spans="3:12" ht="15">
      <c r="C170" s="277"/>
      <c r="D170" s="277"/>
      <c r="E170" s="277"/>
      <c r="F170" s="277"/>
      <c r="G170" s="277"/>
      <c r="H170" s="277"/>
      <c r="I170" s="277"/>
      <c r="J170" s="277"/>
      <c r="K170" s="277"/>
      <c r="L170" s="277"/>
    </row>
    <row r="171" spans="3:12" ht="15">
      <c r="C171" s="277"/>
      <c r="D171" s="277"/>
      <c r="E171" s="277"/>
      <c r="F171" s="277"/>
      <c r="G171" s="277"/>
      <c r="H171" s="277"/>
      <c r="I171" s="277"/>
      <c r="J171" s="277"/>
      <c r="K171" s="277"/>
      <c r="L171" s="277"/>
    </row>
    <row r="172" spans="3:12" ht="15">
      <c r="C172" s="277"/>
      <c r="D172" s="277"/>
      <c r="E172" s="277"/>
      <c r="F172" s="277"/>
      <c r="G172" s="277"/>
      <c r="H172" s="277"/>
      <c r="I172" s="277"/>
      <c r="J172" s="277"/>
      <c r="K172" s="277"/>
      <c r="L172" s="277"/>
    </row>
    <row r="173" spans="3:12" ht="15">
      <c r="C173" s="277"/>
      <c r="D173" s="277"/>
      <c r="E173" s="277"/>
      <c r="F173" s="277"/>
      <c r="G173" s="277"/>
      <c r="H173" s="277"/>
      <c r="I173" s="277"/>
      <c r="J173" s="277"/>
      <c r="K173" s="277"/>
      <c r="L173" s="277"/>
    </row>
    <row r="174" spans="3:12" ht="15">
      <c r="C174" s="277"/>
      <c r="D174" s="277"/>
      <c r="E174" s="277"/>
      <c r="F174" s="277"/>
      <c r="G174" s="277"/>
      <c r="H174" s="277"/>
      <c r="I174" s="277"/>
      <c r="J174" s="277"/>
      <c r="K174" s="277"/>
      <c r="L174" s="277"/>
    </row>
    <row r="175" spans="3:12" ht="15">
      <c r="C175" s="277"/>
      <c r="D175" s="277"/>
      <c r="E175" s="277"/>
      <c r="F175" s="277"/>
      <c r="G175" s="277"/>
      <c r="H175" s="277"/>
      <c r="I175" s="277"/>
      <c r="J175" s="277"/>
      <c r="K175" s="277"/>
      <c r="L175" s="277"/>
    </row>
    <row r="176" spans="3:12" ht="15">
      <c r="C176" s="277"/>
      <c r="D176" s="277"/>
      <c r="E176" s="277"/>
      <c r="F176" s="277"/>
      <c r="G176" s="277"/>
      <c r="H176" s="277"/>
      <c r="I176" s="277"/>
      <c r="J176" s="277"/>
      <c r="K176" s="277"/>
      <c r="L176" s="277"/>
    </row>
    <row r="177" spans="3:12" ht="15">
      <c r="C177" s="277"/>
      <c r="D177" s="277"/>
      <c r="E177" s="277"/>
      <c r="F177" s="277"/>
      <c r="G177" s="277"/>
      <c r="H177" s="277"/>
      <c r="I177" s="277"/>
      <c r="J177" s="277"/>
      <c r="K177" s="277"/>
      <c r="L177" s="277"/>
    </row>
    <row r="178" spans="3:12" ht="15">
      <c r="C178" s="277"/>
      <c r="D178" s="277"/>
      <c r="E178" s="277"/>
      <c r="F178" s="277"/>
      <c r="G178" s="277"/>
      <c r="H178" s="277"/>
      <c r="I178" s="277"/>
      <c r="J178" s="277"/>
      <c r="K178" s="277"/>
      <c r="L178" s="277"/>
    </row>
    <row r="179" spans="3:12" ht="15">
      <c r="C179" s="277"/>
      <c r="D179" s="277"/>
      <c r="E179" s="277"/>
      <c r="F179" s="277"/>
      <c r="G179" s="277"/>
      <c r="H179" s="277"/>
      <c r="I179" s="277"/>
      <c r="J179" s="277"/>
      <c r="K179" s="277"/>
      <c r="L179" s="277"/>
    </row>
    <row r="180" spans="3:12" ht="15">
      <c r="C180" s="277"/>
      <c r="D180" s="277"/>
      <c r="E180" s="277"/>
      <c r="F180" s="277"/>
      <c r="G180" s="277"/>
      <c r="H180" s="277"/>
      <c r="I180" s="277"/>
      <c r="J180" s="277"/>
      <c r="K180" s="277"/>
      <c r="L180" s="277"/>
    </row>
    <row r="181" spans="3:12" ht="15">
      <c r="C181" s="277"/>
      <c r="D181" s="277"/>
      <c r="E181" s="277"/>
      <c r="F181" s="277"/>
      <c r="G181" s="277"/>
      <c r="H181" s="277"/>
      <c r="I181" s="277"/>
      <c r="J181" s="277"/>
      <c r="K181" s="277"/>
      <c r="L181" s="277"/>
    </row>
    <row r="182" spans="3:12" ht="15">
      <c r="C182" s="277"/>
      <c r="D182" s="277"/>
      <c r="E182" s="277"/>
      <c r="F182" s="277"/>
      <c r="G182" s="277"/>
      <c r="H182" s="277"/>
      <c r="I182" s="277"/>
      <c r="J182" s="277"/>
      <c r="K182" s="277"/>
      <c r="L182" s="277"/>
    </row>
    <row r="183" spans="3:12" ht="15">
      <c r="C183" s="277"/>
      <c r="D183" s="277"/>
      <c r="E183" s="277"/>
      <c r="F183" s="277"/>
      <c r="G183" s="277"/>
      <c r="H183" s="277"/>
      <c r="I183" s="277"/>
      <c r="J183" s="277"/>
      <c r="K183" s="277"/>
      <c r="L183" s="277"/>
    </row>
    <row r="184" spans="3:12" ht="15">
      <c r="C184" s="277"/>
      <c r="D184" s="277"/>
      <c r="E184" s="277"/>
      <c r="F184" s="277"/>
      <c r="G184" s="277"/>
      <c r="H184" s="277"/>
      <c r="I184" s="277"/>
      <c r="J184" s="277"/>
      <c r="K184" s="277"/>
      <c r="L184" s="277"/>
    </row>
    <row r="185" spans="3:12" ht="15">
      <c r="C185" s="277"/>
      <c r="D185" s="277"/>
      <c r="E185" s="277"/>
      <c r="F185" s="277"/>
      <c r="G185" s="277"/>
      <c r="H185" s="277"/>
      <c r="I185" s="277"/>
      <c r="J185" s="277"/>
      <c r="K185" s="277"/>
      <c r="L185" s="277"/>
    </row>
    <row r="186" spans="3:12" ht="15">
      <c r="C186" s="277"/>
      <c r="D186" s="277"/>
      <c r="E186" s="277"/>
      <c r="F186" s="277"/>
      <c r="G186" s="277"/>
      <c r="H186" s="277"/>
      <c r="I186" s="277"/>
      <c r="J186" s="277"/>
      <c r="K186" s="277"/>
      <c r="L186" s="277"/>
    </row>
    <row r="187" spans="3:12" ht="15">
      <c r="C187" s="277"/>
      <c r="D187" s="277"/>
      <c r="E187" s="277"/>
      <c r="F187" s="277"/>
      <c r="G187" s="277"/>
      <c r="H187" s="277"/>
      <c r="I187" s="277"/>
      <c r="J187" s="277"/>
      <c r="K187" s="277"/>
      <c r="L187" s="277"/>
    </row>
    <row r="188" spans="3:12" ht="15">
      <c r="C188" s="277"/>
      <c r="D188" s="277"/>
      <c r="E188" s="277"/>
      <c r="F188" s="277"/>
      <c r="G188" s="277"/>
      <c r="H188" s="277"/>
      <c r="I188" s="277"/>
      <c r="J188" s="277"/>
      <c r="K188" s="277"/>
      <c r="L188" s="277"/>
    </row>
    <row r="189" spans="3:12" ht="15">
      <c r="C189" s="277"/>
      <c r="D189" s="277"/>
      <c r="E189" s="277"/>
      <c r="F189" s="277"/>
      <c r="G189" s="277"/>
      <c r="H189" s="277"/>
      <c r="I189" s="277"/>
      <c r="J189" s="277"/>
      <c r="K189" s="277"/>
      <c r="L189" s="277"/>
    </row>
    <row r="190" spans="3:12" ht="15">
      <c r="C190" s="277"/>
      <c r="D190" s="277"/>
      <c r="E190" s="277"/>
      <c r="F190" s="277"/>
      <c r="G190" s="277"/>
      <c r="H190" s="277"/>
      <c r="I190" s="277"/>
      <c r="J190" s="277"/>
      <c r="K190" s="277"/>
      <c r="L190" s="277"/>
    </row>
    <row r="191" spans="3:12" ht="15">
      <c r="C191" s="277"/>
      <c r="D191" s="277"/>
      <c r="E191" s="277"/>
      <c r="F191" s="277"/>
      <c r="G191" s="277"/>
      <c r="H191" s="277"/>
      <c r="I191" s="277"/>
      <c r="J191" s="277"/>
      <c r="K191" s="277"/>
      <c r="L191" s="277"/>
    </row>
    <row r="192" spans="3:12" ht="15">
      <c r="C192" s="277"/>
      <c r="D192" s="277"/>
      <c r="E192" s="277"/>
      <c r="F192" s="277"/>
      <c r="G192" s="277"/>
      <c r="H192" s="277"/>
      <c r="I192" s="277"/>
      <c r="J192" s="277"/>
      <c r="K192" s="277"/>
      <c r="L192" s="277"/>
    </row>
    <row r="193" spans="3:12" ht="15">
      <c r="C193" s="277"/>
      <c r="D193" s="277"/>
      <c r="E193" s="277"/>
      <c r="F193" s="277"/>
      <c r="G193" s="277"/>
      <c r="H193" s="277"/>
      <c r="I193" s="277"/>
      <c r="J193" s="277"/>
      <c r="K193" s="277"/>
      <c r="L193" s="277"/>
    </row>
    <row r="194" spans="3:12" ht="15">
      <c r="C194" s="277"/>
      <c r="D194" s="277"/>
      <c r="E194" s="277"/>
      <c r="F194" s="277"/>
      <c r="G194" s="277"/>
      <c r="H194" s="277"/>
      <c r="I194" s="277"/>
      <c r="J194" s="277"/>
      <c r="K194" s="277"/>
      <c r="L194" s="277"/>
    </row>
    <row r="195" spans="3:12" ht="15">
      <c r="C195" s="277"/>
      <c r="D195" s="277"/>
      <c r="E195" s="277"/>
      <c r="F195" s="277"/>
      <c r="G195" s="277"/>
      <c r="H195" s="277"/>
      <c r="I195" s="277"/>
      <c r="J195" s="277"/>
      <c r="K195" s="277"/>
      <c r="L195" s="277"/>
    </row>
    <row r="196" spans="3:12" ht="15">
      <c r="C196" s="277"/>
      <c r="D196" s="277"/>
      <c r="E196" s="277"/>
      <c r="F196" s="277"/>
      <c r="G196" s="277"/>
      <c r="H196" s="277"/>
      <c r="I196" s="277"/>
      <c r="J196" s="277"/>
      <c r="K196" s="277"/>
      <c r="L196" s="277"/>
    </row>
    <row r="197" spans="3:12" ht="15">
      <c r="C197" s="277"/>
      <c r="D197" s="277"/>
      <c r="E197" s="277"/>
      <c r="F197" s="277"/>
      <c r="G197" s="277"/>
      <c r="H197" s="277"/>
      <c r="I197" s="277"/>
      <c r="J197" s="277"/>
      <c r="K197" s="277"/>
      <c r="L197" s="277"/>
    </row>
    <row r="198" spans="3:12" ht="15">
      <c r="C198" s="277"/>
      <c r="D198" s="277"/>
      <c r="E198" s="277"/>
      <c r="F198" s="277"/>
      <c r="G198" s="277"/>
      <c r="H198" s="277"/>
      <c r="I198" s="277"/>
      <c r="J198" s="277"/>
      <c r="K198" s="277"/>
      <c r="L198" s="277"/>
    </row>
    <row r="199" spans="3:12" ht="15">
      <c r="C199" s="277"/>
      <c r="D199" s="277"/>
      <c r="E199" s="277"/>
      <c r="F199" s="277"/>
      <c r="G199" s="277"/>
      <c r="H199" s="277"/>
      <c r="I199" s="277"/>
      <c r="J199" s="277"/>
      <c r="K199" s="277"/>
      <c r="L199" s="277"/>
    </row>
    <row r="200" spans="3:12" ht="15">
      <c r="C200" s="277"/>
      <c r="D200" s="277"/>
      <c r="E200" s="277"/>
      <c r="F200" s="277"/>
      <c r="G200" s="277"/>
      <c r="H200" s="277"/>
      <c r="I200" s="277"/>
      <c r="J200" s="277"/>
      <c r="K200" s="277"/>
      <c r="L200" s="277"/>
    </row>
    <row r="201" spans="3:12" ht="15">
      <c r="C201" s="277"/>
      <c r="D201" s="277"/>
      <c r="E201" s="277"/>
      <c r="F201" s="277"/>
      <c r="G201" s="277"/>
      <c r="H201" s="277"/>
      <c r="I201" s="277"/>
      <c r="J201" s="277"/>
      <c r="K201" s="277"/>
      <c r="L201" s="277"/>
    </row>
    <row r="202" spans="3:12" ht="15">
      <c r="C202" s="277"/>
      <c r="D202" s="277"/>
      <c r="E202" s="277"/>
      <c r="F202" s="277"/>
      <c r="G202" s="277"/>
      <c r="H202" s="277"/>
      <c r="I202" s="277"/>
      <c r="J202" s="277"/>
      <c r="K202" s="277"/>
      <c r="L202" s="277"/>
    </row>
    <row r="203" spans="3:12" ht="15">
      <c r="C203" s="277"/>
      <c r="D203" s="277"/>
      <c r="E203" s="277"/>
      <c r="F203" s="277"/>
      <c r="G203" s="277"/>
      <c r="H203" s="277"/>
      <c r="I203" s="277"/>
      <c r="J203" s="277"/>
      <c r="K203" s="277"/>
      <c r="L203" s="277"/>
    </row>
    <row r="204" spans="3:12" ht="15">
      <c r="C204" s="277"/>
      <c r="D204" s="277"/>
      <c r="E204" s="277"/>
      <c r="F204" s="277"/>
      <c r="G204" s="277"/>
      <c r="H204" s="277"/>
      <c r="I204" s="277"/>
      <c r="J204" s="277"/>
      <c r="K204" s="277"/>
      <c r="L204" s="277"/>
    </row>
    <row r="205" spans="3:12" ht="15">
      <c r="C205" s="277"/>
      <c r="D205" s="277"/>
      <c r="E205" s="277"/>
      <c r="F205" s="277"/>
      <c r="G205" s="277"/>
      <c r="H205" s="277"/>
      <c r="I205" s="277"/>
      <c r="J205" s="277"/>
      <c r="K205" s="277"/>
      <c r="L205" s="277"/>
    </row>
    <row r="206" spans="3:12" ht="15">
      <c r="C206" s="277"/>
      <c r="D206" s="277"/>
      <c r="E206" s="277"/>
      <c r="F206" s="277"/>
      <c r="G206" s="277"/>
      <c r="H206" s="277"/>
      <c r="I206" s="277"/>
      <c r="J206" s="277"/>
      <c r="K206" s="277"/>
      <c r="L206" s="277"/>
    </row>
    <row r="207" spans="3:12" ht="15">
      <c r="C207" s="277"/>
      <c r="D207" s="277"/>
      <c r="E207" s="277"/>
      <c r="F207" s="277"/>
      <c r="G207" s="277"/>
      <c r="H207" s="277"/>
      <c r="I207" s="277"/>
      <c r="J207" s="277"/>
      <c r="K207" s="277"/>
      <c r="L207" s="277"/>
    </row>
    <row r="208" spans="3:12" ht="15">
      <c r="C208" s="277"/>
      <c r="D208" s="277"/>
      <c r="E208" s="277"/>
      <c r="F208" s="277"/>
      <c r="G208" s="277"/>
      <c r="H208" s="277"/>
      <c r="I208" s="277"/>
      <c r="J208" s="277"/>
      <c r="K208" s="277"/>
      <c r="L208" s="277"/>
    </row>
    <row r="209" spans="3:12" ht="15">
      <c r="C209" s="277"/>
      <c r="D209" s="277"/>
      <c r="E209" s="277"/>
      <c r="F209" s="277"/>
      <c r="G209" s="277"/>
      <c r="H209" s="277"/>
      <c r="I209" s="277"/>
      <c r="J209" s="277"/>
      <c r="K209" s="277"/>
      <c r="L209" s="277"/>
    </row>
    <row r="210" spans="3:12" ht="15">
      <c r="C210" s="277"/>
      <c r="D210" s="277"/>
      <c r="E210" s="277"/>
      <c r="F210" s="277"/>
      <c r="G210" s="277"/>
      <c r="H210" s="277"/>
      <c r="I210" s="277"/>
      <c r="J210" s="277"/>
      <c r="K210" s="277"/>
      <c r="L210" s="277"/>
    </row>
    <row r="211" spans="3:12" ht="15">
      <c r="C211" s="277"/>
      <c r="D211" s="277"/>
      <c r="E211" s="277"/>
      <c r="F211" s="277"/>
      <c r="G211" s="277"/>
      <c r="H211" s="277"/>
      <c r="I211" s="277"/>
      <c r="J211" s="277"/>
      <c r="K211" s="277"/>
      <c r="L211" s="277"/>
    </row>
    <row r="212" spans="3:12" ht="15">
      <c r="C212" s="277"/>
      <c r="D212" s="277"/>
      <c r="E212" s="277"/>
      <c r="F212" s="277"/>
      <c r="G212" s="277"/>
      <c r="H212" s="277"/>
      <c r="I212" s="277"/>
      <c r="J212" s="277"/>
      <c r="K212" s="277"/>
      <c r="L212" s="277"/>
    </row>
    <row r="213" spans="3:12" ht="15">
      <c r="C213" s="277"/>
      <c r="D213" s="277"/>
      <c r="E213" s="277"/>
      <c r="F213" s="277"/>
      <c r="G213" s="277"/>
      <c r="H213" s="277"/>
      <c r="I213" s="277"/>
      <c r="J213" s="277"/>
      <c r="K213" s="277"/>
      <c r="L213" s="277"/>
    </row>
    <row r="214" spans="3:12" ht="15">
      <c r="C214" s="277"/>
      <c r="D214" s="277"/>
      <c r="E214" s="277"/>
      <c r="F214" s="277"/>
      <c r="G214" s="277"/>
      <c r="H214" s="277"/>
      <c r="I214" s="277"/>
      <c r="J214" s="277"/>
      <c r="K214" s="277"/>
      <c r="L214" s="277"/>
    </row>
    <row r="215" spans="3:12" ht="15">
      <c r="C215" s="277"/>
      <c r="D215" s="277"/>
      <c r="E215" s="277"/>
      <c r="F215" s="277"/>
      <c r="G215" s="277"/>
      <c r="H215" s="277"/>
      <c r="I215" s="277"/>
      <c r="J215" s="277"/>
      <c r="K215" s="277"/>
      <c r="L215" s="277"/>
    </row>
    <row r="216" spans="3:12" ht="15">
      <c r="C216" s="277"/>
      <c r="D216" s="277"/>
      <c r="E216" s="277"/>
      <c r="F216" s="277"/>
      <c r="G216" s="277"/>
      <c r="H216" s="277"/>
      <c r="I216" s="277"/>
      <c r="J216" s="277"/>
      <c r="K216" s="277"/>
      <c r="L216" s="277"/>
    </row>
    <row r="217" spans="3:12" ht="15">
      <c r="C217" s="277"/>
      <c r="D217" s="277"/>
      <c r="E217" s="277"/>
      <c r="F217" s="277"/>
      <c r="G217" s="277"/>
      <c r="H217" s="277"/>
      <c r="I217" s="277"/>
      <c r="J217" s="277"/>
      <c r="K217" s="277"/>
      <c r="L217" s="277"/>
    </row>
    <row r="218" spans="3:12" ht="15">
      <c r="C218" s="277"/>
      <c r="D218" s="277"/>
      <c r="E218" s="277"/>
      <c r="F218" s="277"/>
      <c r="G218" s="277"/>
      <c r="H218" s="277"/>
      <c r="I218" s="277"/>
      <c r="J218" s="277"/>
      <c r="K218" s="277"/>
      <c r="L218" s="277"/>
    </row>
    <row r="219" spans="3:12" ht="15">
      <c r="C219" s="277"/>
      <c r="D219" s="277"/>
      <c r="E219" s="277"/>
      <c r="F219" s="277"/>
      <c r="G219" s="277"/>
      <c r="H219" s="277"/>
      <c r="I219" s="277"/>
      <c r="J219" s="277"/>
      <c r="K219" s="277"/>
      <c r="L219" s="277"/>
    </row>
    <row r="220" spans="3:12" ht="15">
      <c r="C220" s="277"/>
      <c r="D220" s="277"/>
      <c r="E220" s="277"/>
      <c r="F220" s="277"/>
      <c r="G220" s="277"/>
      <c r="H220" s="277"/>
      <c r="I220" s="277"/>
      <c r="J220" s="277"/>
      <c r="K220" s="277"/>
      <c r="L220" s="277"/>
    </row>
    <row r="221" spans="3:12" ht="15">
      <c r="C221" s="277"/>
      <c r="D221" s="277"/>
      <c r="E221" s="277"/>
      <c r="F221" s="277"/>
      <c r="G221" s="277"/>
      <c r="H221" s="277"/>
      <c r="I221" s="277"/>
      <c r="J221" s="277"/>
      <c r="K221" s="277"/>
      <c r="L221" s="277"/>
    </row>
    <row r="222" spans="3:12" ht="15">
      <c r="C222" s="277"/>
      <c r="D222" s="277"/>
      <c r="E222" s="277"/>
      <c r="F222" s="277"/>
      <c r="G222" s="277"/>
      <c r="H222" s="277"/>
      <c r="I222" s="277"/>
      <c r="J222" s="277"/>
      <c r="K222" s="277"/>
      <c r="L222" s="277"/>
    </row>
    <row r="223" spans="3:12" ht="15">
      <c r="C223" s="277"/>
      <c r="D223" s="277"/>
      <c r="E223" s="277"/>
      <c r="F223" s="277"/>
      <c r="G223" s="277"/>
      <c r="H223" s="277"/>
      <c r="I223" s="277"/>
      <c r="J223" s="277"/>
      <c r="K223" s="277"/>
      <c r="L223" s="277"/>
    </row>
    <row r="224" spans="3:12" ht="15">
      <c r="C224" s="277"/>
      <c r="D224" s="277"/>
      <c r="E224" s="277"/>
      <c r="F224" s="277"/>
      <c r="G224" s="277"/>
      <c r="H224" s="277"/>
      <c r="I224" s="277"/>
      <c r="J224" s="277"/>
      <c r="K224" s="277"/>
      <c r="L224" s="277"/>
    </row>
    <row r="225" spans="3:12" ht="15">
      <c r="C225" s="277"/>
      <c r="D225" s="277"/>
      <c r="E225" s="277"/>
      <c r="F225" s="277"/>
      <c r="G225" s="277"/>
      <c r="H225" s="277"/>
      <c r="I225" s="277"/>
      <c r="J225" s="277"/>
      <c r="K225" s="277"/>
      <c r="L225" s="277"/>
    </row>
    <row r="226" spans="3:12" ht="15">
      <c r="C226" s="277"/>
      <c r="D226" s="277"/>
      <c r="E226" s="277"/>
      <c r="F226" s="277"/>
      <c r="G226" s="277"/>
      <c r="H226" s="277"/>
      <c r="I226" s="277"/>
      <c r="J226" s="277"/>
      <c r="K226" s="277"/>
      <c r="L226" s="277"/>
    </row>
    <row r="227" spans="3:12" ht="15">
      <c r="C227" s="277"/>
      <c r="D227" s="277"/>
      <c r="E227" s="277"/>
      <c r="F227" s="277"/>
      <c r="G227" s="277"/>
      <c r="H227" s="277"/>
      <c r="I227" s="277"/>
      <c r="J227" s="277"/>
      <c r="K227" s="277"/>
      <c r="L227" s="277"/>
    </row>
    <row r="228" spans="3:12" ht="15">
      <c r="C228" s="277"/>
      <c r="D228" s="277"/>
      <c r="E228" s="277"/>
      <c r="F228" s="277"/>
      <c r="G228" s="277"/>
      <c r="H228" s="277"/>
      <c r="I228" s="277"/>
      <c r="J228" s="277"/>
      <c r="K228" s="277"/>
      <c r="L228" s="277"/>
    </row>
    <row r="229" spans="3:12" ht="15">
      <c r="C229" s="277"/>
      <c r="D229" s="277"/>
      <c r="E229" s="277"/>
      <c r="F229" s="277"/>
      <c r="G229" s="277"/>
      <c r="H229" s="277"/>
      <c r="I229" s="277"/>
      <c r="J229" s="277"/>
      <c r="K229" s="277"/>
      <c r="L229" s="277"/>
    </row>
    <row r="230" spans="3:12" ht="15">
      <c r="C230" s="277"/>
      <c r="D230" s="277"/>
      <c r="E230" s="277"/>
      <c r="F230" s="277"/>
      <c r="G230" s="277"/>
      <c r="H230" s="277"/>
      <c r="I230" s="277"/>
      <c r="J230" s="277"/>
      <c r="K230" s="277"/>
      <c r="L230" s="277"/>
    </row>
    <row r="231" spans="3:12" ht="15">
      <c r="C231" s="277"/>
      <c r="D231" s="277"/>
      <c r="E231" s="277"/>
      <c r="F231" s="277"/>
      <c r="G231" s="277"/>
      <c r="H231" s="277"/>
      <c r="I231" s="277"/>
      <c r="J231" s="277"/>
      <c r="K231" s="277"/>
      <c r="L231" s="277"/>
    </row>
    <row r="232" spans="3:12" ht="15">
      <c r="C232" s="277"/>
      <c r="D232" s="277"/>
      <c r="E232" s="277"/>
      <c r="F232" s="277"/>
      <c r="G232" s="277"/>
      <c r="H232" s="277"/>
      <c r="I232" s="277"/>
      <c r="J232" s="277"/>
      <c r="K232" s="277"/>
      <c r="L232" s="277"/>
    </row>
    <row r="233" spans="3:12" ht="15">
      <c r="C233" s="277"/>
      <c r="D233" s="277"/>
      <c r="E233" s="277"/>
      <c r="F233" s="277"/>
      <c r="G233" s="277"/>
      <c r="H233" s="277"/>
      <c r="I233" s="277"/>
      <c r="J233" s="277"/>
      <c r="K233" s="277"/>
      <c r="L233" s="277"/>
    </row>
    <row r="234" spans="3:12" ht="15">
      <c r="C234" s="277"/>
      <c r="D234" s="277"/>
      <c r="E234" s="277"/>
      <c r="F234" s="277"/>
      <c r="G234" s="277"/>
      <c r="H234" s="277"/>
      <c r="I234" s="277"/>
      <c r="J234" s="277"/>
      <c r="K234" s="277"/>
      <c r="L234" s="277"/>
    </row>
    <row r="235" spans="3:12" ht="15">
      <c r="C235" s="277"/>
      <c r="D235" s="277"/>
      <c r="E235" s="277"/>
      <c r="F235" s="277"/>
      <c r="G235" s="277"/>
      <c r="H235" s="277"/>
      <c r="I235" s="277"/>
      <c r="J235" s="277"/>
      <c r="K235" s="277"/>
      <c r="L235" s="277"/>
    </row>
    <row r="236" spans="3:12" ht="15">
      <c r="C236" s="277"/>
      <c r="D236" s="277"/>
      <c r="E236" s="277"/>
      <c r="F236" s="277"/>
      <c r="G236" s="277"/>
      <c r="H236" s="277"/>
      <c r="I236" s="277"/>
      <c r="J236" s="277"/>
      <c r="K236" s="277"/>
      <c r="L236" s="277"/>
    </row>
    <row r="237" spans="3:12" ht="15">
      <c r="C237" s="277"/>
      <c r="D237" s="277"/>
      <c r="E237" s="277"/>
      <c r="F237" s="277"/>
      <c r="G237" s="277"/>
      <c r="H237" s="277"/>
      <c r="I237" s="277"/>
      <c r="J237" s="277"/>
      <c r="K237" s="277"/>
      <c r="L237" s="277"/>
    </row>
    <row r="238" spans="3:12" ht="15">
      <c r="C238" s="277"/>
      <c r="D238" s="277"/>
      <c r="E238" s="277"/>
      <c r="F238" s="277"/>
      <c r="G238" s="277"/>
      <c r="H238" s="277"/>
      <c r="I238" s="277"/>
      <c r="J238" s="277"/>
      <c r="K238" s="277"/>
      <c r="L238" s="277"/>
    </row>
    <row r="239" spans="3:12" ht="15">
      <c r="C239" s="277"/>
      <c r="D239" s="277"/>
      <c r="E239" s="277"/>
      <c r="F239" s="277"/>
      <c r="G239" s="277"/>
      <c r="H239" s="277"/>
      <c r="I239" s="277"/>
      <c r="J239" s="277"/>
      <c r="K239" s="277"/>
      <c r="L239" s="277"/>
    </row>
    <row r="240" spans="3:12" ht="15">
      <c r="C240" s="277"/>
      <c r="D240" s="277"/>
      <c r="E240" s="277"/>
      <c r="F240" s="277"/>
      <c r="G240" s="277"/>
      <c r="H240" s="277"/>
      <c r="I240" s="277"/>
      <c r="J240" s="277"/>
      <c r="K240" s="277"/>
      <c r="L240" s="277"/>
    </row>
    <row r="241" spans="3:12" ht="15">
      <c r="C241" s="277"/>
      <c r="D241" s="277"/>
      <c r="E241" s="277"/>
      <c r="F241" s="277"/>
      <c r="G241" s="277"/>
      <c r="H241" s="277"/>
      <c r="I241" s="277"/>
      <c r="J241" s="277"/>
      <c r="K241" s="277"/>
      <c r="L241" s="277"/>
    </row>
    <row r="242" spans="3:12" ht="15">
      <c r="C242" s="277"/>
      <c r="D242" s="277"/>
      <c r="E242" s="277"/>
      <c r="F242" s="277"/>
      <c r="G242" s="277"/>
      <c r="H242" s="277"/>
      <c r="I242" s="277"/>
      <c r="J242" s="277"/>
      <c r="K242" s="277"/>
      <c r="L242" s="277"/>
    </row>
    <row r="243" spans="3:12" ht="15">
      <c r="C243" s="277"/>
      <c r="D243" s="277"/>
      <c r="E243" s="277"/>
      <c r="F243" s="277"/>
      <c r="G243" s="277"/>
      <c r="H243" s="277"/>
      <c r="I243" s="277"/>
      <c r="J243" s="277"/>
      <c r="K243" s="277"/>
      <c r="L243" s="277"/>
    </row>
    <row r="244" spans="3:12" ht="15">
      <c r="C244" s="277"/>
      <c r="D244" s="277"/>
      <c r="E244" s="277"/>
      <c r="F244" s="277"/>
      <c r="G244" s="277"/>
      <c r="H244" s="277"/>
      <c r="I244" s="277"/>
      <c r="J244" s="277"/>
      <c r="K244" s="277"/>
      <c r="L244" s="277"/>
    </row>
    <row r="245" spans="3:12" ht="15">
      <c r="C245" s="277"/>
      <c r="D245" s="277"/>
      <c r="E245" s="277"/>
      <c r="F245" s="277"/>
      <c r="G245" s="277"/>
      <c r="H245" s="277"/>
      <c r="I245" s="277"/>
      <c r="J245" s="277"/>
      <c r="K245" s="277"/>
      <c r="L245" s="277"/>
    </row>
    <row r="246" spans="3:12" ht="15">
      <c r="C246" s="277"/>
      <c r="D246" s="277"/>
      <c r="E246" s="277"/>
      <c r="F246" s="277"/>
      <c r="G246" s="277"/>
      <c r="H246" s="277"/>
      <c r="I246" s="277"/>
      <c r="J246" s="277"/>
      <c r="K246" s="277"/>
      <c r="L246" s="277"/>
    </row>
    <row r="247" spans="3:12" ht="15">
      <c r="C247" s="277"/>
      <c r="D247" s="277"/>
      <c r="E247" s="277"/>
      <c r="F247" s="277"/>
      <c r="G247" s="277"/>
      <c r="H247" s="277"/>
      <c r="I247" s="277"/>
      <c r="J247" s="277"/>
      <c r="K247" s="277"/>
      <c r="L247" s="277"/>
    </row>
    <row r="248" spans="3:12" ht="15">
      <c r="C248" s="277"/>
      <c r="D248" s="277"/>
      <c r="E248" s="277"/>
      <c r="F248" s="277"/>
      <c r="G248" s="277"/>
      <c r="H248" s="277"/>
      <c r="I248" s="277"/>
      <c r="J248" s="277"/>
      <c r="K248" s="277"/>
      <c r="L248" s="277"/>
    </row>
    <row r="249" spans="3:12" ht="15">
      <c r="C249" s="277"/>
      <c r="D249" s="277"/>
      <c r="E249" s="277"/>
      <c r="F249" s="277"/>
      <c r="G249" s="277"/>
      <c r="H249" s="277"/>
      <c r="I249" s="277"/>
      <c r="J249" s="277"/>
      <c r="K249" s="277"/>
      <c r="L249" s="277"/>
    </row>
    <row r="250" spans="3:12" ht="15">
      <c r="C250" s="277"/>
      <c r="D250" s="277"/>
      <c r="E250" s="277"/>
      <c r="F250" s="277"/>
      <c r="G250" s="277"/>
      <c r="H250" s="277"/>
      <c r="I250" s="277"/>
      <c r="J250" s="277"/>
      <c r="K250" s="277"/>
      <c r="L250" s="277"/>
    </row>
    <row r="251" spans="3:12" ht="15">
      <c r="C251" s="277"/>
      <c r="D251" s="277"/>
      <c r="E251" s="277"/>
      <c r="F251" s="277"/>
      <c r="G251" s="277"/>
      <c r="H251" s="277"/>
      <c r="I251" s="277"/>
      <c r="J251" s="277"/>
      <c r="K251" s="277"/>
      <c r="L251" s="277"/>
    </row>
    <row r="252" spans="3:12" ht="15">
      <c r="C252" s="277"/>
      <c r="D252" s="277"/>
      <c r="E252" s="277"/>
      <c r="F252" s="277"/>
      <c r="G252" s="277"/>
      <c r="H252" s="277"/>
      <c r="I252" s="277"/>
      <c r="J252" s="277"/>
      <c r="K252" s="277"/>
      <c r="L252" s="277"/>
    </row>
    <row r="253" spans="3:12" ht="15">
      <c r="C253" s="277"/>
      <c r="D253" s="277"/>
      <c r="E253" s="277"/>
      <c r="F253" s="277"/>
      <c r="G253" s="277"/>
      <c r="H253" s="277"/>
      <c r="I253" s="277"/>
      <c r="J253" s="277"/>
      <c r="K253" s="277"/>
      <c r="L253" s="277"/>
    </row>
    <row r="254" spans="3:12" ht="15">
      <c r="C254" s="277"/>
      <c r="D254" s="277"/>
      <c r="E254" s="277"/>
      <c r="F254" s="277"/>
      <c r="G254" s="277"/>
      <c r="H254" s="277"/>
      <c r="I254" s="277"/>
      <c r="J254" s="277"/>
      <c r="K254" s="277"/>
      <c r="L254" s="277"/>
    </row>
    <row r="255" spans="3:12" ht="15">
      <c r="C255" s="277"/>
      <c r="D255" s="277"/>
      <c r="E255" s="277"/>
      <c r="F255" s="277"/>
      <c r="G255" s="277"/>
      <c r="H255" s="277"/>
      <c r="I255" s="277"/>
      <c r="J255" s="277"/>
      <c r="K255" s="277"/>
      <c r="L255" s="277"/>
    </row>
    <row r="256" spans="3:12" ht="15">
      <c r="C256" s="277"/>
      <c r="D256" s="277"/>
      <c r="E256" s="277"/>
      <c r="F256" s="277"/>
      <c r="G256" s="277"/>
      <c r="H256" s="277"/>
      <c r="I256" s="277"/>
      <c r="J256" s="277"/>
      <c r="K256" s="277"/>
      <c r="L256" s="277"/>
    </row>
    <row r="257" spans="3:12" ht="15">
      <c r="C257" s="277"/>
      <c r="D257" s="277"/>
      <c r="E257" s="277"/>
      <c r="F257" s="277"/>
      <c r="G257" s="277"/>
      <c r="H257" s="277"/>
      <c r="I257" s="277"/>
      <c r="J257" s="277"/>
      <c r="K257" s="277"/>
      <c r="L257" s="277"/>
    </row>
    <row r="258" spans="3:12" ht="15">
      <c r="C258" s="277"/>
      <c r="D258" s="277"/>
      <c r="E258" s="277"/>
      <c r="F258" s="277"/>
      <c r="G258" s="277"/>
      <c r="H258" s="277"/>
      <c r="I258" s="277"/>
      <c r="J258" s="277"/>
      <c r="K258" s="277"/>
      <c r="L258" s="277"/>
    </row>
    <row r="259" spans="3:12" ht="15">
      <c r="C259" s="277"/>
      <c r="D259" s="277"/>
      <c r="E259" s="277"/>
      <c r="F259" s="277"/>
      <c r="G259" s="277"/>
      <c r="H259" s="277"/>
      <c r="I259" s="277"/>
      <c r="J259" s="277"/>
      <c r="K259" s="277"/>
      <c r="L259" s="277"/>
    </row>
    <row r="260" spans="3:12" ht="15">
      <c r="C260" s="277"/>
      <c r="D260" s="277"/>
      <c r="E260" s="277"/>
      <c r="F260" s="277"/>
      <c r="G260" s="277"/>
      <c r="H260" s="277"/>
      <c r="I260" s="277"/>
      <c r="J260" s="277"/>
      <c r="K260" s="277"/>
      <c r="L260" s="277"/>
    </row>
    <row r="261" spans="3:12" ht="15">
      <c r="C261" s="277"/>
      <c r="D261" s="277"/>
      <c r="E261" s="277"/>
      <c r="F261" s="277"/>
      <c r="G261" s="277"/>
      <c r="H261" s="277"/>
      <c r="I261" s="277"/>
      <c r="J261" s="277"/>
      <c r="K261" s="277"/>
      <c r="L261" s="277"/>
    </row>
    <row r="262" spans="3:12" ht="15">
      <c r="C262" s="277"/>
      <c r="D262" s="277"/>
      <c r="E262" s="277"/>
      <c r="F262" s="277"/>
      <c r="G262" s="277"/>
      <c r="H262" s="277"/>
      <c r="I262" s="277"/>
      <c r="J262" s="277"/>
      <c r="K262" s="277"/>
      <c r="L262" s="277"/>
    </row>
    <row r="263" spans="3:12" ht="15">
      <c r="C263" s="277"/>
      <c r="D263" s="277"/>
      <c r="E263" s="277"/>
      <c r="F263" s="277"/>
      <c r="G263" s="277"/>
      <c r="H263" s="277"/>
      <c r="I263" s="277"/>
      <c r="J263" s="277"/>
      <c r="K263" s="277"/>
      <c r="L263" s="277"/>
    </row>
    <row r="264" spans="3:12" ht="15">
      <c r="C264" s="277"/>
      <c r="D264" s="277"/>
      <c r="E264" s="277"/>
      <c r="F264" s="277"/>
      <c r="G264" s="277"/>
      <c r="H264" s="277"/>
      <c r="I264" s="277"/>
      <c r="J264" s="277"/>
      <c r="K264" s="277"/>
      <c r="L264" s="277"/>
    </row>
    <row r="265" spans="3:12" ht="15">
      <c r="C265" s="277"/>
      <c r="D265" s="277"/>
      <c r="E265" s="277"/>
      <c r="F265" s="277"/>
      <c r="G265" s="277"/>
      <c r="H265" s="277"/>
      <c r="I265" s="277"/>
      <c r="J265" s="277"/>
      <c r="K265" s="277"/>
      <c r="L265" s="277"/>
    </row>
    <row r="266" spans="3:12" ht="15">
      <c r="C266" s="277"/>
      <c r="D266" s="277"/>
      <c r="E266" s="277"/>
      <c r="F266" s="277"/>
      <c r="G266" s="277"/>
      <c r="H266" s="277"/>
      <c r="I266" s="277"/>
      <c r="J266" s="277"/>
      <c r="K266" s="277"/>
      <c r="L266" s="277"/>
    </row>
    <row r="267" spans="3:12" ht="15">
      <c r="C267" s="277"/>
      <c r="D267" s="277"/>
      <c r="E267" s="277"/>
      <c r="F267" s="277"/>
      <c r="G267" s="277"/>
      <c r="H267" s="277"/>
      <c r="I267" s="277"/>
      <c r="J267" s="277"/>
      <c r="K267" s="277"/>
      <c r="L267" s="277"/>
    </row>
    <row r="268" spans="3:12" ht="15">
      <c r="C268" s="277"/>
      <c r="D268" s="277"/>
      <c r="E268" s="277"/>
      <c r="F268" s="277"/>
      <c r="G268" s="277"/>
      <c r="H268" s="277"/>
      <c r="I268" s="277"/>
      <c r="J268" s="277"/>
      <c r="K268" s="277"/>
      <c r="L268" s="277"/>
    </row>
    <row r="269" spans="3:12" ht="15">
      <c r="C269" s="277"/>
      <c r="D269" s="277"/>
      <c r="E269" s="277"/>
      <c r="F269" s="277"/>
      <c r="G269" s="277"/>
      <c r="H269" s="277"/>
      <c r="I269" s="277"/>
      <c r="J269" s="277"/>
      <c r="K269" s="277"/>
      <c r="L269" s="277"/>
    </row>
    <row r="270" spans="3:12" ht="15">
      <c r="C270" s="277"/>
      <c r="D270" s="277"/>
      <c r="E270" s="277"/>
      <c r="F270" s="277"/>
      <c r="G270" s="277"/>
      <c r="H270" s="277"/>
      <c r="I270" s="277"/>
      <c r="J270" s="277"/>
      <c r="K270" s="277"/>
      <c r="L270" s="277"/>
    </row>
    <row r="271" spans="3:12" ht="15">
      <c r="C271" s="277"/>
      <c r="D271" s="277"/>
      <c r="E271" s="277"/>
      <c r="F271" s="277"/>
      <c r="G271" s="277"/>
      <c r="H271" s="277"/>
      <c r="I271" s="277"/>
      <c r="J271" s="277"/>
      <c r="K271" s="277"/>
      <c r="L271" s="277"/>
    </row>
    <row r="272" spans="3:12" ht="15">
      <c r="C272" s="277"/>
      <c r="D272" s="277"/>
      <c r="E272" s="277"/>
      <c r="F272" s="277"/>
      <c r="G272" s="277"/>
      <c r="H272" s="277"/>
      <c r="I272" s="277"/>
      <c r="J272" s="277"/>
      <c r="K272" s="277"/>
      <c r="L272" s="277"/>
    </row>
    <row r="273" spans="3:12" ht="15">
      <c r="C273" s="277"/>
      <c r="D273" s="277"/>
      <c r="E273" s="277"/>
      <c r="F273" s="277"/>
      <c r="G273" s="277"/>
      <c r="H273" s="277"/>
      <c r="I273" s="277"/>
      <c r="J273" s="277"/>
      <c r="K273" s="277"/>
      <c r="L273" s="277"/>
    </row>
    <row r="274" spans="3:12" ht="15">
      <c r="C274" s="277"/>
      <c r="D274" s="277"/>
      <c r="E274" s="277"/>
      <c r="F274" s="277"/>
      <c r="G274" s="277"/>
      <c r="H274" s="277"/>
      <c r="I274" s="277"/>
      <c r="J274" s="277"/>
      <c r="K274" s="277"/>
      <c r="L274" s="277"/>
    </row>
    <row r="275" spans="3:12" ht="15">
      <c r="C275" s="277"/>
      <c r="D275" s="277"/>
      <c r="E275" s="277"/>
      <c r="F275" s="277"/>
      <c r="G275" s="277"/>
      <c r="H275" s="277"/>
      <c r="I275" s="277"/>
      <c r="J275" s="277"/>
      <c r="K275" s="277"/>
      <c r="L275" s="277"/>
    </row>
    <row r="276" spans="3:12" ht="15">
      <c r="C276" s="277"/>
      <c r="D276" s="277"/>
      <c r="E276" s="277"/>
      <c r="F276" s="277"/>
      <c r="G276" s="277"/>
      <c r="H276" s="277"/>
      <c r="I276" s="277"/>
      <c r="J276" s="277"/>
      <c r="K276" s="277"/>
      <c r="L276" s="277"/>
    </row>
    <row r="277" spans="3:12" ht="15">
      <c r="C277" s="277"/>
      <c r="D277" s="277"/>
      <c r="E277" s="277"/>
      <c r="F277" s="277"/>
      <c r="G277" s="277"/>
      <c r="H277" s="277"/>
      <c r="I277" s="277"/>
      <c r="J277" s="277"/>
      <c r="K277" s="277"/>
      <c r="L277" s="277"/>
    </row>
    <row r="278" spans="3:12" ht="15">
      <c r="C278" s="277"/>
      <c r="D278" s="277"/>
      <c r="E278" s="277"/>
      <c r="F278" s="277"/>
      <c r="G278" s="277"/>
      <c r="H278" s="277"/>
      <c r="I278" s="277"/>
      <c r="J278" s="277"/>
      <c r="K278" s="277"/>
      <c r="L278" s="277"/>
    </row>
    <row r="279" spans="3:12" ht="15">
      <c r="C279" s="277"/>
      <c r="D279" s="277"/>
      <c r="E279" s="277"/>
      <c r="F279" s="277"/>
      <c r="G279" s="277"/>
      <c r="H279" s="277"/>
      <c r="I279" s="277"/>
      <c r="J279" s="277"/>
      <c r="K279" s="277"/>
      <c r="L279" s="277"/>
    </row>
    <row r="280" spans="3:12" ht="15">
      <c r="C280" s="277"/>
      <c r="D280" s="277"/>
      <c r="E280" s="277"/>
      <c r="F280" s="277"/>
      <c r="G280" s="277"/>
      <c r="H280" s="277"/>
      <c r="I280" s="277"/>
      <c r="J280" s="277"/>
      <c r="K280" s="277"/>
      <c r="L280" s="277"/>
    </row>
    <row r="281" spans="3:12" ht="15">
      <c r="C281" s="277"/>
      <c r="D281" s="277"/>
      <c r="E281" s="277"/>
      <c r="F281" s="277"/>
      <c r="G281" s="277"/>
      <c r="H281" s="277"/>
      <c r="I281" s="277"/>
      <c r="J281" s="277"/>
      <c r="K281" s="277"/>
      <c r="L281" s="277"/>
    </row>
    <row r="282" spans="3:12" ht="15">
      <c r="C282" s="277"/>
      <c r="D282" s="277"/>
      <c r="E282" s="277"/>
      <c r="F282" s="277"/>
      <c r="G282" s="277"/>
      <c r="H282" s="277"/>
      <c r="I282" s="277"/>
      <c r="J282" s="277"/>
      <c r="K282" s="277"/>
      <c r="L282" s="277"/>
    </row>
    <row r="283" spans="3:12" ht="15">
      <c r="C283" s="277"/>
      <c r="D283" s="277"/>
      <c r="E283" s="277"/>
      <c r="F283" s="277"/>
      <c r="G283" s="277"/>
      <c r="H283" s="277"/>
      <c r="I283" s="277"/>
      <c r="J283" s="277"/>
      <c r="K283" s="277"/>
      <c r="L283" s="277"/>
    </row>
    <row r="284" spans="3:12" ht="15">
      <c r="C284" s="277"/>
      <c r="D284" s="277"/>
      <c r="E284" s="277"/>
      <c r="F284" s="277"/>
      <c r="G284" s="277"/>
      <c r="H284" s="277"/>
      <c r="I284" s="277"/>
      <c r="J284" s="277"/>
      <c r="K284" s="277"/>
      <c r="L284" s="277"/>
    </row>
    <row r="285" spans="3:12" ht="15">
      <c r="C285" s="277"/>
      <c r="D285" s="277"/>
      <c r="E285" s="277"/>
      <c r="F285" s="277"/>
      <c r="G285" s="277"/>
      <c r="H285" s="277"/>
      <c r="I285" s="277"/>
      <c r="J285" s="277"/>
      <c r="K285" s="277"/>
      <c r="L285" s="277"/>
    </row>
    <row r="286" spans="3:12" ht="15">
      <c r="C286" s="277"/>
      <c r="D286" s="277"/>
      <c r="E286" s="277"/>
      <c r="F286" s="277"/>
      <c r="G286" s="277"/>
      <c r="H286" s="277"/>
      <c r="I286" s="277"/>
      <c r="J286" s="277"/>
      <c r="K286" s="277"/>
      <c r="L286" s="277"/>
    </row>
    <row r="287" spans="3:12" ht="15">
      <c r="C287" s="277"/>
      <c r="D287" s="277"/>
      <c r="E287" s="277"/>
      <c r="F287" s="277"/>
      <c r="G287" s="277"/>
      <c r="H287" s="277"/>
      <c r="I287" s="277"/>
      <c r="J287" s="277"/>
      <c r="K287" s="277"/>
      <c r="L287" s="277"/>
    </row>
    <row r="288" spans="3:12" ht="15">
      <c r="C288" s="277"/>
      <c r="D288" s="277"/>
      <c r="E288" s="277"/>
      <c r="F288" s="277"/>
      <c r="G288" s="277"/>
      <c r="H288" s="277"/>
      <c r="I288" s="277"/>
      <c r="J288" s="277"/>
      <c r="K288" s="277"/>
      <c r="L288" s="277"/>
    </row>
    <row r="289" spans="3:12" ht="15">
      <c r="C289" s="277"/>
      <c r="D289" s="277"/>
      <c r="E289" s="277"/>
      <c r="F289" s="277"/>
      <c r="G289" s="277"/>
      <c r="H289" s="277"/>
      <c r="I289" s="277"/>
      <c r="J289" s="277"/>
      <c r="K289" s="277"/>
      <c r="L289" s="277"/>
    </row>
    <row r="290" spans="3:12" ht="15">
      <c r="C290" s="277"/>
      <c r="D290" s="277"/>
      <c r="E290" s="277"/>
      <c r="F290" s="277"/>
      <c r="G290" s="277"/>
      <c r="H290" s="277"/>
      <c r="I290" s="277"/>
      <c r="J290" s="277"/>
      <c r="K290" s="277"/>
      <c r="L290" s="277"/>
    </row>
    <row r="291" spans="3:12" ht="15">
      <c r="C291" s="277"/>
      <c r="D291" s="277"/>
      <c r="E291" s="277"/>
      <c r="F291" s="277"/>
      <c r="G291" s="277"/>
      <c r="H291" s="277"/>
      <c r="I291" s="277"/>
      <c r="J291" s="277"/>
      <c r="K291" s="277"/>
      <c r="L291" s="277"/>
    </row>
    <row r="292" spans="3:12" ht="15">
      <c r="C292" s="277"/>
      <c r="D292" s="277"/>
      <c r="E292" s="277"/>
      <c r="F292" s="277"/>
      <c r="G292" s="277"/>
      <c r="H292" s="277"/>
      <c r="I292" s="277"/>
      <c r="J292" s="277"/>
      <c r="K292" s="277"/>
      <c r="L292" s="277"/>
    </row>
    <row r="293" spans="3:12" ht="15">
      <c r="C293" s="277"/>
      <c r="D293" s="277"/>
      <c r="E293" s="277"/>
      <c r="F293" s="277"/>
      <c r="G293" s="277"/>
      <c r="H293" s="277"/>
      <c r="I293" s="277"/>
      <c r="J293" s="277"/>
      <c r="K293" s="277"/>
      <c r="L293" s="277"/>
    </row>
    <row r="294" spans="3:12" ht="15">
      <c r="C294" s="277"/>
      <c r="D294" s="277"/>
      <c r="E294" s="277"/>
      <c r="F294" s="277"/>
      <c r="G294" s="277"/>
      <c r="H294" s="277"/>
      <c r="I294" s="277"/>
      <c r="J294" s="277"/>
      <c r="K294" s="277"/>
      <c r="L294" s="277"/>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2"/>
      <headerFooter alignWithMargins="0"/>
    </customSheetView>
  </customSheetViews>
  <mergeCells count="11">
    <mergeCell ref="C94:L94"/>
    <mergeCell ref="C90:L90"/>
    <mergeCell ref="C91:L91"/>
    <mergeCell ref="A54:N54"/>
    <mergeCell ref="A55:N55"/>
    <mergeCell ref="A5:N5"/>
    <mergeCell ref="A6:N6"/>
    <mergeCell ref="A7:L7"/>
    <mergeCell ref="C92:L92"/>
    <mergeCell ref="C93:L93"/>
    <mergeCell ref="K11:S11"/>
  </mergeCells>
  <printOptions horizontalCentered="1"/>
  <pageMargins left="0.7" right="0.7" top="0.75" bottom="0.75" header="0.3" footer="0.3"/>
  <pageSetup fitToHeight="0" orientation="landscape" scale="25" r:id="rId1"/>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6"/>
  <sheetViews>
    <sheetView view="pageBreakPreview" zoomScale="60" zoomScaleNormal="60" workbookViewId="0" topLeftCell="A1">
      <pane xSplit="5" ySplit="8" topLeftCell="F9" activePane="bottomRight" state="frozen"/>
      <selection pane="topLeft" activeCell="A1" sqref="A1"/>
      <selection pane="bottomLeft" activeCell="A9" sqref="A9"/>
      <selection pane="topRight" activeCell="F1" sqref="F1"/>
      <selection pane="bottomRight" activeCell="E27" sqref="E27"/>
    </sheetView>
  </sheetViews>
  <sheetFormatPr defaultRowHeight="15"/>
  <cols>
    <col min="1" max="1" width="5.77777777777778" customWidth="1"/>
    <col min="2" max="2" width="3.77777777777778" customWidth="1"/>
    <col min="3" max="3" width="54.8888888888889" customWidth="1"/>
    <col min="4" max="4" width="19.7777777777778" customWidth="1"/>
    <col min="5" max="5" width="17.8888888888889" customWidth="1"/>
    <col min="6" max="18" width="14.3333333333333" bestFit="1" customWidth="1"/>
    <col min="19" max="19" width="3.88888888888889" customWidth="1"/>
    <col min="20" max="20" width="16.3333333333333" customWidth="1"/>
    <col min="21" max="21" width="15.4444444444444" customWidth="1"/>
    <col min="22" max="24" width="12.8888888888889" bestFit="1" customWidth="1"/>
    <col min="25" max="25" width="17.8888888888889" customWidth="1"/>
    <col min="26" max="26" width="19.6666666666667" bestFit="1" customWidth="1"/>
    <col min="27" max="29" width="13.6666666666667" bestFit="1" customWidth="1"/>
    <col min="30" max="30" width="14" bestFit="1" customWidth="1"/>
    <col min="31" max="31" width="13" bestFit="1" customWidth="1"/>
    <col min="32" max="33" width="13.6666666666667" bestFit="1" customWidth="1"/>
    <col min="34" max="34" width="3.88888888888889" customWidth="1"/>
    <col min="35" max="35" width="19" customWidth="1"/>
    <col min="36" max="36" width="14.4444444444444" bestFit="1" customWidth="1"/>
    <col min="37" max="37" width="13.6666666666667" bestFit="1" customWidth="1"/>
    <col min="38" max="38" width="14.4444444444444" bestFit="1" customWidth="1"/>
    <col min="39" max="39" width="13.6666666666667" bestFit="1" customWidth="1"/>
  </cols>
  <sheetData>
    <row r="1" spans="1:35" ht="15.75">
      <c r="A1" s="1211" t="s">
        <v>874</v>
      </c>
      <c r="B1" s="1211"/>
      <c r="C1" s="1211"/>
      <c r="D1" s="1211"/>
      <c r="E1" s="1211"/>
      <c r="F1" s="1211"/>
      <c r="G1" s="1211"/>
      <c r="H1" s="1211"/>
      <c r="I1" s="1211"/>
      <c r="J1" s="1211"/>
      <c r="K1" s="1211"/>
      <c r="L1" s="1211"/>
      <c r="M1" s="1211"/>
      <c r="N1" s="1211"/>
      <c r="O1" s="31"/>
      <c r="R1" s="6"/>
      <c r="S1" s="6" t="s">
        <v>698</v>
      </c>
      <c r="T1" s="1211" t="str">
        <f>A1</f>
        <v>TEC Worksheet Support</v>
      </c>
      <c r="U1" s="1211"/>
      <c r="V1" s="1211"/>
      <c r="W1" s="1211"/>
      <c r="X1" s="1211"/>
      <c r="Y1" s="1211"/>
      <c r="Z1" s="1211"/>
      <c r="AA1" s="1211"/>
      <c r="AB1" s="1211"/>
      <c r="AC1" s="1211"/>
      <c r="AD1" s="1211"/>
      <c r="AE1" s="1211"/>
      <c r="AF1" s="31"/>
      <c r="AG1" s="31"/>
      <c r="AH1" s="31"/>
      <c r="AI1" s="6" t="str">
        <f>S1</f>
        <v>Attachment  H-28A, Attachment 11a</v>
      </c>
    </row>
    <row r="2" spans="1:35" ht="15.75">
      <c r="A2" s="1212" t="s">
        <v>443</v>
      </c>
      <c r="B2" s="1212"/>
      <c r="C2" s="1212"/>
      <c r="D2" s="1212"/>
      <c r="E2" s="1212"/>
      <c r="F2" s="1212"/>
      <c r="G2" s="1212"/>
      <c r="H2" s="1212"/>
      <c r="I2" s="1212"/>
      <c r="J2" s="1212"/>
      <c r="K2" s="1212"/>
      <c r="L2" s="1212"/>
      <c r="M2" s="1212"/>
      <c r="N2" s="1212"/>
      <c r="O2" s="320"/>
      <c r="R2" s="6"/>
      <c r="S2" s="6" t="s">
        <v>224</v>
      </c>
      <c r="T2" s="1212" t="s">
        <v>443</v>
      </c>
      <c r="U2" s="1212"/>
      <c r="V2" s="1212"/>
      <c r="W2" s="1212"/>
      <c r="X2" s="1212"/>
      <c r="Y2" s="1212"/>
      <c r="Z2" s="1212"/>
      <c r="AA2" s="1212"/>
      <c r="AB2" s="1212"/>
      <c r="AC2" s="1212"/>
      <c r="AD2" s="1212"/>
      <c r="AE2" s="1212"/>
      <c r="AF2" s="320"/>
      <c r="AG2" s="320"/>
      <c r="AH2" s="320"/>
      <c r="AI2" s="6" t="s">
        <v>227</v>
      </c>
    </row>
    <row r="3" spans="1:35" ht="15.75">
      <c r="A3" s="320"/>
      <c r="B3" s="321"/>
      <c r="C3" s="321"/>
      <c r="D3" s="321"/>
      <c r="E3" s="321"/>
      <c r="F3" s="321"/>
      <c r="G3" s="321"/>
      <c r="H3" s="321"/>
      <c r="I3" s="321"/>
      <c r="J3" s="321"/>
      <c r="K3" s="321"/>
      <c r="L3" s="321"/>
      <c r="M3" s="9"/>
      <c r="R3" s="9"/>
      <c r="S3" s="9" t="str">
        <f>'Attachment 11 - TEC'!S3</f>
        <v>For the 12 months ended 12/31/2021</v>
      </c>
      <c r="AI3" s="9" t="str">
        <f>S3</f>
        <v>For the 12 months ended 12/31/2021</v>
      </c>
    </row>
    <row r="4" spans="1:13" ht="15.75">
      <c r="A4" s="320"/>
      <c r="B4" s="321"/>
      <c r="C4" s="321"/>
      <c r="D4" s="321"/>
      <c r="E4" s="321"/>
      <c r="F4" s="321"/>
      <c r="G4" s="321"/>
      <c r="H4" s="321"/>
      <c r="I4" s="321"/>
      <c r="J4" s="1148"/>
      <c r="K4" s="321"/>
      <c r="L4" s="321"/>
      <c r="M4" s="9"/>
    </row>
    <row r="5" spans="1:13" ht="15.75">
      <c r="A5" s="320"/>
      <c r="B5" s="321"/>
      <c r="C5" s="321"/>
      <c r="D5" s="321"/>
      <c r="E5" s="321"/>
      <c r="F5" s="321"/>
      <c r="G5" s="321"/>
      <c r="H5" s="321"/>
      <c r="I5" s="321"/>
      <c r="J5" s="321"/>
      <c r="K5" s="321"/>
      <c r="L5" s="321"/>
      <c r="M5" s="9"/>
    </row>
    <row r="6" spans="1:48" ht="31.5">
      <c r="A6" s="32" t="s">
        <v>212</v>
      </c>
      <c r="B6" s="33"/>
      <c r="C6" s="43" t="s">
        <v>213</v>
      </c>
      <c r="D6" s="34" t="s">
        <v>229</v>
      </c>
      <c r="E6" s="35" t="s">
        <v>339</v>
      </c>
      <c r="F6" s="724">
        <v>44166</v>
      </c>
      <c r="G6" s="322">
        <f>F6+31</f>
        <v>44197</v>
      </c>
      <c r="H6" s="322">
        <f t="shared" si="0" ref="H6:R6">G6+31</f>
        <v>44228</v>
      </c>
      <c r="I6" s="322">
        <f t="shared" si="0"/>
        <v>44259</v>
      </c>
      <c r="J6" s="322">
        <f t="shared" si="0"/>
        <v>44290</v>
      </c>
      <c r="K6" s="322">
        <f t="shared" si="0"/>
        <v>44321</v>
      </c>
      <c r="L6" s="322">
        <f t="shared" si="0"/>
        <v>44352</v>
      </c>
      <c r="M6" s="322">
        <f t="shared" si="0"/>
        <v>44383</v>
      </c>
      <c r="N6" s="322">
        <f t="shared" si="0"/>
        <v>44414</v>
      </c>
      <c r="O6" s="322">
        <f t="shared" si="0"/>
        <v>44445</v>
      </c>
      <c r="P6" s="322">
        <f t="shared" si="0"/>
        <v>44476</v>
      </c>
      <c r="Q6" s="322">
        <f t="shared" si="0"/>
        <v>44507</v>
      </c>
      <c r="R6" s="322">
        <f t="shared" si="0"/>
        <v>44538</v>
      </c>
      <c r="S6" s="323"/>
      <c r="T6" s="35" t="s">
        <v>1132</v>
      </c>
      <c r="U6" s="322">
        <f>F6</f>
        <v>44166</v>
      </c>
      <c r="V6" s="322">
        <f t="shared" si="1" ref="V6:AG6">G6</f>
        <v>44197</v>
      </c>
      <c r="W6" s="322">
        <f t="shared" si="1"/>
        <v>44228</v>
      </c>
      <c r="X6" s="322">
        <f t="shared" si="1"/>
        <v>44259</v>
      </c>
      <c r="Y6" s="322">
        <f t="shared" si="1"/>
        <v>44290</v>
      </c>
      <c r="Z6" s="322">
        <f t="shared" si="1"/>
        <v>44321</v>
      </c>
      <c r="AA6" s="322">
        <f t="shared" si="1"/>
        <v>44352</v>
      </c>
      <c r="AB6" s="322">
        <f t="shared" si="1"/>
        <v>44383</v>
      </c>
      <c r="AC6" s="322">
        <f t="shared" si="1"/>
        <v>44414</v>
      </c>
      <c r="AD6" s="322">
        <f t="shared" si="1"/>
        <v>44445</v>
      </c>
      <c r="AE6" s="322">
        <f t="shared" si="1"/>
        <v>44476</v>
      </c>
      <c r="AF6" s="322">
        <f t="shared" si="1"/>
        <v>44507</v>
      </c>
      <c r="AG6" s="322">
        <f t="shared" si="1"/>
        <v>44538</v>
      </c>
      <c r="AH6" s="323"/>
      <c r="AI6" s="330" t="s">
        <v>1133</v>
      </c>
      <c r="AJ6" s="328"/>
      <c r="AK6" s="328"/>
      <c r="AL6" s="328"/>
      <c r="AM6" s="328"/>
      <c r="AN6" s="328"/>
      <c r="AO6" s="328"/>
      <c r="AP6" s="328"/>
      <c r="AQ6" s="328"/>
      <c r="AR6" s="328"/>
      <c r="AS6" s="328"/>
      <c r="AT6" s="328"/>
      <c r="AU6" s="328"/>
      <c r="AV6" s="328"/>
    </row>
    <row r="7" spans="1:48" ht="15.75">
      <c r="A7" s="36"/>
      <c r="B7" s="37"/>
      <c r="C7" s="37"/>
      <c r="D7" s="37"/>
      <c r="E7" s="38" t="s">
        <v>17</v>
      </c>
      <c r="F7" s="38"/>
      <c r="G7" s="38"/>
      <c r="H7" s="38"/>
      <c r="I7" s="38"/>
      <c r="J7" s="38"/>
      <c r="K7" s="38"/>
      <c r="L7" s="38"/>
      <c r="M7" s="38"/>
      <c r="N7" s="38"/>
      <c r="O7" s="38"/>
      <c r="P7" s="38"/>
      <c r="Q7" s="38"/>
      <c r="R7" s="38"/>
      <c r="S7" s="326"/>
      <c r="T7" s="38" t="s">
        <v>18</v>
      </c>
      <c r="U7" s="38" t="s">
        <v>20</v>
      </c>
      <c r="V7" s="38" t="s">
        <v>20</v>
      </c>
      <c r="W7" s="38" t="s">
        <v>20</v>
      </c>
      <c r="X7" s="38" t="s">
        <v>20</v>
      </c>
      <c r="Y7" s="38" t="s">
        <v>20</v>
      </c>
      <c r="Z7" s="38" t="s">
        <v>20</v>
      </c>
      <c r="AA7" s="38" t="s">
        <v>20</v>
      </c>
      <c r="AB7" s="38" t="s">
        <v>20</v>
      </c>
      <c r="AC7" s="38" t="s">
        <v>20</v>
      </c>
      <c r="AD7" s="38" t="s">
        <v>20</v>
      </c>
      <c r="AE7" s="38" t="s">
        <v>20</v>
      </c>
      <c r="AF7" s="38" t="s">
        <v>20</v>
      </c>
      <c r="AG7" s="38" t="s">
        <v>20</v>
      </c>
      <c r="AH7" s="327"/>
      <c r="AI7" s="80" t="s">
        <v>578</v>
      </c>
      <c r="AJ7" s="329"/>
      <c r="AK7" s="329"/>
      <c r="AL7" s="329"/>
      <c r="AM7" s="329"/>
      <c r="AN7" s="329"/>
      <c r="AO7" s="329"/>
      <c r="AP7" s="329"/>
      <c r="AQ7" s="329"/>
      <c r="AR7" s="329"/>
      <c r="AS7" s="329"/>
      <c r="AT7" s="329"/>
      <c r="AU7" s="329"/>
      <c r="AV7" s="329"/>
    </row>
    <row r="8" spans="1:48" ht="15.75">
      <c r="A8" s="39"/>
      <c r="B8" s="10"/>
      <c r="C8" s="10"/>
      <c r="D8" s="10"/>
      <c r="E8" s="10"/>
      <c r="F8" s="10"/>
      <c r="G8" s="10"/>
      <c r="H8" s="10"/>
      <c r="I8" s="10"/>
      <c r="J8" s="10"/>
      <c r="K8" s="10"/>
      <c r="L8" s="10"/>
      <c r="M8" s="10"/>
      <c r="N8" s="10"/>
      <c r="O8" s="10"/>
      <c r="P8" s="10"/>
      <c r="Q8" s="10"/>
      <c r="R8" s="10"/>
      <c r="S8" s="324"/>
      <c r="T8" s="329"/>
      <c r="U8" s="329"/>
      <c r="V8" s="329"/>
      <c r="W8" s="329"/>
      <c r="X8" s="329"/>
      <c r="Y8" s="329"/>
      <c r="Z8" s="329"/>
      <c r="AA8" s="329"/>
      <c r="AB8" s="329"/>
      <c r="AC8" s="329"/>
      <c r="AD8" s="329"/>
      <c r="AE8" s="329"/>
      <c r="AF8" s="329"/>
      <c r="AG8" s="329"/>
      <c r="AH8" s="331"/>
      <c r="AI8" s="332"/>
      <c r="AJ8" s="329"/>
      <c r="AK8" s="329"/>
      <c r="AL8" s="329"/>
      <c r="AM8" s="329"/>
      <c r="AN8" s="329"/>
      <c r="AO8" s="329"/>
      <c r="AP8" s="329"/>
      <c r="AQ8" s="329"/>
      <c r="AR8" s="329"/>
      <c r="AS8" s="329"/>
      <c r="AT8" s="329"/>
      <c r="AU8" s="329"/>
      <c r="AV8" s="329"/>
    </row>
    <row r="9" spans="1:48" ht="15.75">
      <c r="A9" s="546"/>
      <c r="B9" s="30"/>
      <c r="C9" s="30"/>
      <c r="D9" s="40"/>
      <c r="E9" s="19"/>
      <c r="F9" s="19"/>
      <c r="G9" s="19"/>
      <c r="H9" s="19"/>
      <c r="I9" s="19"/>
      <c r="J9" s="19"/>
      <c r="K9" s="19"/>
      <c r="L9" s="19"/>
      <c r="M9" s="19"/>
      <c r="N9" s="19"/>
      <c r="O9" s="19"/>
      <c r="P9" s="19"/>
      <c r="Q9" s="19"/>
      <c r="R9" s="19"/>
      <c r="S9" s="325"/>
      <c r="T9" s="329"/>
      <c r="U9" s="19"/>
      <c r="V9" s="19"/>
      <c r="W9" s="19"/>
      <c r="X9" s="19"/>
      <c r="Y9" s="19"/>
      <c r="Z9" s="19"/>
      <c r="AA9" s="19"/>
      <c r="AB9" s="19"/>
      <c r="AC9" s="19"/>
      <c r="AD9" s="19"/>
      <c r="AE9" s="19"/>
      <c r="AF9" s="19"/>
      <c r="AG9" s="19"/>
      <c r="AH9" s="331"/>
      <c r="AI9" s="550"/>
      <c r="AJ9" s="329"/>
      <c r="AK9" s="329"/>
      <c r="AL9" s="329"/>
      <c r="AM9" s="329"/>
      <c r="AN9" s="329"/>
      <c r="AO9" s="329"/>
      <c r="AP9" s="329"/>
      <c r="AQ9" s="329"/>
      <c r="AR9" s="329"/>
      <c r="AS9" s="329"/>
      <c r="AT9" s="329"/>
      <c r="AU9" s="329"/>
      <c r="AV9" s="329"/>
    </row>
    <row r="10" spans="1:48" ht="36" customHeight="1">
      <c r="A10" s="546" t="str">
        <f>'Attachment 11 - TEC'!A62</f>
        <v>2a</v>
      </c>
      <c r="B10" s="30"/>
      <c r="C10" s="694" t="str">
        <f>'Attachment 11 - TEC'!C62</f>
        <v>Install 230Kv series reactor and 2- 100MVAR PLC switched capacitors at Hunterstown</v>
      </c>
      <c r="D10" s="691" t="str">
        <f>'Attachment 11 - TEC'!D62</f>
        <v>b0215</v>
      </c>
      <c r="E10" s="19">
        <f>AVERAGE(F10:R10)</f>
        <v>12637431.470000001</v>
      </c>
      <c r="F10" s="861">
        <v>12637431.470000001</v>
      </c>
      <c r="G10" s="861">
        <v>12637431.470000001</v>
      </c>
      <c r="H10" s="861">
        <v>12637431.470000001</v>
      </c>
      <c r="I10" s="861">
        <v>12637431.470000001</v>
      </c>
      <c r="J10" s="861">
        <v>12637431.470000001</v>
      </c>
      <c r="K10" s="861">
        <v>12637431.470000001</v>
      </c>
      <c r="L10" s="861">
        <v>12637431.470000001</v>
      </c>
      <c r="M10" s="861">
        <v>12637431.470000001</v>
      </c>
      <c r="N10" s="861">
        <v>12637431.470000001</v>
      </c>
      <c r="O10" s="861">
        <v>12637431.470000001</v>
      </c>
      <c r="P10" s="861">
        <v>12637431.470000001</v>
      </c>
      <c r="Q10" s="861">
        <v>12637431.470000001</v>
      </c>
      <c r="R10" s="861">
        <v>12637431.470000001</v>
      </c>
      <c r="S10" s="325"/>
      <c r="T10" s="1165">
        <f>AVERAGE(U10:AG10)</f>
        <v>2830626.2979322542</v>
      </c>
      <c r="U10" s="861">
        <v>2701092.6253647553</v>
      </c>
      <c r="V10" s="861">
        <v>2722681.5707926718</v>
      </c>
      <c r="W10" s="861">
        <v>2744270.5162205882</v>
      </c>
      <c r="X10" s="861">
        <v>2765859.4616485047</v>
      </c>
      <c r="Y10" s="861">
        <v>2787448.4070764212</v>
      </c>
      <c r="Z10" s="861">
        <v>2809037.3525043377</v>
      </c>
      <c r="AA10" s="861">
        <v>2830626.2979322542</v>
      </c>
      <c r="AB10" s="861">
        <v>2852215.2433601706</v>
      </c>
      <c r="AC10" s="861">
        <v>2873804.1887880871</v>
      </c>
      <c r="AD10" s="861">
        <v>2895393.1342160036</v>
      </c>
      <c r="AE10" s="861">
        <v>2916982.0796439201</v>
      </c>
      <c r="AF10" s="861">
        <v>2938571.0250718365</v>
      </c>
      <c r="AG10" s="861">
        <v>2960159.970499753</v>
      </c>
      <c r="AH10" s="331"/>
      <c r="AI10" s="1153">
        <f t="shared" si="2" ref="AI10">E10-T10</f>
        <v>9806805.1720677465</v>
      </c>
      <c r="AJ10" s="329"/>
      <c r="AK10" s="329"/>
      <c r="AL10" s="329"/>
      <c r="AM10" s="329"/>
      <c r="AN10" s="329"/>
      <c r="AO10" s="329"/>
      <c r="AP10" s="329"/>
      <c r="AQ10" s="329"/>
      <c r="AR10" s="329"/>
      <c r="AS10" s="329"/>
      <c r="AT10" s="329"/>
      <c r="AU10" s="329"/>
      <c r="AV10" s="329"/>
    </row>
    <row r="11" spans="1:35" ht="15.75">
      <c r="A11" s="546" t="str">
        <f>'Attachment 11 - TEC'!A63</f>
        <v>2b</v>
      </c>
      <c r="B11" s="30"/>
      <c r="C11" s="694" t="str">
        <f>'Attachment 11 - TEC'!C63</f>
        <v>Install 250 MVAR capacitor at Keystone 500 kV</v>
      </c>
      <c r="D11" s="691" t="str">
        <f>'Attachment 11 - TEC'!D63</f>
        <v>b0549</v>
      </c>
      <c r="E11" s="19">
        <f>AVERAGE(F11:R11)</f>
        <v>3207134.25</v>
      </c>
      <c r="F11" s="1152">
        <v>3207134.25</v>
      </c>
      <c r="G11" s="1152">
        <v>3207134.25</v>
      </c>
      <c r="H11" s="1152">
        <v>3207134.25</v>
      </c>
      <c r="I11" s="1152">
        <v>3207134.25</v>
      </c>
      <c r="J11" s="1152">
        <v>3207134.25</v>
      </c>
      <c r="K11" s="1152">
        <v>3207134.25</v>
      </c>
      <c r="L11" s="1152">
        <v>3207134.25</v>
      </c>
      <c r="M11" s="1152">
        <v>3207134.25</v>
      </c>
      <c r="N11" s="1152">
        <v>3207134.25</v>
      </c>
      <c r="O11" s="1152">
        <v>3207134.25</v>
      </c>
      <c r="P11" s="1152">
        <v>3207134.25</v>
      </c>
      <c r="Q11" s="1152">
        <v>3207134.25</v>
      </c>
      <c r="R11" s="1152">
        <v>3207134.25</v>
      </c>
      <c r="S11" s="862"/>
      <c r="T11" s="1165">
        <f t="shared" si="3" ref="T11:T23">AVERAGE(U11:AG11)</f>
        <v>473079.90678125026</v>
      </c>
      <c r="U11" s="1152">
        <v>440206.78071875038</v>
      </c>
      <c r="V11" s="1152">
        <v>445685.63506250037</v>
      </c>
      <c r="W11" s="1152">
        <v>451164.48940625036</v>
      </c>
      <c r="X11" s="1152">
        <v>456643.34375000035</v>
      </c>
      <c r="Y11" s="1152">
        <v>462122.19809375034</v>
      </c>
      <c r="Z11" s="1152">
        <v>467601.05243750033</v>
      </c>
      <c r="AA11" s="1152">
        <v>473079.90678125032</v>
      </c>
      <c r="AB11" s="1152">
        <v>478558.76112500031</v>
      </c>
      <c r="AC11" s="1152">
        <v>484037.6154687503</v>
      </c>
      <c r="AD11" s="1152">
        <v>489516.46981250029</v>
      </c>
      <c r="AE11" s="1152">
        <v>494995.32415625028</v>
      </c>
      <c r="AF11" s="1152">
        <v>500474.17850000027</v>
      </c>
      <c r="AG11" s="1152">
        <v>505953.03284375026</v>
      </c>
      <c r="AH11" s="331"/>
      <c r="AI11" s="1153">
        <f>E11-T11</f>
        <v>2734054.3432187499</v>
      </c>
    </row>
    <row r="12" spans="1:35" ht="15.75">
      <c r="A12" s="546" t="str">
        <f>'Attachment 11 - TEC'!A64</f>
        <v>2c</v>
      </c>
      <c r="B12" s="30"/>
      <c r="C12" s="694" t="str">
        <f>'Attachment 11 - TEC'!C64</f>
        <v>Install 25 MVAR capacitor at Saxton 115 kV substation</v>
      </c>
      <c r="D12" s="691" t="str">
        <f>'Attachment 11 - TEC'!D64</f>
        <v>b0551</v>
      </c>
      <c r="E12" s="19">
        <f>AVERAGE(F12:R12)</f>
        <v>1380393.0999999999</v>
      </c>
      <c r="F12" s="1152">
        <v>1380393.1000000001</v>
      </c>
      <c r="G12" s="1152">
        <v>1380393.1000000001</v>
      </c>
      <c r="H12" s="1152">
        <v>1380393.1000000001</v>
      </c>
      <c r="I12" s="1152">
        <v>1380393.1000000001</v>
      </c>
      <c r="J12" s="1152">
        <v>1380393.1000000001</v>
      </c>
      <c r="K12" s="1152">
        <v>1380393.1000000001</v>
      </c>
      <c r="L12" s="1152">
        <v>1380393.1000000001</v>
      </c>
      <c r="M12" s="1152">
        <v>1380393.1000000001</v>
      </c>
      <c r="N12" s="1152">
        <v>1380393.1000000001</v>
      </c>
      <c r="O12" s="1152">
        <v>1380393.1000000001</v>
      </c>
      <c r="P12" s="1152">
        <v>1380393.1000000001</v>
      </c>
      <c r="Q12" s="1152">
        <v>1380393.1000000001</v>
      </c>
      <c r="R12" s="1152">
        <v>1380393.1000000001</v>
      </c>
      <c r="S12" s="862"/>
      <c r="T12" s="1165">
        <f t="shared" si="3"/>
        <v>309086.12597715954</v>
      </c>
      <c r="U12" s="1152">
        <v>295067.9874621596</v>
      </c>
      <c r="V12" s="1152">
        <v>297404.34388132626</v>
      </c>
      <c r="W12" s="1152">
        <v>299740.70030049293</v>
      </c>
      <c r="X12" s="1152">
        <v>302077.05671965959</v>
      </c>
      <c r="Y12" s="1152">
        <v>304413.41313882626</v>
      </c>
      <c r="Z12" s="1152">
        <v>306749.76955799293</v>
      </c>
      <c r="AA12" s="1152">
        <v>309086.12597715959</v>
      </c>
      <c r="AB12" s="1152">
        <v>311422.48239632626</v>
      </c>
      <c r="AC12" s="1152">
        <v>313758.83881549293</v>
      </c>
      <c r="AD12" s="1152">
        <v>316095.19523465959</v>
      </c>
      <c r="AE12" s="1152">
        <v>318431.55165382626</v>
      </c>
      <c r="AF12" s="1152">
        <v>320767.90807299293</v>
      </c>
      <c r="AG12" s="1152">
        <v>323104.26449215959</v>
      </c>
      <c r="AH12" s="331"/>
      <c r="AI12" s="1153">
        <f t="shared" si="4" ref="AI12:AI25">E12-T12</f>
        <v>1071306.9740228404</v>
      </c>
    </row>
    <row r="13" spans="1:35" ht="15.75">
      <c r="A13" s="546" t="str">
        <f>'Attachment 11 - TEC'!A65</f>
        <v>2d</v>
      </c>
      <c r="B13" s="30"/>
      <c r="C13" s="694" t="str">
        <f>'Attachment 11 - TEC'!C65</f>
        <v>Install 50 MVAR capacitor at Altoona 230 kV substation</v>
      </c>
      <c r="D13" s="691" t="str">
        <f>'Attachment 11 - TEC'!D65</f>
        <v>b0552</v>
      </c>
      <c r="E13" s="19">
        <f t="shared" si="5" ref="E13:E32">AVERAGE(F13:R13)</f>
        <v>1038334.66</v>
      </c>
      <c r="F13" s="1152">
        <v>1038334.66</v>
      </c>
      <c r="G13" s="1152">
        <v>1038334.66</v>
      </c>
      <c r="H13" s="1152">
        <v>1038334.66</v>
      </c>
      <c r="I13" s="1152">
        <v>1038334.66</v>
      </c>
      <c r="J13" s="1152">
        <v>1038334.66</v>
      </c>
      <c r="K13" s="1152">
        <v>1038334.66</v>
      </c>
      <c r="L13" s="1152">
        <v>1038334.66</v>
      </c>
      <c r="M13" s="1152">
        <v>1038334.66</v>
      </c>
      <c r="N13" s="1152">
        <v>1038334.66</v>
      </c>
      <c r="O13" s="1152">
        <v>1038334.66</v>
      </c>
      <c r="P13" s="1152">
        <v>1038334.66</v>
      </c>
      <c r="Q13" s="1152">
        <v>1038334.66</v>
      </c>
      <c r="R13" s="1152">
        <v>1038334.66</v>
      </c>
      <c r="S13" s="862"/>
      <c r="T13" s="1165">
        <f t="shared" si="3"/>
        <v>126753.07246199981</v>
      </c>
      <c r="U13" s="1152">
        <v>116110.1421969998</v>
      </c>
      <c r="V13" s="1152">
        <v>117883.96390783314</v>
      </c>
      <c r="W13" s="1152">
        <v>119657.78561866647</v>
      </c>
      <c r="X13" s="1152">
        <v>121431.60732949981</v>
      </c>
      <c r="Y13" s="1152">
        <v>123205.42904033314</v>
      </c>
      <c r="Z13" s="1152">
        <v>124979.25075116647</v>
      </c>
      <c r="AA13" s="1152">
        <v>126753.07246199981</v>
      </c>
      <c r="AB13" s="1152">
        <v>128526.89417283314</v>
      </c>
      <c r="AC13" s="1152">
        <v>130300.71588366647</v>
      </c>
      <c r="AD13" s="1152">
        <v>132074.53759449979</v>
      </c>
      <c r="AE13" s="1152">
        <v>133848.35930533311</v>
      </c>
      <c r="AF13" s="1152">
        <v>135622.18101616643</v>
      </c>
      <c r="AG13" s="1152">
        <v>137396.00272699975</v>
      </c>
      <c r="AH13" s="331"/>
      <c r="AI13" s="1153">
        <f t="shared" si="4"/>
        <v>911581.5875380002</v>
      </c>
    </row>
    <row r="14" spans="1:35" ht="15.75">
      <c r="A14" s="546" t="str">
        <f>'Attachment 11 - TEC'!A66</f>
        <v>2e</v>
      </c>
      <c r="B14" s="30"/>
      <c r="C14" s="694" t="str">
        <f>'Attachment 11 - TEC'!C66</f>
        <v>Install 50 MVAR capacitor at Raystown 230 kV substation</v>
      </c>
      <c r="D14" s="691" t="str">
        <f>'Attachment 11 - TEC'!D66</f>
        <v>b0553</v>
      </c>
      <c r="E14" s="19">
        <f t="shared" si="5"/>
        <v>927946.83999999997</v>
      </c>
      <c r="F14" s="1152">
        <v>927946.83999999997</v>
      </c>
      <c r="G14" s="1152">
        <v>927946.83999999997</v>
      </c>
      <c r="H14" s="1152">
        <v>927946.83999999997</v>
      </c>
      <c r="I14" s="1152">
        <v>927946.83999999997</v>
      </c>
      <c r="J14" s="1152">
        <v>927946.83999999997</v>
      </c>
      <c r="K14" s="1152">
        <v>927946.83999999997</v>
      </c>
      <c r="L14" s="1152">
        <v>927946.83999999997</v>
      </c>
      <c r="M14" s="1152">
        <v>927946.83999999997</v>
      </c>
      <c r="N14" s="1152">
        <v>927946.83999999997</v>
      </c>
      <c r="O14" s="1152">
        <v>927946.83999999997</v>
      </c>
      <c r="P14" s="1152">
        <v>927946.83999999997</v>
      </c>
      <c r="Q14" s="1152">
        <v>927946.83999999997</v>
      </c>
      <c r="R14" s="1152">
        <v>927946.83999999997</v>
      </c>
      <c r="S14" s="862"/>
      <c r="T14" s="1165">
        <f t="shared" si="3"/>
        <v>137222.58067799974</v>
      </c>
      <c r="U14" s="1152">
        <v>127711.12556799971</v>
      </c>
      <c r="V14" s="1152">
        <v>129296.36808633305</v>
      </c>
      <c r="W14" s="1152">
        <v>130881.61060466639</v>
      </c>
      <c r="X14" s="1152">
        <v>132466.85312299972</v>
      </c>
      <c r="Y14" s="1152">
        <v>134052.09564133306</v>
      </c>
      <c r="Z14" s="1152">
        <v>135637.3381596664</v>
      </c>
      <c r="AA14" s="1152">
        <v>137222.58067799974</v>
      </c>
      <c r="AB14" s="1152">
        <v>138807.82319633308</v>
      </c>
      <c r="AC14" s="1152">
        <v>140393.06571466642</v>
      </c>
      <c r="AD14" s="1152">
        <v>141978.30823299976</v>
      </c>
      <c r="AE14" s="1152">
        <v>143563.5507513331</v>
      </c>
      <c r="AF14" s="1152">
        <v>145148.79326966644</v>
      </c>
      <c r="AG14" s="1152">
        <v>146734.03578799978</v>
      </c>
      <c r="AH14" s="331"/>
      <c r="AI14" s="1153">
        <f t="shared" si="4"/>
        <v>790724.2593220002</v>
      </c>
    </row>
    <row r="15" spans="1:35" ht="15.75">
      <c r="A15" s="546" t="str">
        <f>'Attachment 11 - TEC'!A67</f>
        <v>2f</v>
      </c>
      <c r="B15" s="30"/>
      <c r="C15" s="694" t="str">
        <f>'Attachment 11 - TEC'!C67</f>
        <v>Install 75 MVAR capacitor at East Towanda 230 kV substation</v>
      </c>
      <c r="D15" s="691" t="str">
        <f>'Attachment 11 - TEC'!D67</f>
        <v>b0557</v>
      </c>
      <c r="E15" s="19">
        <f t="shared" si="5"/>
        <v>2184960.5638461532</v>
      </c>
      <c r="F15" s="1152">
        <v>2177814.3700000001</v>
      </c>
      <c r="G15" s="1152">
        <v>2185556.0800000001</v>
      </c>
      <c r="H15" s="1152">
        <v>2185556.0800000001</v>
      </c>
      <c r="I15" s="1152">
        <v>2185556.0800000001</v>
      </c>
      <c r="J15" s="1152">
        <v>2185556.0800000001</v>
      </c>
      <c r="K15" s="1152">
        <v>2185556.0800000001</v>
      </c>
      <c r="L15" s="1152">
        <v>2185556.0800000001</v>
      </c>
      <c r="M15" s="1152">
        <v>2185556.0800000001</v>
      </c>
      <c r="N15" s="1152">
        <v>2185556.0800000001</v>
      </c>
      <c r="O15" s="1152">
        <v>2185556.0800000001</v>
      </c>
      <c r="P15" s="1152">
        <v>2185556.0800000001</v>
      </c>
      <c r="Q15" s="1152">
        <v>2185556.0800000001</v>
      </c>
      <c r="R15" s="1152">
        <v>2185556.0800000001</v>
      </c>
      <c r="S15" s="862"/>
      <c r="T15" s="1165">
        <f t="shared" si="3"/>
        <v>321268.32961052994</v>
      </c>
      <c r="U15" s="1152">
        <v>299097.78933456063</v>
      </c>
      <c r="V15" s="1152">
        <v>302787.3403002774</v>
      </c>
      <c r="W15" s="1152">
        <v>306483.4374517774</v>
      </c>
      <c r="X15" s="1152">
        <v>310179.5346032774</v>
      </c>
      <c r="Y15" s="1152">
        <v>313875.63175477739</v>
      </c>
      <c r="Z15" s="1152">
        <v>317571.72890627739</v>
      </c>
      <c r="AA15" s="1152">
        <v>321267.82605777739</v>
      </c>
      <c r="AB15" s="1152">
        <v>324963.92320927739</v>
      </c>
      <c r="AC15" s="1152">
        <v>328660.02036077739</v>
      </c>
      <c r="AD15" s="1152">
        <v>332356.11751227739</v>
      </c>
      <c r="AE15" s="1152">
        <v>336052.21466377738</v>
      </c>
      <c r="AF15" s="1152">
        <v>339748.31181527738</v>
      </c>
      <c r="AG15" s="1152">
        <v>343444.40896677738</v>
      </c>
      <c r="AH15" s="331"/>
      <c r="AI15" s="1153">
        <f t="shared" si="4"/>
        <v>1863692.2342356234</v>
      </c>
    </row>
    <row r="16" spans="1:35" ht="15.75">
      <c r="A16" s="546" t="str">
        <f>'Attachment 11 - TEC'!A68</f>
        <v>2g</v>
      </c>
      <c r="B16" s="30"/>
      <c r="C16" s="694" t="str">
        <f>'Attachment 11 - TEC'!C68</f>
        <v>Relocate the Erie South 345 kV line terminal</v>
      </c>
      <c r="D16" s="691" t="str">
        <f>'Attachment 11 - TEC'!D68</f>
        <v>b1993</v>
      </c>
      <c r="E16" s="19">
        <f t="shared" si="5"/>
        <v>10820474.569230767</v>
      </c>
      <c r="F16" s="1152">
        <v>10622208.879999997</v>
      </c>
      <c r="G16" s="1152">
        <v>10836996.709999999</v>
      </c>
      <c r="H16" s="1152">
        <v>10836996.709999999</v>
      </c>
      <c r="I16" s="1152">
        <v>10836996.709999999</v>
      </c>
      <c r="J16" s="1152">
        <v>10836996.709999999</v>
      </c>
      <c r="K16" s="1152">
        <v>10836996.709999999</v>
      </c>
      <c r="L16" s="1152">
        <v>10836996.709999999</v>
      </c>
      <c r="M16" s="1152">
        <v>10836996.709999999</v>
      </c>
      <c r="N16" s="1152">
        <v>10836996.709999999</v>
      </c>
      <c r="O16" s="1152">
        <v>10836996.709999999</v>
      </c>
      <c r="P16" s="1152">
        <v>10836996.709999999</v>
      </c>
      <c r="Q16" s="1152">
        <v>10836996.709999999</v>
      </c>
      <c r="R16" s="1152">
        <v>10836996.709999999</v>
      </c>
      <c r="S16" s="862"/>
      <c r="T16" s="1165">
        <f t="shared" si="3"/>
        <v>983311.68888943782</v>
      </c>
      <c r="U16" s="1152">
        <v>871301.82096221694</v>
      </c>
      <c r="V16" s="1152">
        <v>889813.35333987256</v>
      </c>
      <c r="W16" s="1152">
        <v>908510.16992353927</v>
      </c>
      <c r="X16" s="1152">
        <v>927206.98650720599</v>
      </c>
      <c r="Y16" s="1152">
        <v>945903.80309087271</v>
      </c>
      <c r="Z16" s="1152">
        <v>964600.61967453943</v>
      </c>
      <c r="AA16" s="1152">
        <v>983297.43625820614</v>
      </c>
      <c r="AB16" s="1152">
        <v>1001994.2528418729</v>
      </c>
      <c r="AC16" s="1152">
        <v>1020691.0694255396</v>
      </c>
      <c r="AD16" s="1152">
        <v>1039387.8860092063</v>
      </c>
      <c r="AE16" s="1152">
        <v>1058084.702592873</v>
      </c>
      <c r="AF16" s="1152">
        <v>1076781.5191765397</v>
      </c>
      <c r="AG16" s="1152">
        <v>1095478.3357602064</v>
      </c>
      <c r="AH16" s="331"/>
      <c r="AI16" s="1153">
        <f>E16-T16</f>
        <v>9837162.8803413287</v>
      </c>
    </row>
    <row r="17" spans="1:35" ht="47.25">
      <c r="A17" s="546" t="str">
        <f>'Attachment 11 - TEC'!A69</f>
        <v>2h</v>
      </c>
      <c r="B17" s="30"/>
      <c r="C17" s="694" t="str">
        <f>'Attachment 11 - TEC'!C69</f>
        <v>Convert Lewis Run-Farmers Valley to 230 kV using 1033.5 ACSR conductor. Project to be completed in conjunction with new Farmers Valley 345/230 kV transformation</v>
      </c>
      <c r="D17" s="691" t="str">
        <f>'Attachment 11 - TEC'!D69</f>
        <v>b1994</v>
      </c>
      <c r="E17" s="19">
        <f>AVERAGE(F17:R17)</f>
        <v>63016199.793076925</v>
      </c>
      <c r="F17" s="1152">
        <v>63511421.120000005</v>
      </c>
      <c r="G17" s="1152">
        <v>63577237.850000001</v>
      </c>
      <c r="H17" s="1152">
        <v>63584849.490000002</v>
      </c>
      <c r="I17" s="1152">
        <v>62843057.160000004</v>
      </c>
      <c r="J17" s="1152">
        <v>62842300.650000006</v>
      </c>
      <c r="K17" s="1152">
        <v>62842300.650000006</v>
      </c>
      <c r="L17" s="1152">
        <v>62842597.670000002</v>
      </c>
      <c r="M17" s="1152">
        <v>62858953.75</v>
      </c>
      <c r="N17" s="1152">
        <v>62856119.680000007</v>
      </c>
      <c r="O17" s="1152">
        <v>62856343.680000007</v>
      </c>
      <c r="P17" s="1152">
        <v>62859713.840000004</v>
      </c>
      <c r="Q17" s="1152">
        <v>62866340.630000003</v>
      </c>
      <c r="R17" s="1152">
        <v>62869361.139999993</v>
      </c>
      <c r="S17" s="862"/>
      <c r="T17" s="1165">
        <f t="shared" si="3"/>
        <v>3068281.7290683095</v>
      </c>
      <c r="U17" s="1152">
        <v>2321894.0243282733</v>
      </c>
      <c r="V17" s="1152">
        <v>2447156.0368151907</v>
      </c>
      <c r="W17" s="1152">
        <v>2572490.4222854599</v>
      </c>
      <c r="X17" s="1152">
        <v>2697101.1794516481</v>
      </c>
      <c r="Y17" s="1152">
        <v>2820980.0604392528</v>
      </c>
      <c r="Z17" s="1152">
        <v>2944858.1957901828</v>
      </c>
      <c r="AA17" s="1152">
        <v>3068736.6238920419</v>
      </c>
      <c r="AB17" s="1152">
        <v>3192631.4657387389</v>
      </c>
      <c r="AC17" s="1152">
        <v>3316539.6352434596</v>
      </c>
      <c r="AD17" s="1152">
        <v>3440445.2321927408</v>
      </c>
      <c r="AE17" s="1152">
        <v>3564354.3716431269</v>
      </c>
      <c r="AF17" s="1152">
        <v>3688273.3643572573</v>
      </c>
      <c r="AG17" s="1152">
        <v>3812201.8657106543</v>
      </c>
      <c r="AH17" s="331"/>
      <c r="AI17" s="1153">
        <f>E17-T17</f>
        <v>59947918.064008616</v>
      </c>
    </row>
    <row r="18" spans="1:35" ht="15.75">
      <c r="A18" s="546" t="str">
        <f>'Attachment 11 - TEC'!A70</f>
        <v xml:space="preserve">2i </v>
      </c>
      <c r="B18" s="30"/>
      <c r="C18" s="694" t="str">
        <f>'Attachment 11 - TEC'!C70</f>
        <v xml:space="preserve">Portland-Kittatinny 230kv Terminal Upgrade </v>
      </c>
      <c r="D18" s="691" t="str">
        <f>'Attachment 11 - TEC'!D70</f>
        <v>b0132.3</v>
      </c>
      <c r="E18" s="19">
        <f>AVERAGE(F18:R18)</f>
        <v>130995.06000000004</v>
      </c>
      <c r="F18" s="1152">
        <v>130995.06</v>
      </c>
      <c r="G18" s="1152">
        <v>130995.06</v>
      </c>
      <c r="H18" s="1152">
        <v>130995.06</v>
      </c>
      <c r="I18" s="1152">
        <v>130995.06</v>
      </c>
      <c r="J18" s="1152">
        <v>130995.06</v>
      </c>
      <c r="K18" s="1152">
        <v>130995.06</v>
      </c>
      <c r="L18" s="1152">
        <v>130995.06</v>
      </c>
      <c r="M18" s="1152">
        <v>130995.06</v>
      </c>
      <c r="N18" s="1152">
        <v>130995.06</v>
      </c>
      <c r="O18" s="1152">
        <v>130995.06</v>
      </c>
      <c r="P18" s="1152">
        <v>130995.06</v>
      </c>
      <c r="Q18" s="1152">
        <v>130995.06</v>
      </c>
      <c r="R18" s="1152">
        <v>130995.06</v>
      </c>
      <c r="S18" s="862"/>
      <c r="T18" s="1165">
        <f t="shared" si="3"/>
        <v>25007.134285</v>
      </c>
      <c r="U18" s="1152">
        <v>23664.434920000003</v>
      </c>
      <c r="V18" s="1152">
        <v>23888.218147500003</v>
      </c>
      <c r="W18" s="1152">
        <v>24112.001375000003</v>
      </c>
      <c r="X18" s="1152">
        <v>24335.784602500004</v>
      </c>
      <c r="Y18" s="1152">
        <v>24559.567830000004</v>
      </c>
      <c r="Z18" s="1152">
        <v>24783.351057500004</v>
      </c>
      <c r="AA18" s="1152">
        <v>25007.134285000004</v>
      </c>
      <c r="AB18" s="1152">
        <v>25230.917512500004</v>
      </c>
      <c r="AC18" s="1152">
        <v>25454.700740000004</v>
      </c>
      <c r="AD18" s="1152">
        <v>25678.483967500004</v>
      </c>
      <c r="AE18" s="1152">
        <v>25902.267195000004</v>
      </c>
      <c r="AF18" s="1152">
        <v>26126.050422500004</v>
      </c>
      <c r="AG18" s="1152">
        <v>26349.833650000004</v>
      </c>
      <c r="AH18" s="331"/>
      <c r="AI18" s="1153">
        <f t="shared" si="6" ref="AI18:AI21">E18-T18</f>
        <v>105987.92571500005</v>
      </c>
    </row>
    <row r="19" spans="1:35" ht="15.75">
      <c r="A19" s="546" t="str">
        <f>'Attachment 11 - TEC'!A71</f>
        <v>2j</v>
      </c>
      <c r="B19" s="30"/>
      <c r="C19" s="694" t="str">
        <f>'Attachment 11 - TEC'!C71</f>
        <v xml:space="preserve">South Lebanon 230/69 kv Bank 1 - Upgrade 69 kv Terminal Facilities </v>
      </c>
      <c r="D19" s="691" t="str">
        <f>'Attachment 11 - TEC'!D71</f>
        <v>b1364</v>
      </c>
      <c r="E19" s="19">
        <f t="shared" si="7" ref="E19:E21">AVERAGE(F19:R19)</f>
        <v>87274.759999999995</v>
      </c>
      <c r="F19" s="1152">
        <v>87274.759999999995</v>
      </c>
      <c r="G19" s="1152">
        <v>87274.759999999995</v>
      </c>
      <c r="H19" s="1152">
        <v>87274.759999999995</v>
      </c>
      <c r="I19" s="1152">
        <v>87274.759999999995</v>
      </c>
      <c r="J19" s="1152">
        <v>87274.759999999995</v>
      </c>
      <c r="K19" s="1152">
        <v>87274.759999999995</v>
      </c>
      <c r="L19" s="1152">
        <v>87274.759999999995</v>
      </c>
      <c r="M19" s="1152">
        <v>87274.759999999995</v>
      </c>
      <c r="N19" s="1152">
        <v>87274.759999999995</v>
      </c>
      <c r="O19" s="1152">
        <v>87274.759999999995</v>
      </c>
      <c r="P19" s="1152">
        <v>87274.759999999995</v>
      </c>
      <c r="Q19" s="1152">
        <v>87274.759999999995</v>
      </c>
      <c r="R19" s="1152">
        <v>87274.759999999995</v>
      </c>
      <c r="S19" s="862"/>
      <c r="T19" s="1165">
        <f t="shared" si="3"/>
        <v>15424.77778312496</v>
      </c>
      <c r="U19" s="1152">
        <v>14530.211493124965</v>
      </c>
      <c r="V19" s="1152">
        <v>14679.305874791631</v>
      </c>
      <c r="W19" s="1152">
        <v>14828.400256458297</v>
      </c>
      <c r="X19" s="1152">
        <v>14977.494638124963</v>
      </c>
      <c r="Y19" s="1152">
        <v>15126.589019791629</v>
      </c>
      <c r="Z19" s="1152">
        <v>15275.683401458295</v>
      </c>
      <c r="AA19" s="1152">
        <v>15424.77778312496</v>
      </c>
      <c r="AB19" s="1152">
        <v>15573.872164791626</v>
      </c>
      <c r="AC19" s="1152">
        <v>15722.966546458292</v>
      </c>
      <c r="AD19" s="1152">
        <v>15872.060928124958</v>
      </c>
      <c r="AE19" s="1152">
        <v>16021.155309791624</v>
      </c>
      <c r="AF19" s="1152">
        <v>16170.24969145829</v>
      </c>
      <c r="AG19" s="1152">
        <v>16319.344073124956</v>
      </c>
      <c r="AH19" s="331"/>
      <c r="AI19" s="1153">
        <f t="shared" si="6"/>
        <v>71849.98221687504</v>
      </c>
    </row>
    <row r="20" spans="1:35" ht="15.75">
      <c r="A20" s="546" t="str">
        <f>'Attachment 11 - TEC'!A72</f>
        <v>2k</v>
      </c>
      <c r="B20" s="30"/>
      <c r="C20" s="694" t="str">
        <f>'Attachment 11 - TEC'!C72</f>
        <v>Middletown Sub - 69 kv Capacitor Bank</v>
      </c>
      <c r="D20" s="691" t="str">
        <f>'Attachment 11 - TEC'!D72</f>
        <v>b1362</v>
      </c>
      <c r="E20" s="19">
        <f t="shared" si="7"/>
        <v>52028.847692307696</v>
      </c>
      <c r="F20" s="1152">
        <v>47992.020000000004</v>
      </c>
      <c r="G20" s="1152">
        <v>52365.25</v>
      </c>
      <c r="H20" s="1152">
        <v>52365.25</v>
      </c>
      <c r="I20" s="1152">
        <v>52365.25</v>
      </c>
      <c r="J20" s="1152">
        <v>52365.25</v>
      </c>
      <c r="K20" s="1152">
        <v>52365.25</v>
      </c>
      <c r="L20" s="1152">
        <v>52365.25</v>
      </c>
      <c r="M20" s="1152">
        <v>52365.25</v>
      </c>
      <c r="N20" s="1152">
        <v>52365.25</v>
      </c>
      <c r="O20" s="1152">
        <v>52365.25</v>
      </c>
      <c r="P20" s="1152">
        <v>52365.25</v>
      </c>
      <c r="Q20" s="1152">
        <v>52365.25</v>
      </c>
      <c r="R20" s="1152">
        <v>52365.25</v>
      </c>
      <c r="S20" s="862"/>
      <c r="T20" s="1165">
        <f t="shared" si="3"/>
        <v>6508.9540525533048</v>
      </c>
      <c r="U20" s="1152">
        <v>6162.5867306666723</v>
      </c>
      <c r="V20" s="1152">
        <v>6218.2617397938575</v>
      </c>
      <c r="W20" s="1152">
        <v>6276.3628772938573</v>
      </c>
      <c r="X20" s="1152">
        <v>6334.4640147938571</v>
      </c>
      <c r="Y20" s="1152">
        <v>6392.565152293857</v>
      </c>
      <c r="Z20" s="1152">
        <v>6450.6662897938568</v>
      </c>
      <c r="AA20" s="1152">
        <v>6508.7674272938566</v>
      </c>
      <c r="AB20" s="1152">
        <v>6566.8685647938564</v>
      </c>
      <c r="AC20" s="1152">
        <v>6624.9697022938562</v>
      </c>
      <c r="AD20" s="1152">
        <v>6683.0708397938561</v>
      </c>
      <c r="AE20" s="1152">
        <v>6741.1719772938559</v>
      </c>
      <c r="AF20" s="1152">
        <v>6799.2731147938557</v>
      </c>
      <c r="AG20" s="1152">
        <v>6857.3742522938555</v>
      </c>
      <c r="AH20" s="331"/>
      <c r="AI20" s="1153">
        <f t="shared" si="6"/>
        <v>45519.893639754388</v>
      </c>
    </row>
    <row r="21" spans="1:35" ht="15.75">
      <c r="A21" s="546" t="str">
        <f>'Attachment 11 - TEC'!A73</f>
        <v>2l</v>
      </c>
      <c r="B21" s="30"/>
      <c r="C21" s="694" t="str">
        <f>'Attachment 11 - TEC'!C73</f>
        <v xml:space="preserve">Germantown - 138kv Reactor Removal </v>
      </c>
      <c r="D21" s="691" t="str">
        <f>'Attachment 11 - TEC'!D73</f>
        <v>b1816.4</v>
      </c>
      <c r="E21" s="19">
        <f t="shared" si="7"/>
        <v>60497.667692307696</v>
      </c>
      <c r="F21" s="1152">
        <v>0</v>
      </c>
      <c r="G21" s="1152">
        <v>65539.139999999999</v>
      </c>
      <c r="H21" s="1152">
        <v>65539.139999999999</v>
      </c>
      <c r="I21" s="1152">
        <v>65539.139999999999</v>
      </c>
      <c r="J21" s="1152">
        <v>65539.139999999999</v>
      </c>
      <c r="K21" s="1152">
        <v>65539.139999999999</v>
      </c>
      <c r="L21" s="1152">
        <v>65539.139999999999</v>
      </c>
      <c r="M21" s="1152">
        <v>65539.139999999999</v>
      </c>
      <c r="N21" s="1152">
        <v>65539.139999999999</v>
      </c>
      <c r="O21" s="1152">
        <v>65539.139999999999</v>
      </c>
      <c r="P21" s="1152">
        <v>65539.139999999999</v>
      </c>
      <c r="Q21" s="1152">
        <v>65539.139999999999</v>
      </c>
      <c r="R21" s="1152">
        <v>65539.139999999999</v>
      </c>
      <c r="S21" s="862"/>
      <c r="T21" s="1165">
        <f t="shared" si="3"/>
        <v>620.10109384615373</v>
      </c>
      <c r="U21" s="1152">
        <v>0</v>
      </c>
      <c r="V21" s="1152">
        <v>55.981348749999995</v>
      </c>
      <c r="W21" s="1152">
        <v>167.94404624999999</v>
      </c>
      <c r="X21" s="1152">
        <v>279.90674374999998</v>
      </c>
      <c r="Y21" s="1152">
        <v>391.86944124999997</v>
      </c>
      <c r="Z21" s="1152">
        <v>503.83213874999996</v>
      </c>
      <c r="AA21" s="1152">
        <v>615.79483624999989</v>
      </c>
      <c r="AB21" s="1152">
        <v>727.75753374999988</v>
      </c>
      <c r="AC21" s="1152">
        <v>839.72023124999987</v>
      </c>
      <c r="AD21" s="1152">
        <v>951.68292874999986</v>
      </c>
      <c r="AE21" s="1152">
        <v>1063.6456262499999</v>
      </c>
      <c r="AF21" s="1152">
        <v>1175.6083237499997</v>
      </c>
      <c r="AG21" s="1152">
        <v>1287.5710212499998</v>
      </c>
      <c r="AH21" s="331"/>
      <c r="AI21" s="1153">
        <f t="shared" si="6"/>
        <v>59877.566598461541</v>
      </c>
    </row>
    <row r="22" spans="1:35" ht="31.5">
      <c r="A22" s="546" t="str">
        <f>'Attachment 11 - TEC'!A74</f>
        <v>2m</v>
      </c>
      <c r="B22" s="30"/>
      <c r="C22" s="694" t="str">
        <f>'Attachment 11 - TEC'!C74</f>
        <v>Germantown r p 138 115kV #1 Bk Xfmr + Upgrade 138kV 999L &amp; 115kV 998L components RTEP b2688, b2688.1, b2688.2</v>
      </c>
      <c r="D22" s="691" t="str">
        <f>'Attachment 11 - TEC'!D74</f>
        <v>b2688.1 &amp; b2688.2</v>
      </c>
      <c r="E22" s="19">
        <f>AVERAGE(F22:R22)</f>
        <v>6067117.0823076917</v>
      </c>
      <c r="F22" s="1152">
        <v>5927492.2700000005</v>
      </c>
      <c r="G22" s="1152">
        <v>6134949.6200000001</v>
      </c>
      <c r="H22" s="1152">
        <v>6134949.6200000001</v>
      </c>
      <c r="I22" s="1152">
        <v>6066981.7799999993</v>
      </c>
      <c r="J22" s="1152">
        <v>6066981.7799999993</v>
      </c>
      <c r="K22" s="1152">
        <v>6067021.7599999998</v>
      </c>
      <c r="L22" s="1152">
        <v>6067107.4399999995</v>
      </c>
      <c r="M22" s="1152">
        <v>6067563.5800000001</v>
      </c>
      <c r="N22" s="1152">
        <v>6067701.3499999996</v>
      </c>
      <c r="O22" s="1152">
        <v>6067839.5600000005</v>
      </c>
      <c r="P22" s="1152">
        <v>6067977.7699999996</v>
      </c>
      <c r="Q22" s="1152">
        <v>6067977.7699999996</v>
      </c>
      <c r="R22" s="1152">
        <v>6067977.7700000005</v>
      </c>
      <c r="S22" s="862"/>
      <c r="T22" s="1165">
        <f t="shared" si="3"/>
        <v>393360.78043874778</v>
      </c>
      <c r="U22" s="1152">
        <v>331179.34888645826</v>
      </c>
      <c r="V22" s="1152">
        <v>341467.19491671101</v>
      </c>
      <c r="W22" s="1152">
        <v>351931.97769775667</v>
      </c>
      <c r="X22" s="1152">
        <v>362338.79189505236</v>
      </c>
      <c r="Y22" s="1152">
        <v>372687.63750859816</v>
      </c>
      <c r="Z22" s="1152">
        <v>383036.51722038776</v>
      </c>
      <c r="AA22" s="1152">
        <v>393385.50410539686</v>
      </c>
      <c r="AB22" s="1152">
        <v>403734.95309922163</v>
      </c>
      <c r="AC22" s="1152">
        <v>414084.9086285134</v>
      </c>
      <c r="AD22" s="1152">
        <v>424435.09953632747</v>
      </c>
      <c r="AE22" s="1152">
        <v>434785.52619793214</v>
      </c>
      <c r="AF22" s="1152">
        <v>445136.07073643216</v>
      </c>
      <c r="AG22" s="1152">
        <v>455486.61527493218</v>
      </c>
      <c r="AH22" s="331"/>
      <c r="AI22" s="1153">
        <f>E22-T22</f>
        <v>5673756.3018689435</v>
      </c>
    </row>
    <row r="23" spans="1:35" ht="31.5">
      <c r="A23" s="546" t="str">
        <f>'Attachment 11 - TEC'!A75</f>
        <v>2n</v>
      </c>
      <c r="B23" s="30"/>
      <c r="C23" s="694" t="str">
        <f>'Attachment 11 - TEC'!C75</f>
        <v>Loop the 2026 (TMI - Hosensack 500 kV) line in to the Lauschtown substation and upgrade relay at TMI 500 kV</v>
      </c>
      <c r="D23" s="691" t="str">
        <f>'Attachment 11 - TEC'!D75</f>
        <v>b2006.1.1_DFAX_Allocation</v>
      </c>
      <c r="E23" s="19">
        <f t="shared" si="5"/>
        <v>2261219.2253846149</v>
      </c>
      <c r="F23" s="1152">
        <v>2215748.5700000003</v>
      </c>
      <c r="G23" s="1152">
        <v>2263936.1800000002</v>
      </c>
      <c r="H23" s="1152">
        <v>2263936.1800000002</v>
      </c>
      <c r="I23" s="1152">
        <v>2265222.8999999999</v>
      </c>
      <c r="J23" s="1152">
        <v>2265222.8999999999</v>
      </c>
      <c r="K23" s="1152">
        <v>2265222.8999999999</v>
      </c>
      <c r="L23" s="1152">
        <v>2265222.8999999999</v>
      </c>
      <c r="M23" s="1152">
        <v>2265222.8999999999</v>
      </c>
      <c r="N23" s="1152">
        <v>2265222.8999999999</v>
      </c>
      <c r="O23" s="1152">
        <v>2265222.8999999999</v>
      </c>
      <c r="P23" s="1152">
        <v>2265222.8999999999</v>
      </c>
      <c r="Q23" s="1152">
        <v>2265222.8999999999</v>
      </c>
      <c r="R23" s="1152">
        <v>2265222.8999999999</v>
      </c>
      <c r="S23" s="331"/>
      <c r="T23" s="1165">
        <f t="shared" si="3"/>
        <v>221423.94187719017</v>
      </c>
      <c r="U23" s="1152">
        <v>196299.84980475012</v>
      </c>
      <c r="V23" s="1152">
        <v>200447.91523163824</v>
      </c>
      <c r="W23" s="1152">
        <v>204640.60106603277</v>
      </c>
      <c r="X23" s="1152">
        <v>208834.47836791756</v>
      </c>
      <c r="Y23" s="1152">
        <v>213029.54713729257</v>
      </c>
      <c r="Z23" s="1152">
        <v>217224.61590666758</v>
      </c>
      <c r="AA23" s="1152">
        <v>221419.68467604258</v>
      </c>
      <c r="AB23" s="1152">
        <v>225614.75344541759</v>
      </c>
      <c r="AC23" s="1152">
        <v>229809.8222147926</v>
      </c>
      <c r="AD23" s="1152">
        <v>234004.89098416761</v>
      </c>
      <c r="AE23" s="1152">
        <v>238199.95975354261</v>
      </c>
      <c r="AF23" s="1152">
        <v>242395.02852291762</v>
      </c>
      <c r="AG23" s="1152">
        <v>246590.09729229263</v>
      </c>
      <c r="AH23" s="331"/>
      <c r="AI23" s="1153">
        <f t="shared" si="4"/>
        <v>2039795.2835074246</v>
      </c>
    </row>
    <row r="24" spans="1:35" ht="31.5">
      <c r="A24" s="546" t="str">
        <f>'Attachment 11 - TEC'!A76</f>
        <v>2o</v>
      </c>
      <c r="B24" s="30"/>
      <c r="C24" s="694" t="str">
        <f>'Attachment 11 - TEC'!C76</f>
        <v>Loop the 2026 (TMI - Hosensack 500 kV) line in to the Lauschtown substation and upgrade relay at TMI 500 kV</v>
      </c>
      <c r="D24" s="691" t="str">
        <f>'Attachment 11 - TEC'!D76</f>
        <v>b2006.1.1_Load_Ratio_Share_Allocation</v>
      </c>
      <c r="E24" s="19">
        <f t="shared" si="5"/>
        <v>2261219.2253846149</v>
      </c>
      <c r="F24" s="1152">
        <v>2215748.5700000003</v>
      </c>
      <c r="G24" s="1152">
        <v>2263936.1800000002</v>
      </c>
      <c r="H24" s="1152">
        <v>2263936.1800000002</v>
      </c>
      <c r="I24" s="1152">
        <v>2265222.8999999999</v>
      </c>
      <c r="J24" s="1152">
        <v>2265222.8999999999</v>
      </c>
      <c r="K24" s="1152">
        <v>2265222.8999999999</v>
      </c>
      <c r="L24" s="1152">
        <v>2265222.8999999999</v>
      </c>
      <c r="M24" s="1152">
        <v>2265222.8999999999</v>
      </c>
      <c r="N24" s="1152">
        <v>2265222.8999999999</v>
      </c>
      <c r="O24" s="1152">
        <v>2265222.8999999999</v>
      </c>
      <c r="P24" s="1152">
        <v>2265222.8999999999</v>
      </c>
      <c r="Q24" s="1152">
        <v>2265222.8999999999</v>
      </c>
      <c r="R24" s="1152">
        <v>2265222.8999999999</v>
      </c>
      <c r="S24" s="331"/>
      <c r="T24" s="1165">
        <f>AVERAGE(U24:AG24)</f>
        <v>221423.94187719017</v>
      </c>
      <c r="U24" s="1152">
        <v>196299.84980475012</v>
      </c>
      <c r="V24" s="1152">
        <v>200447.91523163824</v>
      </c>
      <c r="W24" s="1152">
        <v>204640.60106603277</v>
      </c>
      <c r="X24" s="1152">
        <v>208834.47836791756</v>
      </c>
      <c r="Y24" s="1152">
        <v>213029.54713729257</v>
      </c>
      <c r="Z24" s="1152">
        <v>217224.61590666758</v>
      </c>
      <c r="AA24" s="1152">
        <v>221419.68467604258</v>
      </c>
      <c r="AB24" s="1152">
        <v>225614.75344541759</v>
      </c>
      <c r="AC24" s="1152">
        <v>229809.8222147926</v>
      </c>
      <c r="AD24" s="1152">
        <v>234004.89098416761</v>
      </c>
      <c r="AE24" s="1152">
        <v>238199.95975354261</v>
      </c>
      <c r="AF24" s="1152">
        <v>242395.02852291762</v>
      </c>
      <c r="AG24" s="1152">
        <v>246590.09729229263</v>
      </c>
      <c r="AH24" s="331"/>
      <c r="AI24" s="1153">
        <f t="shared" si="4"/>
        <v>2039795.2835074246</v>
      </c>
    </row>
    <row r="25" spans="1:35" ht="15.75">
      <c r="A25" s="546" t="str">
        <f>'Attachment 11 - TEC'!A77</f>
        <v>2p</v>
      </c>
      <c r="B25" s="30"/>
      <c r="C25" s="694" t="str">
        <f>'Attachment 11 - TEC'!C77</f>
        <v>Install 2nd Hunterstown 230/115 kV transformer</v>
      </c>
      <c r="D25" s="691" t="str">
        <f>'Attachment 11 - TEC'!D77</f>
        <v>b2452</v>
      </c>
      <c r="E25" s="19">
        <f>AVERAGE(F25:R25)</f>
        <v>6078227.2068307688</v>
      </c>
      <c r="F25" s="1152">
        <v>6023169.0676000006</v>
      </c>
      <c r="G25" s="1152">
        <v>6076311.4176000003</v>
      </c>
      <c r="H25" s="1152">
        <v>6076311.4176000003</v>
      </c>
      <c r="I25" s="1152">
        <v>6076311.4176000003</v>
      </c>
      <c r="J25" s="1152">
        <v>6076311.4176000003</v>
      </c>
      <c r="K25" s="1152">
        <v>6076311.4176000003</v>
      </c>
      <c r="L25" s="1152">
        <v>6084072.2176000001</v>
      </c>
      <c r="M25" s="1152">
        <v>6086890.8776000002</v>
      </c>
      <c r="N25" s="1152">
        <v>6088252.8876</v>
      </c>
      <c r="O25" s="1152">
        <v>6088252.8876</v>
      </c>
      <c r="P25" s="1152">
        <v>6088252.8876</v>
      </c>
      <c r="Q25" s="1152">
        <v>6088252.8876</v>
      </c>
      <c r="R25" s="1152">
        <v>6088252.8876</v>
      </c>
      <c r="S25" s="331"/>
      <c r="T25" s="1165">
        <f>AVERAGE(U25:AG25)</f>
        <v>531792.71235368319</v>
      </c>
      <c r="U25" s="1152">
        <v>469533.52999630017</v>
      </c>
      <c r="V25" s="1152">
        <v>479866.0135629304</v>
      </c>
      <c r="W25" s="1152">
        <v>490243.87862000882</v>
      </c>
      <c r="X25" s="1152">
        <v>500621.74367708724</v>
      </c>
      <c r="Y25" s="1152">
        <v>510999.60873416567</v>
      </c>
      <c r="Z25" s="1152">
        <v>521377.47379124409</v>
      </c>
      <c r="AA25" s="1152">
        <v>531761.9662682818</v>
      </c>
      <c r="AB25" s="1152">
        <v>542155.49319078412</v>
      </c>
      <c r="AC25" s="1152">
        <v>552552.59024211345</v>
      </c>
      <c r="AD25" s="1152">
        <v>562950.85039676446</v>
      </c>
      <c r="AE25" s="1152">
        <v>573349.11055141548</v>
      </c>
      <c r="AF25" s="1152">
        <v>583747.37070606649</v>
      </c>
      <c r="AG25" s="1152">
        <v>594145.6308607175</v>
      </c>
      <c r="AH25" s="331"/>
      <c r="AI25" s="1153">
        <f t="shared" si="4"/>
        <v>5546434.4944770858</v>
      </c>
    </row>
    <row r="26" spans="1:35" ht="15.75">
      <c r="A26" s="546" t="str">
        <f>'Attachment 11 - TEC'!A78</f>
        <v>2q</v>
      </c>
      <c r="B26" s="30"/>
      <c r="C26" s="694" t="str">
        <f>'Attachment 11 - TEC'!C78</f>
        <v>Reconductor Hunterstown - Oxford 115 kV line</v>
      </c>
      <c r="D26" s="691" t="str">
        <f>'Attachment 11 - TEC'!D78</f>
        <v>b2452.1</v>
      </c>
      <c r="E26" s="19">
        <f t="shared" si="5"/>
        <v>2749765.0208615381</v>
      </c>
      <c r="F26" s="1152">
        <v>2721722.6823999998</v>
      </c>
      <c r="G26" s="1152">
        <v>2752101.8824</v>
      </c>
      <c r="H26" s="1152">
        <v>2752101.8824</v>
      </c>
      <c r="I26" s="1152">
        <v>2752101.8824</v>
      </c>
      <c r="J26" s="1152">
        <v>2752101.8824</v>
      </c>
      <c r="K26" s="1152">
        <v>2752101.8824</v>
      </c>
      <c r="L26" s="1152">
        <v>2752101.8824</v>
      </c>
      <c r="M26" s="1152">
        <v>2752101.8824</v>
      </c>
      <c r="N26" s="1152">
        <v>2752101.8824</v>
      </c>
      <c r="O26" s="1152">
        <v>2752101.8824</v>
      </c>
      <c r="P26" s="1152">
        <v>2752101.8824</v>
      </c>
      <c r="Q26" s="1152">
        <v>2752101.8824</v>
      </c>
      <c r="R26" s="1152">
        <v>2752101.8824</v>
      </c>
      <c r="S26" s="331">
        <v>2721722.6823999998</v>
      </c>
      <c r="T26" s="1165">
        <f>AVERAGE(U26:AG26)</f>
        <v>247178.68866202782</v>
      </c>
      <c r="U26" s="1152">
        <v>214213.16398203286</v>
      </c>
      <c r="V26" s="1152">
        <v>219681.7372787777</v>
      </c>
      <c r="W26" s="1152">
        <v>225180.66063148977</v>
      </c>
      <c r="X26" s="1152">
        <v>230679.58398420183</v>
      </c>
      <c r="Y26" s="1152">
        <v>236178.5073369139</v>
      </c>
      <c r="Z26" s="1152">
        <v>241677.43068962597</v>
      </c>
      <c r="AA26" s="1152">
        <v>247176.35404233803</v>
      </c>
      <c r="AB26" s="1152">
        <v>252675.2773950501</v>
      </c>
      <c r="AC26" s="1152">
        <v>258174.20074776217</v>
      </c>
      <c r="AD26" s="1152">
        <v>263673.12410047423</v>
      </c>
      <c r="AE26" s="1152">
        <v>269172.0474531863</v>
      </c>
      <c r="AF26" s="1152">
        <v>274670.97080589837</v>
      </c>
      <c r="AG26" s="1152">
        <v>280169.89415861043</v>
      </c>
      <c r="AH26" s="331"/>
      <c r="AI26" s="1153">
        <f>E26-T26</f>
        <v>2502586.3321995102</v>
      </c>
    </row>
    <row r="27" spans="1:35" ht="31.5" customHeight="1">
      <c r="A27" s="546" t="str">
        <f>'Attachment 11 - TEC'!A79</f>
        <v>2r</v>
      </c>
      <c r="B27" s="329"/>
      <c r="C27" s="694" t="str">
        <f>'Attachment 11 - TEC'!C79</f>
        <v>Reconductor the North Meshoppen –  Oxbow - Lackawanna 230 kV circuit and upgrade terminal equipment (PENELEC portion)</v>
      </c>
      <c r="D27" s="691" t="str">
        <f>'Attachment 11 - TEC'!D79</f>
        <v>b2552.1</v>
      </c>
      <c r="E27" s="19">
        <f t="shared" si="5"/>
        <v>98163360.814615384</v>
      </c>
      <c r="F27" s="1152">
        <v>98139507.530000001</v>
      </c>
      <c r="G27" s="1152">
        <v>98441686.100000009</v>
      </c>
      <c r="H27" s="1152">
        <v>98506724.610000014</v>
      </c>
      <c r="I27" s="1152">
        <v>98411203.070000008</v>
      </c>
      <c r="J27" s="1152">
        <v>98416883.390000001</v>
      </c>
      <c r="K27" s="1152">
        <v>98422062.030000001</v>
      </c>
      <c r="L27" s="1152">
        <v>98449648.929999992</v>
      </c>
      <c r="M27" s="1152">
        <v>98023426.989999995</v>
      </c>
      <c r="N27" s="1152">
        <v>98023790.75</v>
      </c>
      <c r="O27" s="1152">
        <v>97826750.519999996</v>
      </c>
      <c r="P27" s="1152">
        <v>97822206.419999987</v>
      </c>
      <c r="Q27" s="1152">
        <v>97822206.419999987</v>
      </c>
      <c r="R27" s="1152">
        <v>97817593.829999998</v>
      </c>
      <c r="S27" s="331"/>
      <c r="T27" s="1166">
        <f>AVERAGE(U27:AG27)</f>
        <v>3532294.1501405216</v>
      </c>
      <c r="U27" s="1152">
        <v>2374470.7988400003</v>
      </c>
      <c r="V27" s="1152">
        <v>2567417.8068739711</v>
      </c>
      <c r="W27" s="1152">
        <v>2760725.243266203</v>
      </c>
      <c r="X27" s="1152">
        <v>2954002.7601665156</v>
      </c>
      <c r="Y27" s="1152">
        <v>3147192.096736467</v>
      </c>
      <c r="Z27" s="1152">
        <v>3340392.0915174284</v>
      </c>
      <c r="AA27" s="1152">
        <v>3533624.2461036737</v>
      </c>
      <c r="AB27" s="1152">
        <v>3726465.1351937382</v>
      </c>
      <c r="AC27" s="1152">
        <v>3918888.0389202973</v>
      </c>
      <c r="AD27" s="1152">
        <v>4111117.902123821</v>
      </c>
      <c r="AE27" s="1152">
        <v>4303149.9076756444</v>
      </c>
      <c r="AF27" s="1152">
        <v>4495177.4531339919</v>
      </c>
      <c r="AG27" s="1152">
        <v>4687200.4712750344</v>
      </c>
      <c r="AH27" s="331"/>
      <c r="AI27" s="1153">
        <f>E27-T27</f>
        <v>94631066.66447486</v>
      </c>
    </row>
    <row r="28" spans="1:35" ht="31.5">
      <c r="A28" s="546" t="str">
        <f>'Attachment 11 - TEC'!A80</f>
        <v>2s</v>
      </c>
      <c r="B28" s="329"/>
      <c r="C28" s="694" t="str">
        <f>'Attachment 11 - TEC'!C80</f>
        <v>Replace wave trap and upgrade a bus section at Keystone 500 kV – on the Keystone – Airydale 500 kV</v>
      </c>
      <c r="D28" s="691" t="str">
        <f>'Attachment 11 - TEC'!D80</f>
        <v>b0284.3</v>
      </c>
      <c r="E28" s="19">
        <f t="shared" si="5"/>
        <v>0</v>
      </c>
      <c r="F28" s="861">
        <v>0</v>
      </c>
      <c r="G28" s="861">
        <v>0</v>
      </c>
      <c r="H28" s="861">
        <v>0</v>
      </c>
      <c r="I28" s="861">
        <v>0</v>
      </c>
      <c r="J28" s="861">
        <v>0</v>
      </c>
      <c r="K28" s="861">
        <v>0</v>
      </c>
      <c r="L28" s="861">
        <v>0</v>
      </c>
      <c r="M28" s="861">
        <v>0</v>
      </c>
      <c r="N28" s="861">
        <v>0</v>
      </c>
      <c r="O28" s="861">
        <v>0</v>
      </c>
      <c r="P28" s="861">
        <v>0</v>
      </c>
      <c r="Q28" s="861">
        <v>0</v>
      </c>
      <c r="R28" s="861">
        <v>0</v>
      </c>
      <c r="S28" s="331"/>
      <c r="T28" s="329">
        <f t="shared" si="8" ref="T28:T32">AVERAGE(U28:AG28)</f>
        <v>0</v>
      </c>
      <c r="U28" s="861">
        <v>0</v>
      </c>
      <c r="V28" s="861">
        <v>0</v>
      </c>
      <c r="W28" s="861">
        <v>0</v>
      </c>
      <c r="X28" s="861">
        <v>0</v>
      </c>
      <c r="Y28" s="861">
        <v>0</v>
      </c>
      <c r="Z28" s="861">
        <v>0</v>
      </c>
      <c r="AA28" s="861">
        <v>0</v>
      </c>
      <c r="AB28" s="861">
        <v>0</v>
      </c>
      <c r="AC28" s="861">
        <v>0</v>
      </c>
      <c r="AD28" s="861">
        <v>0</v>
      </c>
      <c r="AE28" s="861">
        <v>0</v>
      </c>
      <c r="AF28" s="861">
        <v>0</v>
      </c>
      <c r="AG28" s="861">
        <v>0</v>
      </c>
      <c r="AH28" s="331"/>
      <c r="AI28" s="332">
        <f t="shared" si="9" ref="AI28:AI32">E28-T28</f>
        <v>0</v>
      </c>
    </row>
    <row r="29" spans="1:35" ht="15.75">
      <c r="A29" s="546" t="str">
        <f>'Attachment 11 - TEC'!A81</f>
        <v>2t</v>
      </c>
      <c r="B29" s="329"/>
      <c r="C29" s="694" t="str">
        <f>'Attachment 11 - TEC'!C81</f>
        <v>Install 100 MVAR Dynamic Reactive Device at Airydale 500 kV substation</v>
      </c>
      <c r="D29" s="691" t="str">
        <f>'Attachment 11 - TEC'!D81</f>
        <v>b0369</v>
      </c>
      <c r="E29" s="19">
        <f t="shared" si="5"/>
        <v>0</v>
      </c>
      <c r="F29" s="861">
        <v>0</v>
      </c>
      <c r="G29" s="861">
        <v>0</v>
      </c>
      <c r="H29" s="861">
        <v>0</v>
      </c>
      <c r="I29" s="861">
        <v>0</v>
      </c>
      <c r="J29" s="861">
        <v>0</v>
      </c>
      <c r="K29" s="861">
        <v>0</v>
      </c>
      <c r="L29" s="861">
        <v>0</v>
      </c>
      <c r="M29" s="861">
        <v>0</v>
      </c>
      <c r="N29" s="861">
        <v>0</v>
      </c>
      <c r="O29" s="861">
        <v>0</v>
      </c>
      <c r="P29" s="861">
        <v>0</v>
      </c>
      <c r="Q29" s="861">
        <v>0</v>
      </c>
      <c r="R29" s="861">
        <v>0</v>
      </c>
      <c r="S29" s="331"/>
      <c r="T29" s="329">
        <f t="shared" si="8"/>
        <v>0</v>
      </c>
      <c r="U29" s="861">
        <v>0</v>
      </c>
      <c r="V29" s="861">
        <v>0</v>
      </c>
      <c r="W29" s="861">
        <v>0</v>
      </c>
      <c r="X29" s="861">
        <v>0</v>
      </c>
      <c r="Y29" s="861">
        <v>0</v>
      </c>
      <c r="Z29" s="861">
        <v>0</v>
      </c>
      <c r="AA29" s="861">
        <v>0</v>
      </c>
      <c r="AB29" s="861">
        <v>0</v>
      </c>
      <c r="AC29" s="861">
        <v>0</v>
      </c>
      <c r="AD29" s="861">
        <v>0</v>
      </c>
      <c r="AE29" s="861">
        <v>0</v>
      </c>
      <c r="AF29" s="861">
        <v>0</v>
      </c>
      <c r="AG29" s="861">
        <v>0</v>
      </c>
      <c r="AH29" s="331"/>
      <c r="AI29" s="332">
        <f t="shared" si="9"/>
        <v>0</v>
      </c>
    </row>
    <row r="30" spans="1:35" ht="15.75">
      <c r="A30" s="546" t="str">
        <f>'Attachment 11 - TEC'!A82</f>
        <v>2u</v>
      </c>
      <c r="B30" s="329"/>
      <c r="C30" s="694" t="str">
        <f>'Attachment 11 - TEC'!C82</f>
        <v>Tie in new Rice substation to Conemaugh-Hunterstown 500 kV</v>
      </c>
      <c r="D30" s="691" t="str">
        <f>'Attachment 11 - TEC'!D82</f>
        <v>b2743.2</v>
      </c>
      <c r="E30" s="19">
        <f t="shared" si="5"/>
        <v>0</v>
      </c>
      <c r="F30" s="861">
        <v>0</v>
      </c>
      <c r="G30" s="861">
        <v>0</v>
      </c>
      <c r="H30" s="861">
        <v>0</v>
      </c>
      <c r="I30" s="861">
        <v>0</v>
      </c>
      <c r="J30" s="861">
        <v>0</v>
      </c>
      <c r="K30" s="861">
        <v>0</v>
      </c>
      <c r="L30" s="861">
        <v>0</v>
      </c>
      <c r="M30" s="861">
        <v>0</v>
      </c>
      <c r="N30" s="861">
        <v>0</v>
      </c>
      <c r="O30" s="861">
        <v>0</v>
      </c>
      <c r="P30" s="861">
        <v>0</v>
      </c>
      <c r="Q30" s="861">
        <v>0</v>
      </c>
      <c r="R30" s="861">
        <v>0</v>
      </c>
      <c r="S30" s="331"/>
      <c r="T30" s="329">
        <f t="shared" si="8"/>
        <v>0</v>
      </c>
      <c r="U30" s="861">
        <v>0</v>
      </c>
      <c r="V30" s="861">
        <v>0</v>
      </c>
      <c r="W30" s="861">
        <v>0</v>
      </c>
      <c r="X30" s="861">
        <v>0</v>
      </c>
      <c r="Y30" s="861">
        <v>0</v>
      </c>
      <c r="Z30" s="861">
        <v>0</v>
      </c>
      <c r="AA30" s="861">
        <v>0</v>
      </c>
      <c r="AB30" s="861">
        <v>0</v>
      </c>
      <c r="AC30" s="861">
        <v>0</v>
      </c>
      <c r="AD30" s="861">
        <v>0</v>
      </c>
      <c r="AE30" s="861">
        <v>0</v>
      </c>
      <c r="AF30" s="861">
        <v>0</v>
      </c>
      <c r="AG30" s="861">
        <v>0</v>
      </c>
      <c r="AH30" s="331"/>
      <c r="AI30" s="332">
        <f t="shared" si="9"/>
        <v>0</v>
      </c>
    </row>
    <row r="31" spans="1:35" ht="31.5">
      <c r="A31" s="546" t="str">
        <f>'Attachment 11 - TEC'!A83</f>
        <v>2v</v>
      </c>
      <c r="B31" s="329"/>
      <c r="C31" s="694" t="str">
        <f>'Attachment 11 - TEC'!C83</f>
        <v xml:space="preserve">Upgrade terminal equipment at Conemaugh 500 kV: on the Conemaugh - Hunterstown 500 kV circuit </v>
      </c>
      <c r="D31" s="691" t="str">
        <f>'Attachment 11 - TEC'!D83</f>
        <v>b2743.3</v>
      </c>
      <c r="E31" s="19">
        <f t="shared" si="5"/>
        <v>0</v>
      </c>
      <c r="F31" s="861">
        <v>0</v>
      </c>
      <c r="G31" s="861">
        <v>0</v>
      </c>
      <c r="H31" s="861">
        <v>0</v>
      </c>
      <c r="I31" s="861">
        <v>0</v>
      </c>
      <c r="J31" s="861">
        <v>0</v>
      </c>
      <c r="K31" s="861">
        <v>0</v>
      </c>
      <c r="L31" s="861">
        <v>0</v>
      </c>
      <c r="M31" s="861">
        <v>0</v>
      </c>
      <c r="N31" s="861">
        <v>0</v>
      </c>
      <c r="O31" s="861">
        <v>0</v>
      </c>
      <c r="P31" s="861">
        <v>0</v>
      </c>
      <c r="Q31" s="861">
        <v>0</v>
      </c>
      <c r="R31" s="861">
        <v>0</v>
      </c>
      <c r="S31" s="331"/>
      <c r="T31" s="329">
        <f t="shared" si="8"/>
        <v>0</v>
      </c>
      <c r="U31" s="861">
        <v>0</v>
      </c>
      <c r="V31" s="861">
        <v>0</v>
      </c>
      <c r="W31" s="861">
        <v>0</v>
      </c>
      <c r="X31" s="861">
        <v>0</v>
      </c>
      <c r="Y31" s="861">
        <v>0</v>
      </c>
      <c r="Z31" s="861">
        <v>0</v>
      </c>
      <c r="AA31" s="861">
        <v>0</v>
      </c>
      <c r="AB31" s="861">
        <v>0</v>
      </c>
      <c r="AC31" s="861">
        <v>0</v>
      </c>
      <c r="AD31" s="861">
        <v>0</v>
      </c>
      <c r="AE31" s="861">
        <v>0</v>
      </c>
      <c r="AF31" s="861">
        <v>0</v>
      </c>
      <c r="AG31" s="861">
        <v>0</v>
      </c>
      <c r="AH31" s="331"/>
      <c r="AI31" s="332">
        <f t="shared" si="9"/>
        <v>0</v>
      </c>
    </row>
    <row r="32" spans="1:35" ht="31.5">
      <c r="A32" s="546" t="str">
        <f>'Attachment 11 - TEC'!A84</f>
        <v>2w</v>
      </c>
      <c r="B32" s="329"/>
      <c r="C32" s="694" t="str">
        <f>'Attachment 11 - TEC'!C84</f>
        <v xml:space="preserve">Upgrade terminal equipment at Hunterstown 500 kV: on the Conemaugh - Hunterstown 500 kV circuit </v>
      </c>
      <c r="D32" s="691" t="str">
        <f>'Attachment 11 - TEC'!D84</f>
        <v>b2743.4</v>
      </c>
      <c r="E32" s="19">
        <f t="shared" si="5"/>
        <v>0</v>
      </c>
      <c r="F32" s="861">
        <v>0</v>
      </c>
      <c r="G32" s="861">
        <v>0</v>
      </c>
      <c r="H32" s="861">
        <v>0</v>
      </c>
      <c r="I32" s="861">
        <v>0</v>
      </c>
      <c r="J32" s="861">
        <v>0</v>
      </c>
      <c r="K32" s="861">
        <v>0</v>
      </c>
      <c r="L32" s="861">
        <v>0</v>
      </c>
      <c r="M32" s="861">
        <v>0</v>
      </c>
      <c r="N32" s="861">
        <v>0</v>
      </c>
      <c r="O32" s="861">
        <v>0</v>
      </c>
      <c r="P32" s="861">
        <v>0</v>
      </c>
      <c r="Q32" s="861">
        <v>0</v>
      </c>
      <c r="R32" s="861">
        <v>0</v>
      </c>
      <c r="S32" s="331"/>
      <c r="T32" s="329">
        <f t="shared" si="8"/>
        <v>0</v>
      </c>
      <c r="U32" s="861">
        <v>0</v>
      </c>
      <c r="V32" s="861">
        <v>0</v>
      </c>
      <c r="W32" s="861">
        <v>0</v>
      </c>
      <c r="X32" s="861">
        <v>0</v>
      </c>
      <c r="Y32" s="861">
        <v>0</v>
      </c>
      <c r="Z32" s="861">
        <v>0</v>
      </c>
      <c r="AA32" s="861">
        <v>0</v>
      </c>
      <c r="AB32" s="861">
        <v>0</v>
      </c>
      <c r="AC32" s="861">
        <v>0</v>
      </c>
      <c r="AD32" s="861">
        <v>0</v>
      </c>
      <c r="AE32" s="861">
        <v>0</v>
      </c>
      <c r="AF32" s="861">
        <v>0</v>
      </c>
      <c r="AG32" s="861">
        <v>0</v>
      </c>
      <c r="AH32" s="331"/>
      <c r="AI32" s="332">
        <f t="shared" si="9"/>
        <v>0</v>
      </c>
    </row>
    <row r="33" spans="1:35" ht="15">
      <c r="A33" s="333"/>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5"/>
    </row>
    <row r="35" spans="1:21" ht="15.75">
      <c r="A35" s="11" t="s">
        <v>308</v>
      </c>
      <c r="B35" s="11"/>
      <c r="C35" s="11"/>
      <c r="S35" s="41"/>
      <c r="T35" s="11" t="s">
        <v>308</v>
      </c>
      <c r="U35" s="11"/>
    </row>
    <row r="36" spans="1:26" ht="15.75" customHeight="1">
      <c r="A36" s="42"/>
      <c r="B36" s="11" t="s">
        <v>260</v>
      </c>
      <c r="C36" s="11" t="s">
        <v>444</v>
      </c>
      <c r="D36" s="11"/>
      <c r="E36" s="11"/>
      <c r="F36" s="11"/>
      <c r="G36" s="11"/>
      <c r="H36" s="11"/>
      <c r="I36" s="11"/>
      <c r="J36" s="11"/>
      <c r="K36" s="11"/>
      <c r="L36" s="11"/>
      <c r="S36" s="42"/>
      <c r="T36" s="29" t="s">
        <v>274</v>
      </c>
      <c r="U36" s="11" t="s">
        <v>701</v>
      </c>
      <c r="Z36" s="745" t="s">
        <v>882</v>
      </c>
    </row>
    <row r="37" spans="2:35" ht="32.25" customHeight="1">
      <c r="B37" s="1101"/>
      <c r="C37" s="1175"/>
      <c r="D37" s="1175"/>
      <c r="E37" s="1175"/>
      <c r="F37" s="1175"/>
      <c r="G37" s="1175"/>
      <c r="H37" s="1175"/>
      <c r="I37" s="1175"/>
      <c r="J37" s="1175"/>
      <c r="K37" s="1175"/>
      <c r="L37" s="1175"/>
      <c r="M37" s="1175"/>
      <c r="N37" s="1175"/>
      <c r="O37" s="1175"/>
      <c r="P37" s="1175"/>
      <c r="Q37" s="1175"/>
      <c r="R37" s="1175"/>
      <c r="S37" s="1175"/>
      <c r="T37" s="1100"/>
      <c r="U37" s="1175"/>
      <c r="V37" s="1175"/>
      <c r="W37" s="1175"/>
      <c r="X37" s="1175"/>
      <c r="Y37" s="1175"/>
      <c r="Z37" s="1175"/>
      <c r="AA37" s="1175"/>
      <c r="AB37" s="1175"/>
      <c r="AC37" s="1175"/>
      <c r="AD37" s="1175"/>
      <c r="AE37" s="1175"/>
      <c r="AF37" s="1175"/>
      <c r="AG37" s="1175"/>
      <c r="AH37" s="1175"/>
      <c r="AI37" s="1175"/>
    </row>
    <row r="40" spans="3:3" ht="15.75">
      <c r="C40" s="694"/>
    </row>
    <row r="41" spans="3:3" ht="15.75">
      <c r="C41" s="694"/>
    </row>
    <row r="42" spans="3:3" ht="15.75">
      <c r="C42" s="694"/>
    </row>
    <row r="43" spans="3:3" ht="15.75">
      <c r="C43" s="694"/>
    </row>
    <row r="44" spans="3:3" ht="15.75">
      <c r="C44" s="694"/>
    </row>
    <row r="45" spans="3:3" ht="15.75">
      <c r="C45" s="694"/>
    </row>
    <row r="46" spans="3:3" ht="15.75">
      <c r="C46" s="694"/>
    </row>
    <row r="47" spans="3:3" ht="15.75">
      <c r="C47" s="694"/>
    </row>
    <row r="48" spans="3:3" ht="15.75">
      <c r="C48" s="694"/>
    </row>
    <row r="49" spans="3:3" ht="15.75">
      <c r="C49" s="694"/>
    </row>
    <row r="50" spans="3:3" ht="15.75">
      <c r="C50" s="694"/>
    </row>
    <row r="51" spans="3:3" ht="15.75">
      <c r="C51" s="694"/>
    </row>
    <row r="52" spans="3:3" ht="15.75">
      <c r="C52" s="694"/>
    </row>
    <row r="53" spans="3:3" ht="15.75">
      <c r="C53" s="694"/>
    </row>
    <row r="54" spans="3:3" ht="15.75">
      <c r="C54" s="694"/>
    </row>
    <row r="55" spans="3:3" ht="15.75">
      <c r="C55" s="694"/>
    </row>
    <row r="56" spans="3:3" ht="15.75">
      <c r="C56" s="694"/>
    </row>
  </sheetData>
  <mergeCells count="6">
    <mergeCell ref="T1:AE1"/>
    <mergeCell ref="T2:AE2"/>
    <mergeCell ref="A1:N1"/>
    <mergeCell ref="A2:N2"/>
    <mergeCell ref="C37:S37"/>
    <mergeCell ref="U37:AI37"/>
  </mergeCells>
  <pageMargins left="0.7" right="0.7" top="0.75" bottom="0.75" header="0.3" footer="0.3"/>
  <pageSetup orientation="landscape" scale="35" r:id="rId1"/>
  <colBreaks count="1" manualBreakCount="1">
    <brk id="19" max="29"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M250"/>
  <sheetViews>
    <sheetView view="pageBreakPreview" zoomScale="50" zoomScaleNormal="60" zoomScaleSheetLayoutView="50" workbookViewId="0" topLeftCell="A1">
      <selection pane="topLeft" activeCell="AI66" sqref="AI66"/>
    </sheetView>
  </sheetViews>
  <sheetFormatPr defaultColWidth="8.88555555555556" defaultRowHeight="15"/>
  <cols>
    <col min="1" max="1" width="6" style="562" customWidth="1"/>
    <col min="2" max="2" width="3.33333333333333" style="562" customWidth="1"/>
    <col min="3" max="3" width="39.1111111111111" style="562" customWidth="1"/>
    <col min="4" max="4" width="14.1111111111111" style="562" customWidth="1"/>
    <col min="5" max="5" width="14.4444444444444" style="562" customWidth="1"/>
    <col min="6" max="6" width="13.2222222222222" style="562" customWidth="1"/>
    <col min="7" max="7" width="14.1111111111111" style="562" customWidth="1"/>
    <col min="8" max="8" width="13.8888888888889" style="562" customWidth="1"/>
    <col min="9" max="9" width="15.6666666666667" style="562" customWidth="1"/>
    <col min="10" max="10" width="15.2222222222222" style="562" customWidth="1"/>
    <col min="11" max="11" width="13.5555555555556" style="562" customWidth="1"/>
    <col min="12" max="12" width="15.3333333333333" style="562" customWidth="1"/>
    <col min="13" max="13" width="1.55555555555556" style="562" customWidth="1"/>
    <col min="14" max="15" width="8.88888888888889" style="562"/>
    <col min="16" max="16" width="10.8888888888889" style="562" bestFit="1" customWidth="1"/>
    <col min="17" max="17" width="8.88888888888889" style="562"/>
    <col min="18" max="18" width="13.4444444444444" style="562" bestFit="1" customWidth="1"/>
    <col min="19" max="16384" width="8.88888888888889" style="562"/>
  </cols>
  <sheetData>
    <row r="1" spans="13:13" ht="15">
      <c r="M1" s="602" t="s">
        <v>699</v>
      </c>
    </row>
    <row r="2" spans="13:13" ht="15">
      <c r="M2" s="602" t="s">
        <v>221</v>
      </c>
    </row>
    <row r="3" spans="13:13" ht="15">
      <c r="M3" s="602" t="str">
        <f>'Attach 11a - TEC Cost Support'!S3</f>
        <v>For the 12 months ended 12/31/2021</v>
      </c>
    </row>
    <row r="4" spans="1:7" ht="15">
      <c r="A4" s="566"/>
      <c r="G4" s="578"/>
    </row>
    <row r="5" spans="1:4" ht="15">
      <c r="A5" s="566"/>
      <c r="C5" s="576"/>
      <c r="D5" s="576"/>
    </row>
    <row r="6" spans="1:12" ht="15">
      <c r="A6" s="566"/>
      <c r="C6" s="576"/>
      <c r="D6" s="576"/>
      <c r="L6" s="578"/>
    </row>
    <row r="7" spans="1:1" ht="14.25" customHeight="1">
      <c r="A7" s="566"/>
    </row>
    <row r="8" spans="1:12" ht="15.75">
      <c r="A8" s="1209" t="s">
        <v>875</v>
      </c>
      <c r="B8" s="1209"/>
      <c r="C8" s="1209"/>
      <c r="D8" s="1209"/>
      <c r="E8" s="1209"/>
      <c r="F8" s="1209"/>
      <c r="G8" s="1209"/>
      <c r="H8" s="1209"/>
      <c r="I8" s="1209"/>
      <c r="J8" s="1209"/>
      <c r="K8" s="1209"/>
      <c r="L8" s="1209"/>
    </row>
    <row r="9" spans="1:12" ht="15">
      <c r="A9" s="1210" t="s">
        <v>700</v>
      </c>
      <c r="B9" s="1213"/>
      <c r="C9" s="1213"/>
      <c r="D9" s="1213"/>
      <c r="E9" s="1213"/>
      <c r="F9" s="1213"/>
      <c r="G9" s="1213"/>
      <c r="H9" s="1213"/>
      <c r="I9" s="1213"/>
      <c r="J9" s="1213"/>
      <c r="K9" s="1213"/>
      <c r="L9" s="1213"/>
    </row>
    <row r="10" spans="1:12" ht="15.75">
      <c r="A10" s="566"/>
      <c r="E10" s="583"/>
      <c r="H10" s="567"/>
      <c r="I10" s="567"/>
      <c r="J10" s="567"/>
      <c r="K10" s="567"/>
      <c r="L10" s="567"/>
    </row>
    <row r="11" spans="1:12" ht="15.75">
      <c r="A11" s="566"/>
      <c r="E11" s="583"/>
      <c r="F11" s="583"/>
      <c r="H11" s="567"/>
      <c r="I11" s="567"/>
      <c r="J11" s="567"/>
      <c r="K11" s="567"/>
      <c r="L11" s="567"/>
    </row>
    <row r="12" spans="1:13" ht="15.75">
      <c r="A12" s="566"/>
      <c r="C12" s="603" t="s">
        <v>298</v>
      </c>
      <c r="D12" s="603" t="s">
        <v>299</v>
      </c>
      <c r="E12" s="603" t="s">
        <v>300</v>
      </c>
      <c r="F12" s="603" t="s">
        <v>301</v>
      </c>
      <c r="G12" s="603" t="s">
        <v>302</v>
      </c>
      <c r="H12" s="603" t="s">
        <v>303</v>
      </c>
      <c r="I12" s="603" t="s">
        <v>304</v>
      </c>
      <c r="J12" s="603" t="s">
        <v>305</v>
      </c>
      <c r="K12" s="603" t="s">
        <v>306</v>
      </c>
      <c r="L12" s="603" t="s">
        <v>307</v>
      </c>
      <c r="M12" s="603"/>
    </row>
    <row r="13" spans="1:13" s="633" customFormat="1" ht="80.1" customHeight="1">
      <c r="A13" s="604" t="s">
        <v>212</v>
      </c>
      <c r="B13" s="631"/>
      <c r="C13" s="607" t="s">
        <v>213</v>
      </c>
      <c r="D13" s="607" t="s">
        <v>229</v>
      </c>
      <c r="E13" s="608" t="s">
        <v>568</v>
      </c>
      <c r="F13" s="608" t="s">
        <v>295</v>
      </c>
      <c r="G13" s="607" t="s">
        <v>555</v>
      </c>
      <c r="H13" s="607" t="s">
        <v>556</v>
      </c>
      <c r="I13" s="608" t="s">
        <v>296</v>
      </c>
      <c r="J13" s="608" t="s">
        <v>802</v>
      </c>
      <c r="K13" s="607" t="s">
        <v>803</v>
      </c>
      <c r="L13" s="608" t="s">
        <v>804</v>
      </c>
      <c r="M13" s="632"/>
    </row>
    <row r="14" spans="1:13" ht="66" customHeight="1">
      <c r="A14" s="611"/>
      <c r="B14" s="612"/>
      <c r="C14" s="612"/>
      <c r="D14" s="612"/>
      <c r="E14" s="613"/>
      <c r="F14" s="634" t="s">
        <v>730</v>
      </c>
      <c r="G14" s="634" t="s">
        <v>899</v>
      </c>
      <c r="H14" s="634" t="s">
        <v>557</v>
      </c>
      <c r="I14" s="634" t="s">
        <v>731</v>
      </c>
      <c r="J14" s="613" t="s">
        <v>558</v>
      </c>
      <c r="K14" s="634" t="s">
        <v>805</v>
      </c>
      <c r="L14" s="634" t="s">
        <v>570</v>
      </c>
      <c r="M14" s="635"/>
    </row>
    <row r="15" spans="1:13" ht="15">
      <c r="A15" s="636">
        <v>1</v>
      </c>
      <c r="B15" s="567" t="s">
        <v>260</v>
      </c>
      <c r="C15" s="567" t="s">
        <v>567</v>
      </c>
      <c r="D15" s="567"/>
      <c r="E15" s="1121">
        <v>15875068.990000002</v>
      </c>
      <c r="F15" s="637"/>
      <c r="G15" s="637"/>
      <c r="H15" s="638"/>
      <c r="I15" s="637"/>
      <c r="J15" s="637"/>
      <c r="K15" s="637"/>
      <c r="L15" s="637"/>
      <c r="M15" s="639"/>
    </row>
    <row r="16" spans="1:13" ht="15">
      <c r="A16" s="640"/>
      <c r="B16" s="567"/>
      <c r="C16" s="567"/>
      <c r="D16" s="567"/>
      <c r="E16" s="567"/>
      <c r="F16" s="567"/>
      <c r="G16" s="567"/>
      <c r="H16" s="567"/>
      <c r="I16" s="567"/>
      <c r="J16" s="567"/>
      <c r="K16" s="567"/>
      <c r="L16" s="567"/>
      <c r="M16" s="641"/>
    </row>
    <row r="17" spans="1:13" ht="30">
      <c r="A17" s="581" t="s">
        <v>559</v>
      </c>
      <c r="B17" s="1122"/>
      <c r="C17" s="1123" t="s">
        <v>1275</v>
      </c>
      <c r="D17" s="1124" t="s">
        <v>1276</v>
      </c>
      <c r="E17" s="625"/>
      <c r="F17" s="1129">
        <v>1735667.8914250308</v>
      </c>
      <c r="G17" s="625">
        <f t="shared" si="0" ref="G17:G37">IF($F$41=0,0,F17/$F$41)</f>
        <v>0.09542030802325252</v>
      </c>
      <c r="H17" s="648">
        <f>IF($E$15=0,0,$E$15*G17)</f>
        <v>1514803.9729161845</v>
      </c>
      <c r="I17" s="1130">
        <v>1563352.31897246</v>
      </c>
      <c r="J17" s="648">
        <f>H17-I17</f>
        <v>-48548.346056275535</v>
      </c>
      <c r="K17" s="1131">
        <f>J17/$J$41*$L$43</f>
        <v>-3402.8862944808611</v>
      </c>
      <c r="L17" s="648">
        <f>J17+K17</f>
        <v>-51951.2323507564</v>
      </c>
      <c r="M17" s="642"/>
    </row>
    <row r="18" spans="1:13" ht="15">
      <c r="A18" s="581" t="s">
        <v>560</v>
      </c>
      <c r="B18" s="1125"/>
      <c r="C18" s="1123" t="s">
        <v>1277</v>
      </c>
      <c r="D18" s="1126" t="s">
        <v>1278</v>
      </c>
      <c r="E18" s="625"/>
      <c r="F18" s="1129">
        <v>455414.97221509012</v>
      </c>
      <c r="G18" s="625">
        <f t="shared" si="0"/>
        <v>0.025036953867647142</v>
      </c>
      <c r="H18" s="648">
        <f>IF($E$15=0,0,$E$15*G18)</f>
        <v>397463.36994834576</v>
      </c>
      <c r="I18" s="1130">
        <v>418166.88638084172</v>
      </c>
      <c r="J18" s="648">
        <f t="shared" si="1" ref="J18:J37">H18-I18</f>
        <v>-20703.516432495962</v>
      </c>
      <c r="K18" s="1131">
        <f>J18/$J$41*$L$43</f>
        <v>-1451.1660651432833</v>
      </c>
      <c r="L18" s="648">
        <f t="shared" si="2" ref="L18:L37">J18+K18</f>
        <v>-22154.682497639245</v>
      </c>
      <c r="M18" s="642"/>
    </row>
    <row r="19" spans="1:13" ht="30">
      <c r="A19" s="581" t="s">
        <v>561</v>
      </c>
      <c r="B19" s="1125"/>
      <c r="C19" s="1123" t="s">
        <v>1279</v>
      </c>
      <c r="D19" s="1126" t="s">
        <v>1280</v>
      </c>
      <c r="E19" s="625"/>
      <c r="F19" s="1129">
        <v>185855.57586321549</v>
      </c>
      <c r="G19" s="625">
        <f t="shared" si="0"/>
        <v>0.010217620769689168</v>
      </c>
      <c r="H19" s="648">
        <f t="shared" si="3" ref="H19:H37">IF($E$15=0,0,$E$15*G19)</f>
        <v>162205.43463247246</v>
      </c>
      <c r="I19" s="1130">
        <v>170513.33488973731</v>
      </c>
      <c r="J19" s="648">
        <f t="shared" si="1"/>
        <v>-8307.900257264846</v>
      </c>
      <c r="K19" s="1131">
        <f t="shared" si="4" ref="K19:K37">J19/$J$41*$L$43</f>
        <v>-582.32344081485292</v>
      </c>
      <c r="L19" s="648">
        <f t="shared" si="2"/>
        <v>-8890.2236980796988</v>
      </c>
      <c r="M19" s="642"/>
    </row>
    <row r="20" spans="1:13" ht="30">
      <c r="A20" s="581" t="s">
        <v>1102</v>
      </c>
      <c r="B20" s="1125"/>
      <c r="C20" s="1123" t="s">
        <v>1281</v>
      </c>
      <c r="D20" s="1126" t="s">
        <v>1282</v>
      </c>
      <c r="E20" s="625"/>
      <c r="F20" s="1129">
        <v>148035.13887590921</v>
      </c>
      <c r="G20" s="625">
        <f t="shared" si="0"/>
        <v>0.0081383994136152108</v>
      </c>
      <c r="H20" s="648">
        <f t="shared" si="3"/>
        <v>129197.65215931703</v>
      </c>
      <c r="I20" s="1130">
        <v>137691.22510519539</v>
      </c>
      <c r="J20" s="648">
        <f t="shared" si="1"/>
        <v>-8493.5729458783608</v>
      </c>
      <c r="K20" s="1131">
        <f t="shared" si="4"/>
        <v>-595.33774714384617</v>
      </c>
      <c r="L20" s="648">
        <f t="shared" si="2"/>
        <v>-9088.9106930222079</v>
      </c>
      <c r="M20" s="642"/>
    </row>
    <row r="21" spans="1:13" ht="30">
      <c r="A21" s="581" t="s">
        <v>1103</v>
      </c>
      <c r="B21" s="1125"/>
      <c r="C21" s="1123" t="s">
        <v>1283</v>
      </c>
      <c r="D21" s="1126" t="s">
        <v>1284</v>
      </c>
      <c r="E21" s="276"/>
      <c r="F21" s="1129">
        <v>131437.86825150982</v>
      </c>
      <c r="G21" s="625">
        <f t="shared" si="0"/>
        <v>0.00722594566416825</v>
      </c>
      <c r="H21" s="648">
        <f t="shared" si="3"/>
        <v>114712.38593666235</v>
      </c>
      <c r="I21" s="1130">
        <v>120962.11860282334</v>
      </c>
      <c r="J21" s="648">
        <f t="shared" si="1"/>
        <v>-6249.7326661609841</v>
      </c>
      <c r="K21" s="1131">
        <f t="shared" si="4"/>
        <v>-438.06084782366088</v>
      </c>
      <c r="L21" s="648">
        <f t="shared" si="2"/>
        <v>-6687.793513984645</v>
      </c>
      <c r="M21" s="643"/>
    </row>
    <row r="22" spans="1:13" ht="30">
      <c r="A22" s="581" t="s">
        <v>1104</v>
      </c>
      <c r="B22" s="1125"/>
      <c r="C22" s="1123" t="s">
        <v>1285</v>
      </c>
      <c r="D22" s="1126" t="s">
        <v>1286</v>
      </c>
      <c r="E22" s="276"/>
      <c r="F22" s="1129">
        <v>308900.33837344468</v>
      </c>
      <c r="G22" s="625">
        <f t="shared" si="0"/>
        <v>0.016982145940304824</v>
      </c>
      <c r="H22" s="648">
        <f t="shared" si="3"/>
        <v>269592.73840058752</v>
      </c>
      <c r="I22" s="1130">
        <v>284533.14778895117</v>
      </c>
      <c r="J22" s="648">
        <f t="shared" si="1"/>
        <v>-14940.409388363652</v>
      </c>
      <c r="K22" s="1131">
        <f t="shared" si="4"/>
        <v>-1047.2141374839696</v>
      </c>
      <c r="L22" s="648">
        <f t="shared" si="2"/>
        <v>-15987.623525847623</v>
      </c>
      <c r="M22" s="643"/>
    </row>
    <row r="23" spans="1:13" ht="15">
      <c r="A23" s="581" t="s">
        <v>1105</v>
      </c>
      <c r="B23" s="1125"/>
      <c r="C23" s="1123" t="s">
        <v>1287</v>
      </c>
      <c r="D23" s="1126" t="s">
        <v>1288</v>
      </c>
      <c r="E23" s="276"/>
      <c r="F23" s="1129">
        <v>1557949.9872662092</v>
      </c>
      <c r="G23" s="625">
        <f t="shared" si="0"/>
        <v>0.085650064971651951</v>
      </c>
      <c r="H23" s="648">
        <f t="shared" si="3"/>
        <v>1359700.6904229573</v>
      </c>
      <c r="I23" s="1130">
        <v>1466684.2517608765</v>
      </c>
      <c r="J23" s="648">
        <f t="shared" si="1"/>
        <v>-106983.56133791921</v>
      </c>
      <c r="K23" s="1131">
        <f t="shared" si="4"/>
        <v>-7498.770281268914</v>
      </c>
      <c r="L23" s="648">
        <f t="shared" si="2"/>
        <v>-114482.33161918812</v>
      </c>
      <c r="M23" s="643"/>
    </row>
    <row r="24" spans="1:13" ht="60">
      <c r="A24" s="581" t="s">
        <v>1106</v>
      </c>
      <c r="B24" s="1125"/>
      <c r="C24" s="1123" t="s">
        <v>1289</v>
      </c>
      <c r="D24" s="1126" t="s">
        <v>1290</v>
      </c>
      <c r="E24" s="276"/>
      <c r="F24" s="1129">
        <v>9136525.8193730209</v>
      </c>
      <c r="G24" s="625">
        <f t="shared" si="0"/>
        <v>0.50229085428963793</v>
      </c>
      <c r="H24" s="648">
        <f t="shared" si="3"/>
        <v>7973901.9648940405</v>
      </c>
      <c r="I24" s="1130">
        <v>8958781.0026083048</v>
      </c>
      <c r="J24" s="648">
        <f t="shared" si="1"/>
        <v>-984879.03771426436</v>
      </c>
      <c r="K24" s="1131">
        <f t="shared" si="4"/>
        <v>-69032.864173673559</v>
      </c>
      <c r="L24" s="648">
        <f t="shared" si="2"/>
        <v>-1053911.9018879379</v>
      </c>
      <c r="M24" s="643"/>
    </row>
    <row r="25" spans="1:13" ht="15">
      <c r="A25" s="581" t="s">
        <v>1145</v>
      </c>
      <c r="B25" s="1125"/>
      <c r="C25" s="1123" t="s">
        <v>1137</v>
      </c>
      <c r="D25" s="1126" t="s">
        <v>1138</v>
      </c>
      <c r="E25" s="276"/>
      <c r="F25" s="1129">
        <v>38614.966367328576</v>
      </c>
      <c r="G25" s="625">
        <f t="shared" si="0"/>
        <v>0.0021229015085673037</v>
      </c>
      <c r="H25" s="648">
        <f t="shared" si="3"/>
        <v>33701.207907481024</v>
      </c>
      <c r="I25" s="1130">
        <v>16583.810995305852</v>
      </c>
      <c r="J25" s="648">
        <f t="shared" si="1"/>
        <v>17117.396912175172</v>
      </c>
      <c r="K25" s="1131">
        <f t="shared" si="4"/>
        <v>1199.8051443835025</v>
      </c>
      <c r="L25" s="648">
        <f t="shared" si="2"/>
        <v>18317.202056558675</v>
      </c>
      <c r="M25" s="643"/>
    </row>
    <row r="26" spans="1:13" ht="30">
      <c r="A26" s="581" t="s">
        <v>1107</v>
      </c>
      <c r="B26" s="1125"/>
      <c r="C26" s="1123" t="s">
        <v>1139</v>
      </c>
      <c r="D26" s="1126" t="s">
        <v>1140</v>
      </c>
      <c r="E26" s="276"/>
      <c r="F26" s="1129">
        <v>25954.334781780268</v>
      </c>
      <c r="G26" s="625">
        <f t="shared" si="0"/>
        <v>0.0014268689486343826</v>
      </c>
      <c r="H26" s="648">
        <f t="shared" si="3"/>
        <v>22651.642999259595</v>
      </c>
      <c r="I26" s="1130">
        <v>11156.823769611505</v>
      </c>
      <c r="J26" s="648">
        <f t="shared" si="1"/>
        <v>11494.81922964809</v>
      </c>
      <c r="K26" s="1131">
        <f t="shared" si="4"/>
        <v>805.70330385227032</v>
      </c>
      <c r="L26" s="648">
        <f t="shared" si="2"/>
        <v>12300.52253350036</v>
      </c>
      <c r="M26" s="643"/>
    </row>
    <row r="27" spans="1:13" ht="15">
      <c r="A27" s="581" t="s">
        <v>1108</v>
      </c>
      <c r="B27" s="1125"/>
      <c r="C27" s="1123" t="s">
        <v>1141</v>
      </c>
      <c r="D27" s="1126" t="s">
        <v>1142</v>
      </c>
      <c r="E27" s="276"/>
      <c r="F27" s="1129">
        <v>14306.148932669817</v>
      </c>
      <c r="G27" s="625">
        <f t="shared" si="0"/>
        <v>0.00078649673968508871</v>
      </c>
      <c r="H27" s="648">
        <f t="shared" si="3"/>
        <v>12485.690002910856</v>
      </c>
      <c r="I27" s="1130">
        <v>6513.3910823429796</v>
      </c>
      <c r="J27" s="648">
        <f t="shared" si="1"/>
        <v>5972.2989205678768</v>
      </c>
      <c r="K27" s="1131">
        <f t="shared" si="4"/>
        <v>418.61475815850662</v>
      </c>
      <c r="L27" s="648">
        <f t="shared" si="2"/>
        <v>6390.9136787263833</v>
      </c>
      <c r="M27" s="643"/>
    </row>
    <row r="28" spans="1:13" ht="15">
      <c r="A28" s="581" t="s">
        <v>1109</v>
      </c>
      <c r="B28" s="1125"/>
      <c r="C28" s="1123" t="s">
        <v>1143</v>
      </c>
      <c r="D28" s="1126" t="s">
        <v>1144</v>
      </c>
      <c r="E28" s="276"/>
      <c r="F28" s="1129">
        <v>6239.3256774168258</v>
      </c>
      <c r="G28" s="625">
        <f t="shared" si="0"/>
        <v>0.00034301399532585502</v>
      </c>
      <c r="H28" s="648">
        <f t="shared" si="3"/>
        <v>5445.3708403334867</v>
      </c>
      <c r="I28" s="1130">
        <v>8649.5548716427384</v>
      </c>
      <c r="J28" s="648">
        <f t="shared" si="1"/>
        <v>-3204.1840313092516</v>
      </c>
      <c r="K28" s="1131">
        <f t="shared" si="4"/>
        <v>-224.59001821602251</v>
      </c>
      <c r="L28" s="648">
        <f t="shared" si="2"/>
        <v>-3428.7740495252742</v>
      </c>
      <c r="M28" s="643"/>
    </row>
    <row r="29" spans="1:13" ht="45">
      <c r="A29" s="581" t="s">
        <v>1117</v>
      </c>
      <c r="B29" s="1125"/>
      <c r="C29" s="1123" t="s">
        <v>1291</v>
      </c>
      <c r="D29" s="690" t="s">
        <v>1292</v>
      </c>
      <c r="E29" s="276"/>
      <c r="F29" s="1129">
        <v>1890459.7401962806</v>
      </c>
      <c r="G29" s="625">
        <f t="shared" si="0"/>
        <v>0.10393016521552596</v>
      </c>
      <c r="H29" s="648">
        <f t="shared" si="3"/>
        <v>1649898.5429385731</v>
      </c>
      <c r="I29" s="1130">
        <v>834777.34524798882</v>
      </c>
      <c r="J29" s="648">
        <f t="shared" si="1"/>
        <v>815121.19769058423</v>
      </c>
      <c r="K29" s="1131">
        <f t="shared" si="4"/>
        <v>57134.073089675665</v>
      </c>
      <c r="L29" s="648">
        <f t="shared" si="2"/>
        <v>872255.27078025986</v>
      </c>
      <c r="M29" s="643"/>
    </row>
    <row r="30" spans="1:13" ht="45">
      <c r="A30" s="581" t="s">
        <v>1146</v>
      </c>
      <c r="B30" s="1125"/>
      <c r="C30" s="1123" t="s">
        <v>1293</v>
      </c>
      <c r="D30" s="1128" t="s">
        <v>1294</v>
      </c>
      <c r="E30" s="276"/>
      <c r="F30" s="1129">
        <v>346102.83619513945</v>
      </c>
      <c r="G30" s="625">
        <f t="shared" si="0"/>
        <v>0.019027395390915997</v>
      </c>
      <c r="H30" s="648">
        <f t="shared" si="3"/>
        <v>302061.21453079948</v>
      </c>
      <c r="I30" s="1130">
        <v>308550.58723054995</v>
      </c>
      <c r="J30" s="648">
        <f t="shared" si="1"/>
        <v>-6489.3726997504709</v>
      </c>
      <c r="K30" s="1131">
        <f t="shared" si="4"/>
        <v>-454.8578728956445</v>
      </c>
      <c r="L30" s="648">
        <f t="shared" si="2"/>
        <v>-6944.2305726461154</v>
      </c>
      <c r="M30" s="643"/>
    </row>
    <row r="31" spans="1:13" ht="45">
      <c r="A31" s="581" t="s">
        <v>1147</v>
      </c>
      <c r="B31" s="1125"/>
      <c r="C31" s="1123" t="s">
        <v>1293</v>
      </c>
      <c r="D31" s="1128" t="s">
        <v>1295</v>
      </c>
      <c r="E31" s="276"/>
      <c r="F31" s="1129">
        <v>346102.74750497728</v>
      </c>
      <c r="G31" s="625">
        <f t="shared" si="0"/>
        <v>0.019027390515073888</v>
      </c>
      <c r="H31" s="648">
        <f t="shared" si="3"/>
        <v>302061.13712646964</v>
      </c>
      <c r="I31" s="1130">
        <v>308550.58723054995</v>
      </c>
      <c r="J31" s="648">
        <f t="shared" si="1"/>
        <v>-6489.4501040803152</v>
      </c>
      <c r="K31" s="1131">
        <f t="shared" si="4"/>
        <v>-454.86329837672798</v>
      </c>
      <c r="L31" s="648">
        <f t="shared" si="2"/>
        <v>-6944.3134024570436</v>
      </c>
      <c r="M31" s="643"/>
    </row>
    <row r="32" spans="1:13" ht="15">
      <c r="A32" s="581" t="s">
        <v>1148</v>
      </c>
      <c r="B32" s="1125"/>
      <c r="C32" s="1123" t="s">
        <v>1296</v>
      </c>
      <c r="D32" s="1126" t="s">
        <v>1297</v>
      </c>
      <c r="E32" s="276"/>
      <c r="F32" s="1129">
        <v>901955.87158910197</v>
      </c>
      <c r="G32" s="625">
        <f t="shared" si="0"/>
        <v>0.049586045530721698</v>
      </c>
      <c r="H32" s="648">
        <f t="shared" si="3"/>
        <v>787181.89374148822</v>
      </c>
      <c r="I32" s="1130">
        <v>824373.96657729999</v>
      </c>
      <c r="J32" s="648">
        <f t="shared" si="1"/>
        <v>-37192.072835811763</v>
      </c>
      <c r="K32" s="1131">
        <f t="shared" si="4"/>
        <v>-2606.8940591634869</v>
      </c>
      <c r="L32" s="648">
        <f t="shared" si="2"/>
        <v>-39798.966894975252</v>
      </c>
      <c r="M32" s="643"/>
    </row>
    <row r="33" spans="1:13" ht="15">
      <c r="A33" s="581" t="s">
        <v>1149</v>
      </c>
      <c r="B33" s="1125"/>
      <c r="C33" s="1123" t="s">
        <v>1298</v>
      </c>
      <c r="D33" s="1126" t="s">
        <v>1299</v>
      </c>
      <c r="E33" s="276"/>
      <c r="F33" s="1129">
        <v>443616.73709882458</v>
      </c>
      <c r="G33" s="625">
        <f t="shared" si="0"/>
        <v>0.024388332530301031</v>
      </c>
      <c r="H33" s="648">
        <f t="shared" si="3"/>
        <v>387166.4614695902</v>
      </c>
      <c r="I33" s="1130">
        <v>381949.7080935901</v>
      </c>
      <c r="J33" s="648">
        <f t="shared" si="1"/>
        <v>5216.7533760000952</v>
      </c>
      <c r="K33" s="1131">
        <f t="shared" si="4"/>
        <v>365.65650546158611</v>
      </c>
      <c r="L33" s="648">
        <f t="shared" si="2"/>
        <v>5582.4098814616809</v>
      </c>
      <c r="M33" s="643"/>
    </row>
    <row r="34" spans="1:13" ht="45">
      <c r="A34" s="581" t="s">
        <v>1226</v>
      </c>
      <c r="B34" s="1125"/>
      <c r="C34" s="1123" t="s">
        <v>1227</v>
      </c>
      <c r="D34" s="690" t="s">
        <v>1228</v>
      </c>
      <c r="E34" s="276"/>
      <c r="F34" s="1129">
        <v>0</v>
      </c>
      <c r="G34" s="625">
        <f t="shared" si="0"/>
        <v>0</v>
      </c>
      <c r="H34" s="648">
        <f t="shared" si="3"/>
        <v>0</v>
      </c>
      <c r="I34" s="1130">
        <v>14051562.020186752</v>
      </c>
      <c r="J34" s="648">
        <f t="shared" si="1"/>
        <v>-14051562.020186752</v>
      </c>
      <c r="K34" s="1131">
        <f t="shared" si="4"/>
        <v>-984912.39555544953</v>
      </c>
      <c r="L34" s="648">
        <f t="shared" si="2"/>
        <v>-15036474.415742202</v>
      </c>
      <c r="M34" s="643"/>
    </row>
    <row r="35" spans="1:13" ht="45">
      <c r="A35" s="581" t="s">
        <v>1260</v>
      </c>
      <c r="C35" s="1123" t="s">
        <v>1302</v>
      </c>
      <c r="D35" s="1126" t="s">
        <v>1303</v>
      </c>
      <c r="E35" s="276"/>
      <c r="F35" s="1129">
        <v>6724.376096613526</v>
      </c>
      <c r="G35" s="625">
        <f t="shared" si="0"/>
        <v>0.00036968019145428417</v>
      </c>
      <c r="H35" s="648">
        <f t="shared" si="3"/>
        <v>5868.6985435731704</v>
      </c>
      <c r="I35" s="1130">
        <v>0</v>
      </c>
      <c r="J35" s="648">
        <f t="shared" si="1"/>
        <v>5868.6985435731704</v>
      </c>
      <c r="K35" s="1131">
        <f t="shared" si="4"/>
        <v>411.35312451665845</v>
      </c>
      <c r="L35" s="648">
        <f t="shared" si="2"/>
        <v>6280.051668089829</v>
      </c>
      <c r="M35" s="643"/>
    </row>
    <row r="36" spans="1:13" ht="30">
      <c r="A36" s="581" t="s">
        <v>1261</v>
      </c>
      <c r="C36" s="1123" t="s">
        <v>1304</v>
      </c>
      <c r="D36" s="1126" t="s">
        <v>1305</v>
      </c>
      <c r="E36" s="276"/>
      <c r="F36" s="1129">
        <v>329494.42873406265</v>
      </c>
      <c r="G36" s="625">
        <f t="shared" si="0"/>
        <v>0.018114329381259918</v>
      </c>
      <c r="H36" s="648">
        <f t="shared" si="3"/>
        <v>287566.22863508522</v>
      </c>
      <c r="I36" s="1130">
        <v>0</v>
      </c>
      <c r="J36" s="648">
        <f t="shared" si="1"/>
        <v>287566.22863508522</v>
      </c>
      <c r="K36" s="1131">
        <f t="shared" si="4"/>
        <v>20156.303101316254</v>
      </c>
      <c r="L36" s="648">
        <f t="shared" si="2"/>
        <v>307722.53173640149</v>
      </c>
      <c r="M36" s="643"/>
    </row>
    <row r="37" spans="1:13" ht="30">
      <c r="A37" s="581" t="s">
        <v>1262</v>
      </c>
      <c r="C37" s="1123" t="s">
        <v>1263</v>
      </c>
      <c r="D37" s="1126" t="s">
        <v>1257</v>
      </c>
      <c r="E37" s="276"/>
      <c r="F37" s="1129">
        <v>153557.26363642374</v>
      </c>
      <c r="G37" s="625">
        <f t="shared" si="0"/>
        <v>0.0084419844762843761</v>
      </c>
      <c r="H37" s="648">
        <f t="shared" si="3"/>
        <v>134017.0859735235</v>
      </c>
      <c r="I37" s="1130">
        <v>0</v>
      </c>
      <c r="J37" s="648">
        <f t="shared" si="1"/>
        <v>134017.0859735235</v>
      </c>
      <c r="K37" s="1131">
        <f t="shared" si="4"/>
        <v>9393.6239260743332</v>
      </c>
      <c r="L37" s="648">
        <f t="shared" si="2"/>
        <v>143410.70989959783</v>
      </c>
      <c r="M37" s="643"/>
    </row>
    <row r="38" spans="1:13" ht="45">
      <c r="A38" s="581" t="s">
        <v>1300</v>
      </c>
      <c r="C38" s="1123" t="s">
        <v>1264</v>
      </c>
      <c r="D38" s="1126" t="s">
        <v>1258</v>
      </c>
      <c r="E38" s="276"/>
      <c r="F38" s="1129">
        <v>21095.649867099055</v>
      </c>
      <c r="G38" s="625">
        <f t="shared" si="5" ref="G38:G39">IF($F$41=0,0,F38/$F$41)</f>
        <v>0.0011597572428539817</v>
      </c>
      <c r="H38" s="648">
        <f t="shared" si="6" ref="H38:H39">IF($E$15=0,0,$E$15*G38)</f>
        <v>18411.226241959146</v>
      </c>
      <c r="I38" s="1130">
        <v>0</v>
      </c>
      <c r="J38" s="648">
        <f t="shared" si="7" ref="J38:J39">H38-I38</f>
        <v>18411.226241959146</v>
      </c>
      <c r="K38" s="1131">
        <f t="shared" si="8" ref="K38:K39">J38/$J$41*$L$43</f>
        <v>1290.4931791234651</v>
      </c>
      <c r="L38" s="648">
        <f t="shared" si="9" ref="L38:L39">J38+K38</f>
        <v>19701.719421082613</v>
      </c>
      <c r="M38" s="643"/>
    </row>
    <row r="39" spans="1:13" ht="45">
      <c r="A39" s="581" t="s">
        <v>1301</v>
      </c>
      <c r="C39" s="1123" t="s">
        <v>1265</v>
      </c>
      <c r="D39" s="1126" t="s">
        <v>1259</v>
      </c>
      <c r="E39" s="276"/>
      <c r="F39" s="1129">
        <v>5699.6623629455598</v>
      </c>
      <c r="G39" s="625">
        <f t="shared" si="5"/>
        <v>0.00031334539342908383</v>
      </c>
      <c r="H39" s="648">
        <f t="shared" si="6"/>
        <v>4974.3797383853989</v>
      </c>
      <c r="I39" s="1130">
        <v>0</v>
      </c>
      <c r="J39" s="648">
        <f t="shared" si="7"/>
        <v>4974.3797383853989</v>
      </c>
      <c r="K39" s="1131">
        <f t="shared" si="8"/>
        <v>348.6678746104655</v>
      </c>
      <c r="L39" s="648">
        <f t="shared" si="9"/>
        <v>5323.0476129958643</v>
      </c>
      <c r="M39" s="643"/>
    </row>
    <row r="40" spans="1:13" ht="15">
      <c r="A40" s="622"/>
      <c r="B40" s="600"/>
      <c r="C40" s="623"/>
      <c r="D40" s="623"/>
      <c r="E40" s="644"/>
      <c r="F40" s="644"/>
      <c r="G40" s="644"/>
      <c r="H40" s="1132"/>
      <c r="I40" s="1132"/>
      <c r="J40" s="1132"/>
      <c r="K40" s="1132"/>
      <c r="L40" s="1132"/>
      <c r="M40" s="645"/>
    </row>
    <row r="41" spans="1:13" ht="15">
      <c r="A41" s="573" t="s">
        <v>245</v>
      </c>
      <c r="B41" s="646"/>
      <c r="C41" s="562" t="s">
        <v>297</v>
      </c>
      <c r="D41" s="576"/>
      <c r="E41" s="589"/>
      <c r="F41" s="1133">
        <f>SUM(F17:F40)</f>
        <v>18189711.680684097</v>
      </c>
      <c r="G41" s="647"/>
      <c r="H41" s="1133"/>
      <c r="I41" s="1133">
        <f>SUM(I17:I40)</f>
        <v>29873352.081394825</v>
      </c>
      <c r="J41" s="1133">
        <f>SUM(J17:J40)</f>
        <v>-13998283.091394825</v>
      </c>
      <c r="K41" s="648"/>
      <c r="L41" s="648">
        <f>SUM(L17:L40)</f>
        <v>-14979461.021179583</v>
      </c>
      <c r="M41" s="625"/>
    </row>
    <row r="42" spans="1:5" ht="15">
      <c r="A42" s="277"/>
      <c r="B42" s="277"/>
      <c r="E42" s="277"/>
    </row>
    <row r="43" spans="1:13" ht="15">
      <c r="A43" s="573" t="s">
        <v>246</v>
      </c>
      <c r="B43" s="277"/>
      <c r="C43" s="562" t="s">
        <v>817</v>
      </c>
      <c r="E43" s="277"/>
      <c r="J43" s="625"/>
      <c r="L43" s="648">
        <f>'Attach 13a-TEC Rev Req True up'!H53</f>
        <v>-981177.92978476174</v>
      </c>
      <c r="M43" s="625"/>
    </row>
    <row r="44" spans="1:5" ht="15">
      <c r="A44" s="629"/>
      <c r="B44" s="277"/>
      <c r="E44" s="277"/>
    </row>
    <row r="45" spans="1:10" ht="15">
      <c r="A45" s="589"/>
      <c r="J45" s="648"/>
    </row>
    <row r="46" spans="1:10" ht="15">
      <c r="A46" s="589"/>
      <c r="J46" s="648"/>
    </row>
    <row r="47" spans="1:10" ht="15">
      <c r="A47" s="573"/>
      <c r="J47" s="625"/>
    </row>
    <row r="48" spans="1:10" ht="15">
      <c r="A48" s="573"/>
      <c r="J48" s="625"/>
    </row>
    <row r="49" spans="3:3" ht="15">
      <c r="C49" s="649"/>
    </row>
    <row r="51" spans="1:13" ht="15">
      <c r="A51" s="277" t="s">
        <v>308</v>
      </c>
      <c r="B51" s="277"/>
      <c r="C51" s="277"/>
      <c r="D51" s="277"/>
      <c r="E51" s="277"/>
      <c r="F51" s="277"/>
      <c r="G51" s="277"/>
      <c r="H51" s="277"/>
      <c r="I51" s="277"/>
      <c r="J51" s="277"/>
      <c r="K51" s="277"/>
      <c r="L51" s="277"/>
      <c r="M51" s="277"/>
    </row>
    <row r="52" spans="1:13" ht="15">
      <c r="A52" s="627"/>
      <c r="B52" s="277" t="s">
        <v>260</v>
      </c>
      <c r="C52" s="277" t="s">
        <v>554</v>
      </c>
      <c r="D52" s="277"/>
      <c r="E52" s="277"/>
      <c r="F52" s="277"/>
      <c r="G52" s="277"/>
      <c r="H52" s="277"/>
      <c r="I52" s="277"/>
      <c r="J52" s="277"/>
      <c r="K52" s="277"/>
      <c r="L52" s="277"/>
      <c r="M52" s="277"/>
    </row>
    <row r="53" spans="1:10" ht="15">
      <c r="A53" s="650"/>
      <c r="C53" s="573"/>
      <c r="D53" s="573"/>
      <c r="E53" s="589"/>
      <c r="F53" s="589"/>
      <c r="G53" s="578"/>
      <c r="J53" s="630"/>
    </row>
    <row r="54" spans="1:10" ht="15">
      <c r="A54" s="650"/>
      <c r="C54" s="573"/>
      <c r="D54" s="573"/>
      <c r="E54" s="589"/>
      <c r="F54" s="589"/>
      <c r="G54" s="578"/>
      <c r="J54" s="630"/>
    </row>
    <row r="55" spans="3:12" ht="15">
      <c r="C55" s="277"/>
      <c r="D55" s="277"/>
      <c r="E55" s="277"/>
      <c r="F55" s="277"/>
      <c r="G55" s="277"/>
      <c r="H55" s="277"/>
      <c r="I55" s="277"/>
      <c r="J55" s="277"/>
      <c r="K55" s="277"/>
      <c r="L55" s="277"/>
    </row>
    <row r="56" spans="3:12" ht="15">
      <c r="C56" s="277"/>
      <c r="D56" s="277"/>
      <c r="E56" s="277"/>
      <c r="F56" s="277"/>
      <c r="G56" s="277"/>
      <c r="H56" s="277"/>
      <c r="I56" s="277"/>
      <c r="J56" s="277"/>
      <c r="K56" s="277"/>
      <c r="L56" s="277"/>
    </row>
    <row r="57" spans="3:12" ht="15">
      <c r="C57" s="277"/>
      <c r="D57" s="277"/>
      <c r="E57" s="277"/>
      <c r="F57" s="277"/>
      <c r="G57" s="277"/>
      <c r="H57" s="277"/>
      <c r="I57" s="277"/>
      <c r="J57" s="277"/>
      <c r="K57" s="277"/>
      <c r="L57" s="277"/>
    </row>
    <row r="58" spans="3:12" ht="15">
      <c r="C58" s="277"/>
      <c r="D58" s="277"/>
      <c r="E58" s="277"/>
      <c r="F58" s="277"/>
      <c r="G58" s="277"/>
      <c r="H58" s="277"/>
      <c r="I58" s="277"/>
      <c r="J58" s="277"/>
      <c r="K58" s="277"/>
      <c r="L58" s="277"/>
    </row>
    <row r="59" spans="3:12" ht="15">
      <c r="C59" s="277"/>
      <c r="D59" s="277"/>
      <c r="E59" s="277"/>
      <c r="F59" s="277"/>
      <c r="G59" s="277"/>
      <c r="H59" s="277"/>
      <c r="I59" s="277"/>
      <c r="J59" s="277"/>
      <c r="K59" s="277"/>
      <c r="L59" s="277"/>
    </row>
    <row r="60" spans="3:12" ht="15">
      <c r="C60" s="277"/>
      <c r="D60" s="277"/>
      <c r="E60" s="277"/>
      <c r="F60" s="277"/>
      <c r="G60" s="277"/>
      <c r="H60" s="277"/>
      <c r="I60" s="277"/>
      <c r="J60" s="277"/>
      <c r="K60" s="277"/>
      <c r="L60" s="277"/>
    </row>
    <row r="61" spans="3:12" ht="15">
      <c r="C61" s="277"/>
      <c r="D61" s="277"/>
      <c r="E61" s="277"/>
      <c r="F61" s="277"/>
      <c r="G61" s="277"/>
      <c r="H61" s="277"/>
      <c r="I61" s="277"/>
      <c r="J61" s="277"/>
      <c r="K61" s="277"/>
      <c r="L61" s="277"/>
    </row>
    <row r="62" spans="3:12" ht="15">
      <c r="C62" s="277"/>
      <c r="D62" s="277"/>
      <c r="E62" s="277"/>
      <c r="F62" s="277"/>
      <c r="G62" s="277"/>
      <c r="H62" s="277"/>
      <c r="I62" s="277"/>
      <c r="J62" s="277"/>
      <c r="K62" s="277"/>
      <c r="L62" s="277"/>
    </row>
    <row r="63" spans="3:12" ht="15">
      <c r="C63" s="277"/>
      <c r="D63" s="277"/>
      <c r="E63" s="277"/>
      <c r="F63" s="277"/>
      <c r="G63" s="277"/>
      <c r="H63" s="277"/>
      <c r="I63" s="277"/>
      <c r="J63" s="277"/>
      <c r="K63" s="277"/>
      <c r="L63" s="277"/>
    </row>
    <row r="64" spans="3:12" ht="15">
      <c r="C64" s="277"/>
      <c r="D64" s="277"/>
      <c r="E64" s="277"/>
      <c r="F64" s="277"/>
      <c r="G64" s="277"/>
      <c r="H64" s="277"/>
      <c r="I64" s="277"/>
      <c r="J64" s="277"/>
      <c r="K64" s="277"/>
      <c r="L64" s="277"/>
    </row>
    <row r="65" spans="3:12" ht="15">
      <c r="C65" s="277"/>
      <c r="D65" s="277"/>
      <c r="E65" s="277"/>
      <c r="F65" s="277"/>
      <c r="G65" s="277"/>
      <c r="H65" s="277"/>
      <c r="I65" s="277"/>
      <c r="J65" s="277"/>
      <c r="K65" s="277"/>
      <c r="L65" s="277"/>
    </row>
    <row r="66" spans="3:12" ht="15">
      <c r="C66" s="277"/>
      <c r="D66" s="277"/>
      <c r="E66" s="277"/>
      <c r="F66" s="277"/>
      <c r="G66" s="277"/>
      <c r="H66" s="277"/>
      <c r="I66" s="277"/>
      <c r="J66" s="277"/>
      <c r="K66" s="277"/>
      <c r="L66" s="277"/>
    </row>
    <row r="67" spans="3:12" ht="15">
      <c r="C67" s="277"/>
      <c r="D67" s="277"/>
      <c r="E67" s="277"/>
      <c r="F67" s="277"/>
      <c r="G67" s="277"/>
      <c r="H67" s="277"/>
      <c r="I67" s="277"/>
      <c r="J67" s="277"/>
      <c r="K67" s="277"/>
      <c r="L67" s="277"/>
    </row>
    <row r="68" spans="3:12" ht="15">
      <c r="C68" s="277"/>
      <c r="D68" s="277"/>
      <c r="E68" s="277"/>
      <c r="F68" s="277"/>
      <c r="G68" s="277"/>
      <c r="H68" s="277"/>
      <c r="I68" s="277"/>
      <c r="J68" s="277"/>
      <c r="K68" s="277"/>
      <c r="L68" s="277"/>
    </row>
    <row r="69" spans="3:12" ht="15">
      <c r="C69" s="277"/>
      <c r="D69" s="277"/>
      <c r="E69" s="277"/>
      <c r="F69" s="277"/>
      <c r="G69" s="277"/>
      <c r="H69" s="277"/>
      <c r="I69" s="277"/>
      <c r="J69" s="277"/>
      <c r="K69" s="277"/>
      <c r="L69" s="277"/>
    </row>
    <row r="70" spans="3:12" ht="15">
      <c r="C70" s="277"/>
      <c r="D70" s="277"/>
      <c r="E70" s="277"/>
      <c r="F70" s="277"/>
      <c r="G70" s="277"/>
      <c r="H70" s="277"/>
      <c r="I70" s="277"/>
      <c r="J70" s="277"/>
      <c r="K70" s="277"/>
      <c r="L70" s="277"/>
    </row>
    <row r="71" spans="3:12" ht="15">
      <c r="C71" s="277"/>
      <c r="D71" s="277"/>
      <c r="E71" s="277"/>
      <c r="F71" s="277"/>
      <c r="G71" s="277"/>
      <c r="H71" s="277"/>
      <c r="I71" s="277"/>
      <c r="J71" s="277"/>
      <c r="K71" s="277"/>
      <c r="L71" s="277"/>
    </row>
    <row r="72" spans="3:12" ht="15">
      <c r="C72" s="277"/>
      <c r="D72" s="277"/>
      <c r="E72" s="277"/>
      <c r="F72" s="277"/>
      <c r="G72" s="277"/>
      <c r="H72" s="277"/>
      <c r="I72" s="277"/>
      <c r="J72" s="277"/>
      <c r="K72" s="277"/>
      <c r="L72" s="277"/>
    </row>
    <row r="73" spans="3:12" ht="15">
      <c r="C73" s="277"/>
      <c r="D73" s="277"/>
      <c r="E73" s="277"/>
      <c r="F73" s="277"/>
      <c r="G73" s="277"/>
      <c r="H73" s="277"/>
      <c r="I73" s="277"/>
      <c r="J73" s="277"/>
      <c r="K73" s="277"/>
      <c r="L73" s="277"/>
    </row>
    <row r="74" spans="3:12" ht="15">
      <c r="C74" s="277"/>
      <c r="D74" s="277"/>
      <c r="E74" s="277"/>
      <c r="F74" s="277"/>
      <c r="G74" s="277"/>
      <c r="H74" s="277"/>
      <c r="I74" s="277"/>
      <c r="J74" s="277"/>
      <c r="K74" s="277"/>
      <c r="L74" s="277"/>
    </row>
    <row r="75" spans="3:12" ht="15">
      <c r="C75" s="277"/>
      <c r="D75" s="277"/>
      <c r="E75" s="277"/>
      <c r="F75" s="277"/>
      <c r="G75" s="277"/>
      <c r="H75" s="277"/>
      <c r="I75" s="277"/>
      <c r="J75" s="277"/>
      <c r="K75" s="277"/>
      <c r="L75" s="277"/>
    </row>
    <row r="76" spans="3:12" ht="15">
      <c r="C76" s="277"/>
      <c r="D76" s="277"/>
      <c r="E76" s="277"/>
      <c r="F76" s="277"/>
      <c r="G76" s="277"/>
      <c r="H76" s="277"/>
      <c r="I76" s="277"/>
      <c r="J76" s="277"/>
      <c r="K76" s="277"/>
      <c r="L76" s="277"/>
    </row>
    <row r="77" spans="3:12" ht="15">
      <c r="C77" s="277"/>
      <c r="D77" s="277"/>
      <c r="E77" s="277"/>
      <c r="F77" s="277"/>
      <c r="G77" s="277"/>
      <c r="H77" s="277"/>
      <c r="I77" s="277"/>
      <c r="J77" s="277"/>
      <c r="K77" s="277"/>
      <c r="L77" s="277"/>
    </row>
    <row r="78" spans="3:12" ht="15">
      <c r="C78" s="277"/>
      <c r="D78" s="277"/>
      <c r="E78" s="277"/>
      <c r="F78" s="277"/>
      <c r="G78" s="277"/>
      <c r="H78" s="277"/>
      <c r="I78" s="277"/>
      <c r="J78" s="277"/>
      <c r="K78" s="277"/>
      <c r="L78" s="277"/>
    </row>
    <row r="79" spans="3:12" ht="15">
      <c r="C79" s="277"/>
      <c r="D79" s="277"/>
      <c r="E79" s="277"/>
      <c r="F79" s="277"/>
      <c r="G79" s="277"/>
      <c r="H79" s="277"/>
      <c r="I79" s="277"/>
      <c r="J79" s="277"/>
      <c r="K79" s="277"/>
      <c r="L79" s="277"/>
    </row>
    <row r="80" spans="3:12" ht="15">
      <c r="C80" s="277"/>
      <c r="D80" s="277"/>
      <c r="E80" s="277"/>
      <c r="F80" s="277"/>
      <c r="G80" s="277"/>
      <c r="H80" s="277"/>
      <c r="I80" s="277"/>
      <c r="J80" s="277"/>
      <c r="K80" s="277"/>
      <c r="L80" s="277"/>
    </row>
    <row r="81" spans="3:12" ht="15">
      <c r="C81" s="277"/>
      <c r="D81" s="277"/>
      <c r="E81" s="277"/>
      <c r="F81" s="277"/>
      <c r="G81" s="277"/>
      <c r="H81" s="277"/>
      <c r="I81" s="277"/>
      <c r="J81" s="277"/>
      <c r="K81" s="277"/>
      <c r="L81" s="277"/>
    </row>
    <row r="82" spans="3:12" ht="15">
      <c r="C82" s="277"/>
      <c r="D82" s="277"/>
      <c r="E82" s="277"/>
      <c r="F82" s="277"/>
      <c r="G82" s="277"/>
      <c r="H82" s="277"/>
      <c r="I82" s="277"/>
      <c r="J82" s="277"/>
      <c r="K82" s="277"/>
      <c r="L82" s="277"/>
    </row>
    <row r="83" spans="3:12" ht="15">
      <c r="C83" s="277"/>
      <c r="D83" s="277"/>
      <c r="E83" s="277"/>
      <c r="F83" s="277"/>
      <c r="G83" s="277"/>
      <c r="H83" s="277"/>
      <c r="I83" s="277"/>
      <c r="J83" s="277"/>
      <c r="K83" s="277"/>
      <c r="L83" s="277"/>
    </row>
    <row r="84" spans="3:12" ht="15">
      <c r="C84" s="277"/>
      <c r="D84" s="277"/>
      <c r="E84" s="277"/>
      <c r="F84" s="277"/>
      <c r="G84" s="277"/>
      <c r="H84" s="277"/>
      <c r="I84" s="277"/>
      <c r="J84" s="277"/>
      <c r="K84" s="277"/>
      <c r="L84" s="277"/>
    </row>
    <row r="85" spans="3:12" ht="15">
      <c r="C85" s="277"/>
      <c r="D85" s="277"/>
      <c r="E85" s="277"/>
      <c r="F85" s="277"/>
      <c r="G85" s="277"/>
      <c r="H85" s="277"/>
      <c r="I85" s="277"/>
      <c r="J85" s="277"/>
      <c r="K85" s="277"/>
      <c r="L85" s="277"/>
    </row>
    <row r="86" spans="3:12" ht="15">
      <c r="C86" s="277"/>
      <c r="D86" s="277"/>
      <c r="E86" s="277"/>
      <c r="F86" s="277"/>
      <c r="G86" s="277"/>
      <c r="H86" s="277"/>
      <c r="I86" s="277"/>
      <c r="J86" s="277"/>
      <c r="K86" s="277"/>
      <c r="L86" s="277"/>
    </row>
    <row r="87" spans="3:12" ht="15">
      <c r="C87" s="277"/>
      <c r="D87" s="277"/>
      <c r="E87" s="277"/>
      <c r="F87" s="277"/>
      <c r="G87" s="277"/>
      <c r="H87" s="277"/>
      <c r="I87" s="277"/>
      <c r="J87" s="277"/>
      <c r="K87" s="277"/>
      <c r="L87" s="277"/>
    </row>
    <row r="88" spans="3:12" ht="15">
      <c r="C88" s="277"/>
      <c r="D88" s="277"/>
      <c r="E88" s="277"/>
      <c r="F88" s="277"/>
      <c r="G88" s="277"/>
      <c r="H88" s="277"/>
      <c r="I88" s="277"/>
      <c r="J88" s="277"/>
      <c r="K88" s="277"/>
      <c r="L88" s="277"/>
    </row>
    <row r="89" spans="3:12" ht="15">
      <c r="C89" s="277"/>
      <c r="D89" s="277"/>
      <c r="E89" s="277"/>
      <c r="F89" s="277"/>
      <c r="G89" s="277"/>
      <c r="H89" s="277"/>
      <c r="I89" s="277"/>
      <c r="J89" s="277"/>
      <c r="K89" s="277"/>
      <c r="L89" s="277"/>
    </row>
    <row r="90" spans="3:12" ht="15">
      <c r="C90" s="277"/>
      <c r="D90" s="277"/>
      <c r="E90" s="277"/>
      <c r="F90" s="277"/>
      <c r="G90" s="277"/>
      <c r="H90" s="277"/>
      <c r="I90" s="277"/>
      <c r="J90" s="277"/>
      <c r="K90" s="277"/>
      <c r="L90" s="277"/>
    </row>
    <row r="91" spans="3:12" ht="15">
      <c r="C91" s="277"/>
      <c r="D91" s="277"/>
      <c r="E91" s="277"/>
      <c r="F91" s="277"/>
      <c r="G91" s="277"/>
      <c r="H91" s="277"/>
      <c r="I91" s="277"/>
      <c r="J91" s="277"/>
      <c r="K91" s="277"/>
      <c r="L91" s="277"/>
    </row>
    <row r="92" spans="3:12" ht="15">
      <c r="C92" s="277"/>
      <c r="D92" s="277"/>
      <c r="E92" s="277"/>
      <c r="F92" s="277"/>
      <c r="G92" s="277"/>
      <c r="H92" s="277"/>
      <c r="I92" s="277"/>
      <c r="J92" s="277"/>
      <c r="K92" s="277"/>
      <c r="L92" s="277"/>
    </row>
    <row r="93" spans="3:12" ht="15">
      <c r="C93" s="277"/>
      <c r="D93" s="277"/>
      <c r="E93" s="277"/>
      <c r="F93" s="277"/>
      <c r="G93" s="277"/>
      <c r="H93" s="277"/>
      <c r="I93" s="277"/>
      <c r="J93" s="277"/>
      <c r="K93" s="277"/>
      <c r="L93" s="277"/>
    </row>
    <row r="94" spans="3:12" ht="15">
      <c r="C94" s="277"/>
      <c r="D94" s="277"/>
      <c r="E94" s="277"/>
      <c r="F94" s="277"/>
      <c r="G94" s="277"/>
      <c r="H94" s="277"/>
      <c r="I94" s="277"/>
      <c r="J94" s="277"/>
      <c r="K94" s="277"/>
      <c r="L94" s="277"/>
    </row>
    <row r="95" spans="3:12" ht="15">
      <c r="C95" s="277"/>
      <c r="D95" s="277"/>
      <c r="E95" s="277"/>
      <c r="F95" s="277"/>
      <c r="G95" s="277"/>
      <c r="H95" s="277"/>
      <c r="I95" s="277"/>
      <c r="J95" s="277"/>
      <c r="K95" s="277"/>
      <c r="L95" s="277"/>
    </row>
    <row r="96" spans="3:12" ht="15">
      <c r="C96" s="277"/>
      <c r="D96" s="277"/>
      <c r="E96" s="277"/>
      <c r="F96" s="277"/>
      <c r="G96" s="277"/>
      <c r="H96" s="277"/>
      <c r="I96" s="277"/>
      <c r="J96" s="277"/>
      <c r="K96" s="277"/>
      <c r="L96" s="277"/>
    </row>
    <row r="97" spans="3:12" ht="15">
      <c r="C97" s="277"/>
      <c r="D97" s="277"/>
      <c r="E97" s="277"/>
      <c r="F97" s="277"/>
      <c r="G97" s="277"/>
      <c r="H97" s="277"/>
      <c r="I97" s="277"/>
      <c r="J97" s="277"/>
      <c r="K97" s="277"/>
      <c r="L97" s="277"/>
    </row>
    <row r="98" spans="3:12" ht="15">
      <c r="C98" s="277"/>
      <c r="D98" s="277"/>
      <c r="E98" s="277"/>
      <c r="F98" s="277"/>
      <c r="G98" s="277"/>
      <c r="H98" s="277"/>
      <c r="I98" s="277"/>
      <c r="J98" s="277"/>
      <c r="K98" s="277"/>
      <c r="L98" s="277"/>
    </row>
    <row r="99" spans="3:12" ht="15">
      <c r="C99" s="277"/>
      <c r="D99" s="277"/>
      <c r="E99" s="277"/>
      <c r="F99" s="277"/>
      <c r="G99" s="277"/>
      <c r="H99" s="277"/>
      <c r="I99" s="277"/>
      <c r="J99" s="277"/>
      <c r="K99" s="277"/>
      <c r="L99" s="277"/>
    </row>
    <row r="100" spans="3:12" ht="15">
      <c r="C100" s="277"/>
      <c r="D100" s="277"/>
      <c r="E100" s="277"/>
      <c r="F100" s="277"/>
      <c r="G100" s="277"/>
      <c r="H100" s="277"/>
      <c r="I100" s="277"/>
      <c r="J100" s="277"/>
      <c r="K100" s="277"/>
      <c r="L100" s="277"/>
    </row>
    <row r="101" spans="3:12" ht="15">
      <c r="C101" s="277"/>
      <c r="D101" s="277"/>
      <c r="E101" s="277"/>
      <c r="F101" s="277"/>
      <c r="G101" s="277"/>
      <c r="H101" s="277"/>
      <c r="I101" s="277"/>
      <c r="J101" s="277"/>
      <c r="K101" s="277"/>
      <c r="L101" s="277"/>
    </row>
    <row r="102" spans="3:12" ht="15">
      <c r="C102" s="277"/>
      <c r="D102" s="277"/>
      <c r="E102" s="277"/>
      <c r="F102" s="277"/>
      <c r="G102" s="277"/>
      <c r="H102" s="277"/>
      <c r="I102" s="277"/>
      <c r="J102" s="277"/>
      <c r="K102" s="277"/>
      <c r="L102" s="277"/>
    </row>
    <row r="103" spans="3:12" ht="15">
      <c r="C103" s="277"/>
      <c r="D103" s="277"/>
      <c r="E103" s="277"/>
      <c r="F103" s="277"/>
      <c r="G103" s="277"/>
      <c r="H103" s="277"/>
      <c r="I103" s="277"/>
      <c r="J103" s="277"/>
      <c r="K103" s="277"/>
      <c r="L103" s="277"/>
    </row>
    <row r="104" spans="3:12" ht="15">
      <c r="C104" s="277"/>
      <c r="D104" s="277"/>
      <c r="E104" s="277"/>
      <c r="F104" s="277"/>
      <c r="G104" s="277"/>
      <c r="H104" s="277"/>
      <c r="I104" s="277"/>
      <c r="J104" s="277"/>
      <c r="K104" s="277"/>
      <c r="L104" s="277"/>
    </row>
    <row r="105" spans="3:12" ht="15">
      <c r="C105" s="277"/>
      <c r="D105" s="277"/>
      <c r="E105" s="277"/>
      <c r="F105" s="277"/>
      <c r="G105" s="277"/>
      <c r="H105" s="277"/>
      <c r="I105" s="277"/>
      <c r="J105" s="277"/>
      <c r="K105" s="277"/>
      <c r="L105" s="277"/>
    </row>
    <row r="106" spans="3:12" ht="15">
      <c r="C106" s="277"/>
      <c r="D106" s="277"/>
      <c r="E106" s="277"/>
      <c r="F106" s="277"/>
      <c r="G106" s="277"/>
      <c r="H106" s="277"/>
      <c r="I106" s="277"/>
      <c r="J106" s="277"/>
      <c r="K106" s="277"/>
      <c r="L106" s="277"/>
    </row>
    <row r="107" spans="3:12" ht="15">
      <c r="C107" s="277"/>
      <c r="D107" s="277"/>
      <c r="E107" s="277"/>
      <c r="F107" s="277"/>
      <c r="G107" s="277"/>
      <c r="H107" s="277"/>
      <c r="I107" s="277"/>
      <c r="J107" s="277"/>
      <c r="K107" s="277"/>
      <c r="L107" s="277"/>
    </row>
    <row r="108" spans="3:12" ht="15">
      <c r="C108" s="277"/>
      <c r="D108" s="277"/>
      <c r="E108" s="277"/>
      <c r="F108" s="277"/>
      <c r="G108" s="277"/>
      <c r="H108" s="277"/>
      <c r="I108" s="277"/>
      <c r="J108" s="277"/>
      <c r="K108" s="277"/>
      <c r="L108" s="277"/>
    </row>
    <row r="109" spans="3:12" ht="15">
      <c r="C109" s="277"/>
      <c r="D109" s="277"/>
      <c r="E109" s="277"/>
      <c r="F109" s="277"/>
      <c r="G109" s="277"/>
      <c r="H109" s="277"/>
      <c r="I109" s="277"/>
      <c r="J109" s="277"/>
      <c r="K109" s="277"/>
      <c r="L109" s="277"/>
    </row>
    <row r="110" spans="3:12" ht="15">
      <c r="C110" s="277"/>
      <c r="D110" s="277"/>
      <c r="E110" s="277"/>
      <c r="F110" s="277"/>
      <c r="G110" s="277"/>
      <c r="H110" s="277"/>
      <c r="I110" s="277"/>
      <c r="J110" s="277"/>
      <c r="K110" s="277"/>
      <c r="L110" s="277"/>
    </row>
    <row r="111" spans="3:12" ht="15">
      <c r="C111" s="277"/>
      <c r="D111" s="277"/>
      <c r="E111" s="277"/>
      <c r="F111" s="277"/>
      <c r="G111" s="277"/>
      <c r="H111" s="277"/>
      <c r="I111" s="277"/>
      <c r="J111" s="277"/>
      <c r="K111" s="277"/>
      <c r="L111" s="277"/>
    </row>
    <row r="112" spans="3:12" ht="15">
      <c r="C112" s="277"/>
      <c r="D112" s="277"/>
      <c r="E112" s="277"/>
      <c r="F112" s="277"/>
      <c r="G112" s="277"/>
      <c r="H112" s="277"/>
      <c r="I112" s="277"/>
      <c r="J112" s="277"/>
      <c r="K112" s="277"/>
      <c r="L112" s="277"/>
    </row>
    <row r="113" spans="3:12" ht="15">
      <c r="C113" s="277"/>
      <c r="D113" s="277"/>
      <c r="E113" s="277"/>
      <c r="F113" s="277"/>
      <c r="G113" s="277"/>
      <c r="H113" s="277"/>
      <c r="I113" s="277"/>
      <c r="J113" s="277"/>
      <c r="K113" s="277"/>
      <c r="L113" s="277"/>
    </row>
    <row r="114" spans="3:12" ht="15">
      <c r="C114" s="277"/>
      <c r="D114" s="277"/>
      <c r="E114" s="277"/>
      <c r="F114" s="277"/>
      <c r="G114" s="277"/>
      <c r="H114" s="277"/>
      <c r="I114" s="277"/>
      <c r="J114" s="277"/>
      <c r="K114" s="277"/>
      <c r="L114" s="277"/>
    </row>
    <row r="115" spans="3:12" ht="15">
      <c r="C115" s="277"/>
      <c r="D115" s="277"/>
      <c r="E115" s="277"/>
      <c r="F115" s="277"/>
      <c r="G115" s="277"/>
      <c r="H115" s="277"/>
      <c r="I115" s="277"/>
      <c r="J115" s="277"/>
      <c r="K115" s="277"/>
      <c r="L115" s="277"/>
    </row>
    <row r="116" spans="3:12" ht="15">
      <c r="C116" s="277"/>
      <c r="D116" s="277"/>
      <c r="E116" s="277"/>
      <c r="F116" s="277"/>
      <c r="G116" s="277"/>
      <c r="H116" s="277"/>
      <c r="I116" s="277"/>
      <c r="J116" s="277"/>
      <c r="K116" s="277"/>
      <c r="L116" s="277"/>
    </row>
    <row r="117" spans="3:12" ht="15">
      <c r="C117" s="277"/>
      <c r="D117" s="277"/>
      <c r="E117" s="277"/>
      <c r="F117" s="277"/>
      <c r="G117" s="277"/>
      <c r="H117" s="277"/>
      <c r="I117" s="277"/>
      <c r="J117" s="277"/>
      <c r="K117" s="277"/>
      <c r="L117" s="277"/>
    </row>
    <row r="118" spans="3:12" ht="15">
      <c r="C118" s="277"/>
      <c r="D118" s="277"/>
      <c r="E118" s="277"/>
      <c r="F118" s="277"/>
      <c r="G118" s="277"/>
      <c r="H118" s="277"/>
      <c r="I118" s="277"/>
      <c r="J118" s="277"/>
      <c r="K118" s="277"/>
      <c r="L118" s="277"/>
    </row>
    <row r="119" spans="3:12" ht="15">
      <c r="C119" s="277"/>
      <c r="D119" s="277"/>
      <c r="E119" s="277"/>
      <c r="F119" s="277"/>
      <c r="G119" s="277"/>
      <c r="H119" s="277"/>
      <c r="I119" s="277"/>
      <c r="J119" s="277"/>
      <c r="K119" s="277"/>
      <c r="L119" s="277"/>
    </row>
    <row r="120" spans="3:12" ht="15">
      <c r="C120" s="277"/>
      <c r="D120" s="277"/>
      <c r="E120" s="277"/>
      <c r="F120" s="277"/>
      <c r="G120" s="277"/>
      <c r="H120" s="277"/>
      <c r="I120" s="277"/>
      <c r="J120" s="277"/>
      <c r="K120" s="277"/>
      <c r="L120" s="277"/>
    </row>
    <row r="121" spans="3:12" ht="15">
      <c r="C121" s="277"/>
      <c r="D121" s="277"/>
      <c r="E121" s="277"/>
      <c r="F121" s="277"/>
      <c r="G121" s="277"/>
      <c r="H121" s="277"/>
      <c r="I121" s="277"/>
      <c r="J121" s="277"/>
      <c r="K121" s="277"/>
      <c r="L121" s="277"/>
    </row>
    <row r="122" spans="3:12" ht="15">
      <c r="C122" s="277"/>
      <c r="D122" s="277"/>
      <c r="E122" s="277"/>
      <c r="F122" s="277"/>
      <c r="G122" s="277"/>
      <c r="H122" s="277"/>
      <c r="I122" s="277"/>
      <c r="J122" s="277"/>
      <c r="K122" s="277"/>
      <c r="L122" s="277"/>
    </row>
    <row r="123" spans="3:12" ht="15">
      <c r="C123" s="277"/>
      <c r="D123" s="277"/>
      <c r="E123" s="277"/>
      <c r="F123" s="277"/>
      <c r="G123" s="277"/>
      <c r="H123" s="277"/>
      <c r="I123" s="277"/>
      <c r="J123" s="277"/>
      <c r="K123" s="277"/>
      <c r="L123" s="277"/>
    </row>
    <row r="124" spans="3:12" ht="15">
      <c r="C124" s="277"/>
      <c r="D124" s="277"/>
      <c r="E124" s="277"/>
      <c r="F124" s="277"/>
      <c r="G124" s="277"/>
      <c r="H124" s="277"/>
      <c r="I124" s="277"/>
      <c r="J124" s="277"/>
      <c r="K124" s="277"/>
      <c r="L124" s="277"/>
    </row>
    <row r="125" spans="3:12" ht="15">
      <c r="C125" s="277"/>
      <c r="D125" s="277"/>
      <c r="E125" s="277"/>
      <c r="F125" s="277"/>
      <c r="G125" s="277"/>
      <c r="H125" s="277"/>
      <c r="I125" s="277"/>
      <c r="J125" s="277"/>
      <c r="K125" s="277"/>
      <c r="L125" s="277"/>
    </row>
    <row r="126" spans="3:12" ht="15">
      <c r="C126" s="277"/>
      <c r="D126" s="277"/>
      <c r="E126" s="277"/>
      <c r="F126" s="277"/>
      <c r="G126" s="277"/>
      <c r="H126" s="277"/>
      <c r="I126" s="277"/>
      <c r="J126" s="277"/>
      <c r="K126" s="277"/>
      <c r="L126" s="277"/>
    </row>
    <row r="127" spans="3:12" ht="15">
      <c r="C127" s="277"/>
      <c r="D127" s="277"/>
      <c r="E127" s="277"/>
      <c r="F127" s="277"/>
      <c r="G127" s="277"/>
      <c r="H127" s="277"/>
      <c r="I127" s="277"/>
      <c r="J127" s="277"/>
      <c r="K127" s="277"/>
      <c r="L127" s="277"/>
    </row>
    <row r="128" spans="3:12" ht="15">
      <c r="C128" s="277"/>
      <c r="D128" s="277"/>
      <c r="E128" s="277"/>
      <c r="F128" s="277"/>
      <c r="G128" s="277"/>
      <c r="H128" s="277"/>
      <c r="I128" s="277"/>
      <c r="J128" s="277"/>
      <c r="K128" s="277"/>
      <c r="L128" s="277"/>
    </row>
    <row r="129" spans="3:12" ht="15">
      <c r="C129" s="277"/>
      <c r="D129" s="277"/>
      <c r="E129" s="277"/>
      <c r="F129" s="277"/>
      <c r="G129" s="277"/>
      <c r="H129" s="277"/>
      <c r="I129" s="277"/>
      <c r="J129" s="277"/>
      <c r="K129" s="277"/>
      <c r="L129" s="277"/>
    </row>
    <row r="130" spans="3:12" ht="15">
      <c r="C130" s="277"/>
      <c r="D130" s="277"/>
      <c r="E130" s="277"/>
      <c r="F130" s="277"/>
      <c r="G130" s="277"/>
      <c r="H130" s="277"/>
      <c r="I130" s="277"/>
      <c r="J130" s="277"/>
      <c r="K130" s="277"/>
      <c r="L130" s="277"/>
    </row>
    <row r="131" spans="3:12" ht="15">
      <c r="C131" s="277"/>
      <c r="D131" s="277"/>
      <c r="E131" s="277"/>
      <c r="F131" s="277"/>
      <c r="G131" s="277"/>
      <c r="H131" s="277"/>
      <c r="I131" s="277"/>
      <c r="J131" s="277"/>
      <c r="K131" s="277"/>
      <c r="L131" s="277"/>
    </row>
    <row r="132" spans="3:12" ht="15">
      <c r="C132" s="277"/>
      <c r="D132" s="277"/>
      <c r="E132" s="277"/>
      <c r="F132" s="277"/>
      <c r="G132" s="277"/>
      <c r="H132" s="277"/>
      <c r="I132" s="277"/>
      <c r="J132" s="277"/>
      <c r="K132" s="277"/>
      <c r="L132" s="277"/>
    </row>
    <row r="133" spans="3:12" ht="15">
      <c r="C133" s="277"/>
      <c r="D133" s="277"/>
      <c r="E133" s="277"/>
      <c r="F133" s="277"/>
      <c r="G133" s="277"/>
      <c r="H133" s="277"/>
      <c r="I133" s="277"/>
      <c r="J133" s="277"/>
      <c r="K133" s="277"/>
      <c r="L133" s="277"/>
    </row>
    <row r="134" spans="3:12" ht="15">
      <c r="C134" s="277"/>
      <c r="D134" s="277"/>
      <c r="E134" s="277"/>
      <c r="F134" s="277"/>
      <c r="G134" s="277"/>
      <c r="H134" s="277"/>
      <c r="I134" s="277"/>
      <c r="J134" s="277"/>
      <c r="K134" s="277"/>
      <c r="L134" s="277"/>
    </row>
    <row r="135" spans="3:12" ht="15">
      <c r="C135" s="277"/>
      <c r="D135" s="277"/>
      <c r="E135" s="277"/>
      <c r="F135" s="277"/>
      <c r="G135" s="277"/>
      <c r="H135" s="277"/>
      <c r="I135" s="277"/>
      <c r="J135" s="277"/>
      <c r="K135" s="277"/>
      <c r="L135" s="277"/>
    </row>
    <row r="136" spans="3:12" ht="15">
      <c r="C136" s="277"/>
      <c r="D136" s="277"/>
      <c r="E136" s="277"/>
      <c r="F136" s="277"/>
      <c r="G136" s="277"/>
      <c r="H136" s="277"/>
      <c r="I136" s="277"/>
      <c r="J136" s="277"/>
      <c r="K136" s="277"/>
      <c r="L136" s="277"/>
    </row>
    <row r="137" spans="3:12" ht="15">
      <c r="C137" s="277"/>
      <c r="D137" s="277"/>
      <c r="E137" s="277"/>
      <c r="F137" s="277"/>
      <c r="G137" s="277"/>
      <c r="H137" s="277"/>
      <c r="I137" s="277"/>
      <c r="J137" s="277"/>
      <c r="K137" s="277"/>
      <c r="L137" s="277"/>
    </row>
    <row r="138" spans="3:12" ht="15">
      <c r="C138" s="277"/>
      <c r="D138" s="277"/>
      <c r="E138" s="277"/>
      <c r="F138" s="277"/>
      <c r="G138" s="277"/>
      <c r="H138" s="277"/>
      <c r="I138" s="277"/>
      <c r="J138" s="277"/>
      <c r="K138" s="277"/>
      <c r="L138" s="277"/>
    </row>
    <row r="139" spans="3:12" ht="15">
      <c r="C139" s="277"/>
      <c r="D139" s="277"/>
      <c r="E139" s="277"/>
      <c r="F139" s="277"/>
      <c r="G139" s="277"/>
      <c r="H139" s="277"/>
      <c r="I139" s="277"/>
      <c r="J139" s="277"/>
      <c r="K139" s="277"/>
      <c r="L139" s="277"/>
    </row>
    <row r="140" spans="3:12" ht="15">
      <c r="C140" s="277"/>
      <c r="D140" s="277"/>
      <c r="E140" s="277"/>
      <c r="F140" s="277"/>
      <c r="G140" s="277"/>
      <c r="H140" s="277"/>
      <c r="I140" s="277"/>
      <c r="J140" s="277"/>
      <c r="K140" s="277"/>
      <c r="L140" s="277"/>
    </row>
    <row r="141" spans="3:12" ht="15">
      <c r="C141" s="277"/>
      <c r="D141" s="277"/>
      <c r="E141" s="277"/>
      <c r="F141" s="277"/>
      <c r="G141" s="277"/>
      <c r="H141" s="277"/>
      <c r="I141" s="277"/>
      <c r="J141" s="277"/>
      <c r="K141" s="277"/>
      <c r="L141" s="277"/>
    </row>
    <row r="142" spans="3:12" ht="15">
      <c r="C142" s="277"/>
      <c r="D142" s="277"/>
      <c r="E142" s="277"/>
      <c r="F142" s="277"/>
      <c r="G142" s="277"/>
      <c r="H142" s="277"/>
      <c r="I142" s="277"/>
      <c r="J142" s="277"/>
      <c r="K142" s="277"/>
      <c r="L142" s="277"/>
    </row>
    <row r="143" spans="3:12" ht="15">
      <c r="C143" s="277"/>
      <c r="D143" s="277"/>
      <c r="E143" s="277"/>
      <c r="F143" s="277"/>
      <c r="G143" s="277"/>
      <c r="H143" s="277"/>
      <c r="I143" s="277"/>
      <c r="J143" s="277"/>
      <c r="K143" s="277"/>
      <c r="L143" s="277"/>
    </row>
    <row r="144" spans="3:12" ht="15">
      <c r="C144" s="277"/>
      <c r="D144" s="277"/>
      <c r="E144" s="277"/>
      <c r="F144" s="277"/>
      <c r="G144" s="277"/>
      <c r="H144" s="277"/>
      <c r="I144" s="277"/>
      <c r="J144" s="277"/>
      <c r="K144" s="277"/>
      <c r="L144" s="277"/>
    </row>
    <row r="145" spans="3:12" ht="15">
      <c r="C145" s="277"/>
      <c r="D145" s="277"/>
      <c r="E145" s="277"/>
      <c r="F145" s="277"/>
      <c r="G145" s="277"/>
      <c r="H145" s="277"/>
      <c r="I145" s="277"/>
      <c r="J145" s="277"/>
      <c r="K145" s="277"/>
      <c r="L145" s="277"/>
    </row>
    <row r="146" spans="3:12" ht="15">
      <c r="C146" s="277"/>
      <c r="D146" s="277"/>
      <c r="E146" s="277"/>
      <c r="F146" s="277"/>
      <c r="G146" s="277"/>
      <c r="H146" s="277"/>
      <c r="I146" s="277"/>
      <c r="J146" s="277"/>
      <c r="K146" s="277"/>
      <c r="L146" s="277"/>
    </row>
    <row r="147" spans="3:12" ht="15">
      <c r="C147" s="277"/>
      <c r="D147" s="277"/>
      <c r="E147" s="277"/>
      <c r="F147" s="277"/>
      <c r="G147" s="277"/>
      <c r="H147" s="277"/>
      <c r="I147" s="277"/>
      <c r="J147" s="277"/>
      <c r="K147" s="277"/>
      <c r="L147" s="277"/>
    </row>
    <row r="148" spans="3:12" ht="15">
      <c r="C148" s="277"/>
      <c r="D148" s="277"/>
      <c r="E148" s="277"/>
      <c r="F148" s="277"/>
      <c r="G148" s="277"/>
      <c r="H148" s="277"/>
      <c r="I148" s="277"/>
      <c r="J148" s="277"/>
      <c r="K148" s="277"/>
      <c r="L148" s="277"/>
    </row>
    <row r="149" spans="3:12" ht="15">
      <c r="C149" s="277"/>
      <c r="D149" s="277"/>
      <c r="E149" s="277"/>
      <c r="F149" s="277"/>
      <c r="G149" s="277"/>
      <c r="H149" s="277"/>
      <c r="I149" s="277"/>
      <c r="J149" s="277"/>
      <c r="K149" s="277"/>
      <c r="L149" s="277"/>
    </row>
    <row r="150" spans="3:12" ht="15">
      <c r="C150" s="277"/>
      <c r="D150" s="277"/>
      <c r="E150" s="277"/>
      <c r="F150" s="277"/>
      <c r="G150" s="277"/>
      <c r="H150" s="277"/>
      <c r="I150" s="277"/>
      <c r="J150" s="277"/>
      <c r="K150" s="277"/>
      <c r="L150" s="277"/>
    </row>
    <row r="151" spans="3:12" ht="15">
      <c r="C151" s="277"/>
      <c r="D151" s="277"/>
      <c r="E151" s="277"/>
      <c r="F151" s="277"/>
      <c r="G151" s="277"/>
      <c r="H151" s="277"/>
      <c r="I151" s="277"/>
      <c r="J151" s="277"/>
      <c r="K151" s="277"/>
      <c r="L151" s="277"/>
    </row>
    <row r="152" spans="3:12" ht="15">
      <c r="C152" s="277"/>
      <c r="D152" s="277"/>
      <c r="E152" s="277"/>
      <c r="F152" s="277"/>
      <c r="G152" s="277"/>
      <c r="H152" s="277"/>
      <c r="I152" s="277"/>
      <c r="J152" s="277"/>
      <c r="K152" s="277"/>
      <c r="L152" s="277"/>
    </row>
    <row r="153" spans="3:12" ht="15">
      <c r="C153" s="277"/>
      <c r="D153" s="277"/>
      <c r="E153" s="277"/>
      <c r="F153" s="277"/>
      <c r="G153" s="277"/>
      <c r="H153" s="277"/>
      <c r="I153" s="277"/>
      <c r="J153" s="277"/>
      <c r="K153" s="277"/>
      <c r="L153" s="277"/>
    </row>
    <row r="154" spans="3:12" ht="15">
      <c r="C154" s="277"/>
      <c r="D154" s="277"/>
      <c r="E154" s="277"/>
      <c r="F154" s="277"/>
      <c r="G154" s="277"/>
      <c r="H154" s="277"/>
      <c r="I154" s="277"/>
      <c r="J154" s="277"/>
      <c r="K154" s="277"/>
      <c r="L154" s="277"/>
    </row>
    <row r="155" spans="3:12" ht="15">
      <c r="C155" s="277"/>
      <c r="D155" s="277"/>
      <c r="E155" s="277"/>
      <c r="F155" s="277"/>
      <c r="G155" s="277"/>
      <c r="H155" s="277"/>
      <c r="I155" s="277"/>
      <c r="J155" s="277"/>
      <c r="K155" s="277"/>
      <c r="L155" s="277"/>
    </row>
    <row r="156" spans="3:12" ht="15">
      <c r="C156" s="277"/>
      <c r="D156" s="277"/>
      <c r="E156" s="277"/>
      <c r="F156" s="277"/>
      <c r="G156" s="277"/>
      <c r="H156" s="277"/>
      <c r="I156" s="277"/>
      <c r="J156" s="277"/>
      <c r="K156" s="277"/>
      <c r="L156" s="277"/>
    </row>
    <row r="157" spans="3:12" ht="15">
      <c r="C157" s="277"/>
      <c r="D157" s="277"/>
      <c r="E157" s="277"/>
      <c r="F157" s="277"/>
      <c r="G157" s="277"/>
      <c r="H157" s="277"/>
      <c r="I157" s="277"/>
      <c r="J157" s="277"/>
      <c r="K157" s="277"/>
      <c r="L157" s="277"/>
    </row>
    <row r="158" spans="3:12" ht="15">
      <c r="C158" s="277"/>
      <c r="D158" s="277"/>
      <c r="E158" s="277"/>
      <c r="F158" s="277"/>
      <c r="G158" s="277"/>
      <c r="H158" s="277"/>
      <c r="I158" s="277"/>
      <c r="J158" s="277"/>
      <c r="K158" s="277"/>
      <c r="L158" s="277"/>
    </row>
    <row r="159" spans="3:12" ht="15">
      <c r="C159" s="277"/>
      <c r="D159" s="277"/>
      <c r="E159" s="277"/>
      <c r="F159" s="277"/>
      <c r="G159" s="277"/>
      <c r="H159" s="277"/>
      <c r="I159" s="277"/>
      <c r="J159" s="277"/>
      <c r="K159" s="277"/>
      <c r="L159" s="277"/>
    </row>
    <row r="160" spans="3:12" ht="15">
      <c r="C160" s="277"/>
      <c r="D160" s="277"/>
      <c r="E160" s="277"/>
      <c r="F160" s="277"/>
      <c r="G160" s="277"/>
      <c r="H160" s="277"/>
      <c r="I160" s="277"/>
      <c r="J160" s="277"/>
      <c r="K160" s="277"/>
      <c r="L160" s="277"/>
    </row>
    <row r="161" spans="3:12" ht="15">
      <c r="C161" s="277"/>
      <c r="D161" s="277"/>
      <c r="E161" s="277"/>
      <c r="F161" s="277"/>
      <c r="G161" s="277"/>
      <c r="H161" s="277"/>
      <c r="I161" s="277"/>
      <c r="J161" s="277"/>
      <c r="K161" s="277"/>
      <c r="L161" s="277"/>
    </row>
    <row r="162" spans="3:12" ht="15">
      <c r="C162" s="277"/>
      <c r="D162" s="277"/>
      <c r="E162" s="277"/>
      <c r="F162" s="277"/>
      <c r="G162" s="277"/>
      <c r="H162" s="277"/>
      <c r="I162" s="277"/>
      <c r="J162" s="277"/>
      <c r="K162" s="277"/>
      <c r="L162" s="277"/>
    </row>
    <row r="163" spans="3:12" ht="15">
      <c r="C163" s="277"/>
      <c r="D163" s="277"/>
      <c r="E163" s="277"/>
      <c r="F163" s="277"/>
      <c r="G163" s="277"/>
      <c r="H163" s="277"/>
      <c r="I163" s="277"/>
      <c r="J163" s="277"/>
      <c r="K163" s="277"/>
      <c r="L163" s="277"/>
    </row>
    <row r="164" spans="3:12" ht="15">
      <c r="C164" s="277"/>
      <c r="D164" s="277"/>
      <c r="E164" s="277"/>
      <c r="F164" s="277"/>
      <c r="G164" s="277"/>
      <c r="H164" s="277"/>
      <c r="I164" s="277"/>
      <c r="J164" s="277"/>
      <c r="K164" s="277"/>
      <c r="L164" s="277"/>
    </row>
    <row r="165" spans="3:12" ht="15">
      <c r="C165" s="277"/>
      <c r="D165" s="277"/>
      <c r="E165" s="277"/>
      <c r="F165" s="277"/>
      <c r="G165" s="277"/>
      <c r="H165" s="277"/>
      <c r="I165" s="277"/>
      <c r="J165" s="277"/>
      <c r="K165" s="277"/>
      <c r="L165" s="277"/>
    </row>
    <row r="166" spans="3:12" ht="15">
      <c r="C166" s="277"/>
      <c r="D166" s="277"/>
      <c r="E166" s="277"/>
      <c r="F166" s="277"/>
      <c r="G166" s="277"/>
      <c r="H166" s="277"/>
      <c r="I166" s="277"/>
      <c r="J166" s="277"/>
      <c r="K166" s="277"/>
      <c r="L166" s="277"/>
    </row>
    <row r="167" spans="3:12" ht="15">
      <c r="C167" s="277"/>
      <c r="D167" s="277"/>
      <c r="E167" s="277"/>
      <c r="F167" s="277"/>
      <c r="G167" s="277"/>
      <c r="H167" s="277"/>
      <c r="I167" s="277"/>
      <c r="J167" s="277"/>
      <c r="K167" s="277"/>
      <c r="L167" s="277"/>
    </row>
    <row r="168" spans="3:12" ht="15">
      <c r="C168" s="277"/>
      <c r="D168" s="277"/>
      <c r="E168" s="277"/>
      <c r="F168" s="277"/>
      <c r="G168" s="277"/>
      <c r="H168" s="277"/>
      <c r="I168" s="277"/>
      <c r="J168" s="277"/>
      <c r="K168" s="277"/>
      <c r="L168" s="277"/>
    </row>
    <row r="169" spans="3:12" ht="15">
      <c r="C169" s="277"/>
      <c r="D169" s="277"/>
      <c r="E169" s="277"/>
      <c r="F169" s="277"/>
      <c r="G169" s="277"/>
      <c r="H169" s="277"/>
      <c r="I169" s="277"/>
      <c r="J169" s="277"/>
      <c r="K169" s="277"/>
      <c r="L169" s="277"/>
    </row>
    <row r="170" spans="3:12" ht="15">
      <c r="C170" s="277"/>
      <c r="D170" s="277"/>
      <c r="E170" s="277"/>
      <c r="F170" s="277"/>
      <c r="G170" s="277"/>
      <c r="H170" s="277"/>
      <c r="I170" s="277"/>
      <c r="J170" s="277"/>
      <c r="K170" s="277"/>
      <c r="L170" s="277"/>
    </row>
    <row r="171" spans="3:12" ht="15">
      <c r="C171" s="277"/>
      <c r="D171" s="277"/>
      <c r="E171" s="277"/>
      <c r="F171" s="277"/>
      <c r="G171" s="277"/>
      <c r="H171" s="277"/>
      <c r="I171" s="277"/>
      <c r="J171" s="277"/>
      <c r="K171" s="277"/>
      <c r="L171" s="277"/>
    </row>
    <row r="172" spans="3:12" ht="15">
      <c r="C172" s="277"/>
      <c r="D172" s="277"/>
      <c r="E172" s="277"/>
      <c r="F172" s="277"/>
      <c r="G172" s="277"/>
      <c r="H172" s="277"/>
      <c r="I172" s="277"/>
      <c r="J172" s="277"/>
      <c r="K172" s="277"/>
      <c r="L172" s="277"/>
    </row>
    <row r="173" spans="3:12" ht="15">
      <c r="C173" s="277"/>
      <c r="D173" s="277"/>
      <c r="E173" s="277"/>
      <c r="F173" s="277"/>
      <c r="G173" s="277"/>
      <c r="H173" s="277"/>
      <c r="I173" s="277"/>
      <c r="J173" s="277"/>
      <c r="K173" s="277"/>
      <c r="L173" s="277"/>
    </row>
    <row r="174" spans="3:12" ht="15">
      <c r="C174" s="277"/>
      <c r="D174" s="277"/>
      <c r="E174" s="277"/>
      <c r="F174" s="277"/>
      <c r="G174" s="277"/>
      <c r="H174" s="277"/>
      <c r="I174" s="277"/>
      <c r="J174" s="277"/>
      <c r="K174" s="277"/>
      <c r="L174" s="277"/>
    </row>
    <row r="175" spans="3:12" ht="15">
      <c r="C175" s="277"/>
      <c r="D175" s="277"/>
      <c r="E175" s="277"/>
      <c r="F175" s="277"/>
      <c r="G175" s="277"/>
      <c r="H175" s="277"/>
      <c r="I175" s="277"/>
      <c r="J175" s="277"/>
      <c r="K175" s="277"/>
      <c r="L175" s="277"/>
    </row>
    <row r="176" spans="3:12" ht="15">
      <c r="C176" s="277"/>
      <c r="D176" s="277"/>
      <c r="E176" s="277"/>
      <c r="F176" s="277"/>
      <c r="G176" s="277"/>
      <c r="H176" s="277"/>
      <c r="I176" s="277"/>
      <c r="J176" s="277"/>
      <c r="K176" s="277"/>
      <c r="L176" s="277"/>
    </row>
    <row r="177" spans="3:12" ht="15">
      <c r="C177" s="277"/>
      <c r="D177" s="277"/>
      <c r="E177" s="277"/>
      <c r="F177" s="277"/>
      <c r="G177" s="277"/>
      <c r="H177" s="277"/>
      <c r="I177" s="277"/>
      <c r="J177" s="277"/>
      <c r="K177" s="277"/>
      <c r="L177" s="277"/>
    </row>
    <row r="178" spans="3:12" ht="15">
      <c r="C178" s="277"/>
      <c r="D178" s="277"/>
      <c r="E178" s="277"/>
      <c r="F178" s="277"/>
      <c r="G178" s="277"/>
      <c r="H178" s="277"/>
      <c r="I178" s="277"/>
      <c r="J178" s="277"/>
      <c r="K178" s="277"/>
      <c r="L178" s="277"/>
    </row>
    <row r="179" spans="3:12" ht="15">
      <c r="C179" s="277"/>
      <c r="D179" s="277"/>
      <c r="E179" s="277"/>
      <c r="F179" s="277"/>
      <c r="G179" s="277"/>
      <c r="H179" s="277"/>
      <c r="I179" s="277"/>
      <c r="J179" s="277"/>
      <c r="K179" s="277"/>
      <c r="L179" s="277"/>
    </row>
    <row r="180" spans="3:12" ht="15">
      <c r="C180" s="277"/>
      <c r="D180" s="277"/>
      <c r="E180" s="277"/>
      <c r="F180" s="277"/>
      <c r="G180" s="277"/>
      <c r="H180" s="277"/>
      <c r="I180" s="277"/>
      <c r="J180" s="277"/>
      <c r="K180" s="277"/>
      <c r="L180" s="277"/>
    </row>
    <row r="181" spans="3:12" ht="15">
      <c r="C181" s="277"/>
      <c r="D181" s="277"/>
      <c r="E181" s="277"/>
      <c r="F181" s="277"/>
      <c r="G181" s="277"/>
      <c r="H181" s="277"/>
      <c r="I181" s="277"/>
      <c r="J181" s="277"/>
      <c r="K181" s="277"/>
      <c r="L181" s="277"/>
    </row>
    <row r="182" spans="3:12" ht="15">
      <c r="C182" s="277"/>
      <c r="D182" s="277"/>
      <c r="E182" s="277"/>
      <c r="F182" s="277"/>
      <c r="G182" s="277"/>
      <c r="H182" s="277"/>
      <c r="I182" s="277"/>
      <c r="J182" s="277"/>
      <c r="K182" s="277"/>
      <c r="L182" s="277"/>
    </row>
    <row r="183" spans="3:12" ht="15">
      <c r="C183" s="277"/>
      <c r="D183" s="277"/>
      <c r="E183" s="277"/>
      <c r="F183" s="277"/>
      <c r="G183" s="277"/>
      <c r="H183" s="277"/>
      <c r="I183" s="277"/>
      <c r="J183" s="277"/>
      <c r="K183" s="277"/>
      <c r="L183" s="277"/>
    </row>
    <row r="184" spans="3:12" ht="15">
      <c r="C184" s="277"/>
      <c r="D184" s="277"/>
      <c r="E184" s="277"/>
      <c r="F184" s="277"/>
      <c r="G184" s="277"/>
      <c r="H184" s="277"/>
      <c r="I184" s="277"/>
      <c r="J184" s="277"/>
      <c r="K184" s="277"/>
      <c r="L184" s="277"/>
    </row>
    <row r="185" spans="3:12" ht="15">
      <c r="C185" s="277"/>
      <c r="D185" s="277"/>
      <c r="E185" s="277"/>
      <c r="F185" s="277"/>
      <c r="G185" s="277"/>
      <c r="H185" s="277"/>
      <c r="I185" s="277"/>
      <c r="J185" s="277"/>
      <c r="K185" s="277"/>
      <c r="L185" s="277"/>
    </row>
    <row r="186" spans="3:12" ht="15">
      <c r="C186" s="277"/>
      <c r="D186" s="277"/>
      <c r="E186" s="277"/>
      <c r="F186" s="277"/>
      <c r="G186" s="277"/>
      <c r="H186" s="277"/>
      <c r="I186" s="277"/>
      <c r="J186" s="277"/>
      <c r="K186" s="277"/>
      <c r="L186" s="277"/>
    </row>
    <row r="187" spans="3:12" ht="15">
      <c r="C187" s="277"/>
      <c r="D187" s="277"/>
      <c r="E187" s="277"/>
      <c r="F187" s="277"/>
      <c r="G187" s="277"/>
      <c r="H187" s="277"/>
      <c r="I187" s="277"/>
      <c r="J187" s="277"/>
      <c r="K187" s="277"/>
      <c r="L187" s="277"/>
    </row>
    <row r="188" spans="3:12" ht="15">
      <c r="C188" s="277"/>
      <c r="D188" s="277"/>
      <c r="E188" s="277"/>
      <c r="F188" s="277"/>
      <c r="G188" s="277"/>
      <c r="H188" s="277"/>
      <c r="I188" s="277"/>
      <c r="J188" s="277"/>
      <c r="K188" s="277"/>
      <c r="L188" s="277"/>
    </row>
    <row r="189" spans="3:12" ht="15">
      <c r="C189" s="277"/>
      <c r="D189" s="277"/>
      <c r="E189" s="277"/>
      <c r="F189" s="277"/>
      <c r="G189" s="277"/>
      <c r="H189" s="277"/>
      <c r="I189" s="277"/>
      <c r="J189" s="277"/>
      <c r="K189" s="277"/>
      <c r="L189" s="277"/>
    </row>
    <row r="190" spans="3:12" ht="15">
      <c r="C190" s="277"/>
      <c r="D190" s="277"/>
      <c r="E190" s="277"/>
      <c r="F190" s="277"/>
      <c r="G190" s="277"/>
      <c r="H190" s="277"/>
      <c r="I190" s="277"/>
      <c r="J190" s="277"/>
      <c r="K190" s="277"/>
      <c r="L190" s="277"/>
    </row>
    <row r="191" spans="3:12" ht="15">
      <c r="C191" s="277"/>
      <c r="D191" s="277"/>
      <c r="E191" s="277"/>
      <c r="F191" s="277"/>
      <c r="G191" s="277"/>
      <c r="H191" s="277"/>
      <c r="I191" s="277"/>
      <c r="J191" s="277"/>
      <c r="K191" s="277"/>
      <c r="L191" s="277"/>
    </row>
    <row r="192" spans="3:12" ht="15">
      <c r="C192" s="277"/>
      <c r="D192" s="277"/>
      <c r="E192" s="277"/>
      <c r="F192" s="277"/>
      <c r="G192" s="277"/>
      <c r="H192" s="277"/>
      <c r="I192" s="277"/>
      <c r="J192" s="277"/>
      <c r="K192" s="277"/>
      <c r="L192" s="277"/>
    </row>
    <row r="193" spans="3:12" ht="15">
      <c r="C193" s="277"/>
      <c r="D193" s="277"/>
      <c r="E193" s="277"/>
      <c r="F193" s="277"/>
      <c r="G193" s="277"/>
      <c r="H193" s="277"/>
      <c r="I193" s="277"/>
      <c r="J193" s="277"/>
      <c r="K193" s="277"/>
      <c r="L193" s="277"/>
    </row>
    <row r="194" spans="3:12" ht="15">
      <c r="C194" s="277"/>
      <c r="D194" s="277"/>
      <c r="E194" s="277"/>
      <c r="F194" s="277"/>
      <c r="G194" s="277"/>
      <c r="H194" s="277"/>
      <c r="I194" s="277"/>
      <c r="J194" s="277"/>
      <c r="K194" s="277"/>
      <c r="L194" s="277"/>
    </row>
    <row r="195" spans="3:12" ht="15">
      <c r="C195" s="277"/>
      <c r="D195" s="277"/>
      <c r="E195" s="277"/>
      <c r="F195" s="277"/>
      <c r="G195" s="277"/>
      <c r="H195" s="277"/>
      <c r="I195" s="277"/>
      <c r="J195" s="277"/>
      <c r="K195" s="277"/>
      <c r="L195" s="277"/>
    </row>
    <row r="196" spans="3:12" ht="15">
      <c r="C196" s="277"/>
      <c r="D196" s="277"/>
      <c r="E196" s="277"/>
      <c r="F196" s="277"/>
      <c r="G196" s="277"/>
      <c r="H196" s="277"/>
      <c r="I196" s="277"/>
      <c r="J196" s="277"/>
      <c r="K196" s="277"/>
      <c r="L196" s="277"/>
    </row>
    <row r="197" spans="3:12" ht="15">
      <c r="C197" s="277"/>
      <c r="D197" s="277"/>
      <c r="E197" s="277"/>
      <c r="F197" s="277"/>
      <c r="G197" s="277"/>
      <c r="H197" s="277"/>
      <c r="I197" s="277"/>
      <c r="J197" s="277"/>
      <c r="K197" s="277"/>
      <c r="L197" s="277"/>
    </row>
    <row r="198" spans="3:12" ht="15">
      <c r="C198" s="277"/>
      <c r="D198" s="277"/>
      <c r="E198" s="277"/>
      <c r="F198" s="277"/>
      <c r="G198" s="277"/>
      <c r="H198" s="277"/>
      <c r="I198" s="277"/>
      <c r="J198" s="277"/>
      <c r="K198" s="277"/>
      <c r="L198" s="277"/>
    </row>
    <row r="199" spans="3:12" ht="15">
      <c r="C199" s="277"/>
      <c r="D199" s="277"/>
      <c r="E199" s="277"/>
      <c r="F199" s="277"/>
      <c r="G199" s="277"/>
      <c r="H199" s="277"/>
      <c r="I199" s="277"/>
      <c r="J199" s="277"/>
      <c r="K199" s="277"/>
      <c r="L199" s="277"/>
    </row>
    <row r="200" spans="3:12" ht="15">
      <c r="C200" s="277"/>
      <c r="D200" s="277"/>
      <c r="E200" s="277"/>
      <c r="F200" s="277"/>
      <c r="G200" s="277"/>
      <c r="H200" s="277"/>
      <c r="I200" s="277"/>
      <c r="J200" s="277"/>
      <c r="K200" s="277"/>
      <c r="L200" s="277"/>
    </row>
    <row r="201" spans="3:12" ht="15">
      <c r="C201" s="277"/>
      <c r="D201" s="277"/>
      <c r="E201" s="277"/>
      <c r="F201" s="277"/>
      <c r="G201" s="277"/>
      <c r="H201" s="277"/>
      <c r="I201" s="277"/>
      <c r="J201" s="277"/>
      <c r="K201" s="277"/>
      <c r="L201" s="277"/>
    </row>
    <row r="202" spans="3:12" ht="15">
      <c r="C202" s="277"/>
      <c r="D202" s="277"/>
      <c r="E202" s="277"/>
      <c r="F202" s="277"/>
      <c r="G202" s="277"/>
      <c r="H202" s="277"/>
      <c r="I202" s="277"/>
      <c r="J202" s="277"/>
      <c r="K202" s="277"/>
      <c r="L202" s="277"/>
    </row>
    <row r="203" spans="3:12" ht="15">
      <c r="C203" s="277"/>
      <c r="D203" s="277"/>
      <c r="E203" s="277"/>
      <c r="F203" s="277"/>
      <c r="G203" s="277"/>
      <c r="H203" s="277"/>
      <c r="I203" s="277"/>
      <c r="J203" s="277"/>
      <c r="K203" s="277"/>
      <c r="L203" s="277"/>
    </row>
    <row r="204" spans="3:12" ht="15">
      <c r="C204" s="277"/>
      <c r="D204" s="277"/>
      <c r="E204" s="277"/>
      <c r="F204" s="277"/>
      <c r="G204" s="277"/>
      <c r="H204" s="277"/>
      <c r="I204" s="277"/>
      <c r="J204" s="277"/>
      <c r="K204" s="277"/>
      <c r="L204" s="277"/>
    </row>
    <row r="205" spans="3:12" ht="15">
      <c r="C205" s="277"/>
      <c r="D205" s="277"/>
      <c r="E205" s="277"/>
      <c r="F205" s="277"/>
      <c r="G205" s="277"/>
      <c r="H205" s="277"/>
      <c r="I205" s="277"/>
      <c r="J205" s="277"/>
      <c r="K205" s="277"/>
      <c r="L205" s="277"/>
    </row>
    <row r="206" spans="3:12" ht="15">
      <c r="C206" s="277"/>
      <c r="D206" s="277"/>
      <c r="E206" s="277"/>
      <c r="F206" s="277"/>
      <c r="G206" s="277"/>
      <c r="H206" s="277"/>
      <c r="I206" s="277"/>
      <c r="J206" s="277"/>
      <c r="K206" s="277"/>
      <c r="L206" s="277"/>
    </row>
    <row r="207" spans="3:12" ht="15">
      <c r="C207" s="277"/>
      <c r="D207" s="277"/>
      <c r="E207" s="277"/>
      <c r="F207" s="277"/>
      <c r="G207" s="277"/>
      <c r="H207" s="277"/>
      <c r="I207" s="277"/>
      <c r="J207" s="277"/>
      <c r="K207" s="277"/>
      <c r="L207" s="277"/>
    </row>
    <row r="208" spans="3:12" ht="15">
      <c r="C208" s="277"/>
      <c r="D208" s="277"/>
      <c r="E208" s="277"/>
      <c r="F208" s="277"/>
      <c r="G208" s="277"/>
      <c r="H208" s="277"/>
      <c r="I208" s="277"/>
      <c r="J208" s="277"/>
      <c r="K208" s="277"/>
      <c r="L208" s="277"/>
    </row>
    <row r="209" spans="3:12" ht="15">
      <c r="C209" s="277"/>
      <c r="D209" s="277"/>
      <c r="E209" s="277"/>
      <c r="F209" s="277"/>
      <c r="G209" s="277"/>
      <c r="H209" s="277"/>
      <c r="I209" s="277"/>
      <c r="J209" s="277"/>
      <c r="K209" s="277"/>
      <c r="L209" s="277"/>
    </row>
    <row r="210" spans="3:12" ht="15">
      <c r="C210" s="277"/>
      <c r="D210" s="277"/>
      <c r="E210" s="277"/>
      <c r="F210" s="277"/>
      <c r="G210" s="277"/>
      <c r="H210" s="277"/>
      <c r="I210" s="277"/>
      <c r="J210" s="277"/>
      <c r="K210" s="277"/>
      <c r="L210" s="277"/>
    </row>
    <row r="211" spans="3:12" ht="15">
      <c r="C211" s="277"/>
      <c r="D211" s="277"/>
      <c r="E211" s="277"/>
      <c r="F211" s="277"/>
      <c r="G211" s="277"/>
      <c r="H211" s="277"/>
      <c r="I211" s="277"/>
      <c r="J211" s="277"/>
      <c r="K211" s="277"/>
      <c r="L211" s="277"/>
    </row>
    <row r="212" spans="3:12" ht="15">
      <c r="C212" s="277"/>
      <c r="D212" s="277"/>
      <c r="E212" s="277"/>
      <c r="F212" s="277"/>
      <c r="G212" s="277"/>
      <c r="H212" s="277"/>
      <c r="I212" s="277"/>
      <c r="J212" s="277"/>
      <c r="K212" s="277"/>
      <c r="L212" s="277"/>
    </row>
    <row r="213" spans="3:12" ht="15">
      <c r="C213" s="277"/>
      <c r="D213" s="277"/>
      <c r="E213" s="277"/>
      <c r="F213" s="277"/>
      <c r="G213" s="277"/>
      <c r="H213" s="277"/>
      <c r="I213" s="277"/>
      <c r="J213" s="277"/>
      <c r="K213" s="277"/>
      <c r="L213" s="277"/>
    </row>
    <row r="214" spans="3:12" ht="15">
      <c r="C214" s="277"/>
      <c r="D214" s="277"/>
      <c r="E214" s="277"/>
      <c r="F214" s="277"/>
      <c r="G214" s="277"/>
      <c r="H214" s="277"/>
      <c r="I214" s="277"/>
      <c r="J214" s="277"/>
      <c r="K214" s="277"/>
      <c r="L214" s="277"/>
    </row>
    <row r="215" spans="3:12" ht="15">
      <c r="C215" s="277"/>
      <c r="D215" s="277"/>
      <c r="E215" s="277"/>
      <c r="F215" s="277"/>
      <c r="G215" s="277"/>
      <c r="H215" s="277"/>
      <c r="I215" s="277"/>
      <c r="J215" s="277"/>
      <c r="K215" s="277"/>
      <c r="L215" s="277"/>
    </row>
    <row r="216" spans="3:12" ht="15">
      <c r="C216" s="277"/>
      <c r="D216" s="277"/>
      <c r="E216" s="277"/>
      <c r="F216" s="277"/>
      <c r="G216" s="277"/>
      <c r="H216" s="277"/>
      <c r="I216" s="277"/>
      <c r="J216" s="277"/>
      <c r="K216" s="277"/>
      <c r="L216" s="277"/>
    </row>
    <row r="217" spans="3:12" ht="15">
      <c r="C217" s="277"/>
      <c r="D217" s="277"/>
      <c r="E217" s="277"/>
      <c r="F217" s="277"/>
      <c r="G217" s="277"/>
      <c r="H217" s="277"/>
      <c r="I217" s="277"/>
      <c r="J217" s="277"/>
      <c r="K217" s="277"/>
      <c r="L217" s="277"/>
    </row>
    <row r="218" spans="3:12" ht="15">
      <c r="C218" s="277"/>
      <c r="D218" s="277"/>
      <c r="E218" s="277"/>
      <c r="F218" s="277"/>
      <c r="G218" s="277"/>
      <c r="H218" s="277"/>
      <c r="I218" s="277"/>
      <c r="J218" s="277"/>
      <c r="K218" s="277"/>
      <c r="L218" s="277"/>
    </row>
    <row r="219" spans="3:12" ht="15">
      <c r="C219" s="277"/>
      <c r="D219" s="277"/>
      <c r="E219" s="277"/>
      <c r="F219" s="277"/>
      <c r="G219" s="277"/>
      <c r="H219" s="277"/>
      <c r="I219" s="277"/>
      <c r="J219" s="277"/>
      <c r="K219" s="277"/>
      <c r="L219" s="277"/>
    </row>
    <row r="220" spans="3:12" ht="15">
      <c r="C220" s="277"/>
      <c r="D220" s="277"/>
      <c r="E220" s="277"/>
      <c r="F220" s="277"/>
      <c r="G220" s="277"/>
      <c r="H220" s="277"/>
      <c r="I220" s="277"/>
      <c r="J220" s="277"/>
      <c r="K220" s="277"/>
      <c r="L220" s="277"/>
    </row>
    <row r="221" spans="3:12" ht="15">
      <c r="C221" s="277"/>
      <c r="D221" s="277"/>
      <c r="E221" s="277"/>
      <c r="F221" s="277"/>
      <c r="G221" s="277"/>
      <c r="H221" s="277"/>
      <c r="I221" s="277"/>
      <c r="J221" s="277"/>
      <c r="K221" s="277"/>
      <c r="L221" s="277"/>
    </row>
    <row r="222" spans="3:12" ht="15">
      <c r="C222" s="277"/>
      <c r="D222" s="277"/>
      <c r="E222" s="277"/>
      <c r="F222" s="277"/>
      <c r="G222" s="277"/>
      <c r="H222" s="277"/>
      <c r="I222" s="277"/>
      <c r="J222" s="277"/>
      <c r="K222" s="277"/>
      <c r="L222" s="277"/>
    </row>
    <row r="223" spans="3:12" ht="15">
      <c r="C223" s="277"/>
      <c r="D223" s="277"/>
      <c r="E223" s="277"/>
      <c r="F223" s="277"/>
      <c r="G223" s="277"/>
      <c r="H223" s="277"/>
      <c r="I223" s="277"/>
      <c r="J223" s="277"/>
      <c r="K223" s="277"/>
      <c r="L223" s="277"/>
    </row>
    <row r="224" spans="3:12" ht="15">
      <c r="C224" s="277"/>
      <c r="D224" s="277"/>
      <c r="E224" s="277"/>
      <c r="F224" s="277"/>
      <c r="G224" s="277"/>
      <c r="H224" s="277"/>
      <c r="I224" s="277"/>
      <c r="J224" s="277"/>
      <c r="K224" s="277"/>
      <c r="L224" s="277"/>
    </row>
    <row r="225" spans="3:12" ht="15">
      <c r="C225" s="277"/>
      <c r="D225" s="277"/>
      <c r="E225" s="277"/>
      <c r="F225" s="277"/>
      <c r="G225" s="277"/>
      <c r="H225" s="277"/>
      <c r="I225" s="277"/>
      <c r="J225" s="277"/>
      <c r="K225" s="277"/>
      <c r="L225" s="277"/>
    </row>
    <row r="226" spans="3:12" ht="15">
      <c r="C226" s="277"/>
      <c r="D226" s="277"/>
      <c r="E226" s="277"/>
      <c r="F226" s="277"/>
      <c r="G226" s="277"/>
      <c r="H226" s="277"/>
      <c r="I226" s="277"/>
      <c r="J226" s="277"/>
      <c r="K226" s="277"/>
      <c r="L226" s="277"/>
    </row>
    <row r="227" spans="3:12" ht="15">
      <c r="C227" s="277"/>
      <c r="D227" s="277"/>
      <c r="E227" s="277"/>
      <c r="F227" s="277"/>
      <c r="G227" s="277"/>
      <c r="H227" s="277"/>
      <c r="I227" s="277"/>
      <c r="J227" s="277"/>
      <c r="K227" s="277"/>
      <c r="L227" s="277"/>
    </row>
    <row r="228" spans="3:12" ht="15">
      <c r="C228" s="277"/>
      <c r="D228" s="277"/>
      <c r="E228" s="277"/>
      <c r="F228" s="277"/>
      <c r="G228" s="277"/>
      <c r="H228" s="277"/>
      <c r="I228" s="277"/>
      <c r="J228" s="277"/>
      <c r="K228" s="277"/>
      <c r="L228" s="277"/>
    </row>
    <row r="229" spans="3:12" ht="15">
      <c r="C229" s="277"/>
      <c r="D229" s="277"/>
      <c r="E229" s="277"/>
      <c r="F229" s="277"/>
      <c r="G229" s="277"/>
      <c r="H229" s="277"/>
      <c r="I229" s="277"/>
      <c r="J229" s="277"/>
      <c r="K229" s="277"/>
      <c r="L229" s="277"/>
    </row>
    <row r="230" spans="3:12" ht="15">
      <c r="C230" s="277"/>
      <c r="D230" s="277"/>
      <c r="E230" s="277"/>
      <c r="F230" s="277"/>
      <c r="G230" s="277"/>
      <c r="H230" s="277"/>
      <c r="I230" s="277"/>
      <c r="J230" s="277"/>
      <c r="K230" s="277"/>
      <c r="L230" s="277"/>
    </row>
    <row r="231" spans="3:12" ht="15">
      <c r="C231" s="277"/>
      <c r="D231" s="277"/>
      <c r="E231" s="277"/>
      <c r="F231" s="277"/>
      <c r="G231" s="277"/>
      <c r="H231" s="277"/>
      <c r="I231" s="277"/>
      <c r="J231" s="277"/>
      <c r="K231" s="277"/>
      <c r="L231" s="277"/>
    </row>
    <row r="232" spans="3:12" ht="15">
      <c r="C232" s="277"/>
      <c r="D232" s="277"/>
      <c r="E232" s="277"/>
      <c r="F232" s="277"/>
      <c r="G232" s="277"/>
      <c r="H232" s="277"/>
      <c r="I232" s="277"/>
      <c r="J232" s="277"/>
      <c r="K232" s="277"/>
      <c r="L232" s="277"/>
    </row>
    <row r="233" spans="3:12" ht="15">
      <c r="C233" s="277"/>
      <c r="D233" s="277"/>
      <c r="E233" s="277"/>
      <c r="F233" s="277"/>
      <c r="G233" s="277"/>
      <c r="H233" s="277"/>
      <c r="I233" s="277"/>
      <c r="J233" s="277"/>
      <c r="K233" s="277"/>
      <c r="L233" s="277"/>
    </row>
    <row r="234" spans="3:12" ht="15">
      <c r="C234" s="277"/>
      <c r="D234" s="277"/>
      <c r="E234" s="277"/>
      <c r="F234" s="277"/>
      <c r="G234" s="277"/>
      <c r="H234" s="277"/>
      <c r="I234" s="277"/>
      <c r="J234" s="277"/>
      <c r="K234" s="277"/>
      <c r="L234" s="277"/>
    </row>
    <row r="235" spans="3:12" ht="15">
      <c r="C235" s="277"/>
      <c r="D235" s="277"/>
      <c r="E235" s="277"/>
      <c r="F235" s="277"/>
      <c r="G235" s="277"/>
      <c r="H235" s="277"/>
      <c r="I235" s="277"/>
      <c r="J235" s="277"/>
      <c r="K235" s="277"/>
      <c r="L235" s="277"/>
    </row>
    <row r="236" spans="3:12" ht="15">
      <c r="C236" s="277"/>
      <c r="D236" s="277"/>
      <c r="E236" s="277"/>
      <c r="F236" s="277"/>
      <c r="G236" s="277"/>
      <c r="H236" s="277"/>
      <c r="I236" s="277"/>
      <c r="J236" s="277"/>
      <c r="K236" s="277"/>
      <c r="L236" s="277"/>
    </row>
    <row r="237" spans="3:12" ht="15">
      <c r="C237" s="277"/>
      <c r="D237" s="277"/>
      <c r="E237" s="277"/>
      <c r="F237" s="277"/>
      <c r="G237" s="277"/>
      <c r="H237" s="277"/>
      <c r="I237" s="277"/>
      <c r="J237" s="277"/>
      <c r="K237" s="277"/>
      <c r="L237" s="277"/>
    </row>
    <row r="238" spans="3:12" ht="15">
      <c r="C238" s="277"/>
      <c r="D238" s="277"/>
      <c r="E238" s="277"/>
      <c r="F238" s="277"/>
      <c r="G238" s="277"/>
      <c r="H238" s="277"/>
      <c r="I238" s="277"/>
      <c r="J238" s="277"/>
      <c r="K238" s="277"/>
      <c r="L238" s="277"/>
    </row>
    <row r="239" spans="3:12" ht="15">
      <c r="C239" s="277"/>
      <c r="D239" s="277"/>
      <c r="E239" s="277"/>
      <c r="F239" s="277"/>
      <c r="G239" s="277"/>
      <c r="H239" s="277"/>
      <c r="I239" s="277"/>
      <c r="J239" s="277"/>
      <c r="K239" s="277"/>
      <c r="L239" s="277"/>
    </row>
    <row r="240" spans="3:12" ht="15">
      <c r="C240" s="277"/>
      <c r="D240" s="277"/>
      <c r="E240" s="277"/>
      <c r="F240" s="277"/>
      <c r="G240" s="277"/>
      <c r="H240" s="277"/>
      <c r="I240" s="277"/>
      <c r="J240" s="277"/>
      <c r="K240" s="277"/>
      <c r="L240" s="277"/>
    </row>
    <row r="241" spans="3:12" ht="15">
      <c r="C241" s="277"/>
      <c r="D241" s="277"/>
      <c r="E241" s="277"/>
      <c r="F241" s="277"/>
      <c r="G241" s="277"/>
      <c r="H241" s="277"/>
      <c r="I241" s="277"/>
      <c r="J241" s="277"/>
      <c r="K241" s="277"/>
      <c r="L241" s="277"/>
    </row>
    <row r="242" spans="3:12" ht="15">
      <c r="C242" s="277"/>
      <c r="D242" s="277"/>
      <c r="E242" s="277"/>
      <c r="F242" s="277"/>
      <c r="G242" s="277"/>
      <c r="H242" s="277"/>
      <c r="I242" s="277"/>
      <c r="J242" s="277"/>
      <c r="K242" s="277"/>
      <c r="L242" s="277"/>
    </row>
    <row r="243" spans="3:12" ht="15">
      <c r="C243" s="277"/>
      <c r="D243" s="277"/>
      <c r="E243" s="277"/>
      <c r="F243" s="277"/>
      <c r="G243" s="277"/>
      <c r="H243" s="277"/>
      <c r="I243" s="277"/>
      <c r="J243" s="277"/>
      <c r="K243" s="277"/>
      <c r="L243" s="277"/>
    </row>
    <row r="244" spans="3:12" ht="15">
      <c r="C244" s="277"/>
      <c r="D244" s="277"/>
      <c r="E244" s="277"/>
      <c r="F244" s="277"/>
      <c r="G244" s="277"/>
      <c r="H244" s="277"/>
      <c r="I244" s="277"/>
      <c r="J244" s="277"/>
      <c r="K244" s="277"/>
      <c r="L244" s="277"/>
    </row>
    <row r="245" spans="3:12" ht="15">
      <c r="C245" s="277"/>
      <c r="D245" s="277"/>
      <c r="E245" s="277"/>
      <c r="F245" s="277"/>
      <c r="G245" s="277"/>
      <c r="H245" s="277"/>
      <c r="I245" s="277"/>
      <c r="J245" s="277"/>
      <c r="K245" s="277"/>
      <c r="L245" s="277"/>
    </row>
    <row r="246" spans="3:12" ht="15">
      <c r="C246" s="277"/>
      <c r="D246" s="277"/>
      <c r="E246" s="277"/>
      <c r="F246" s="277"/>
      <c r="G246" s="277"/>
      <c r="H246" s="277"/>
      <c r="I246" s="277"/>
      <c r="J246" s="277"/>
      <c r="K246" s="277"/>
      <c r="L246" s="277"/>
    </row>
    <row r="247" spans="3:12" ht="15">
      <c r="C247" s="277"/>
      <c r="D247" s="277"/>
      <c r="E247" s="277"/>
      <c r="F247" s="277"/>
      <c r="G247" s="277"/>
      <c r="H247" s="277"/>
      <c r="I247" s="277"/>
      <c r="J247" s="277"/>
      <c r="K247" s="277"/>
      <c r="L247" s="277"/>
    </row>
    <row r="248" spans="3:12" ht="15">
      <c r="C248" s="277"/>
      <c r="D248" s="277"/>
      <c r="E248" s="277"/>
      <c r="F248" s="277"/>
      <c r="G248" s="277"/>
      <c r="H248" s="277"/>
      <c r="I248" s="277"/>
      <c r="J248" s="277"/>
      <c r="K248" s="277"/>
      <c r="L248" s="277"/>
    </row>
    <row r="249" spans="3:12" ht="15">
      <c r="C249" s="277"/>
      <c r="D249" s="277"/>
      <c r="E249" s="277"/>
      <c r="F249" s="277"/>
      <c r="G249" s="277"/>
      <c r="H249" s="277"/>
      <c r="I249" s="277"/>
      <c r="J249" s="277"/>
      <c r="K249" s="277"/>
      <c r="L249" s="277"/>
    </row>
    <row r="250" spans="3:12" ht="15">
      <c r="C250" s="277"/>
      <c r="D250" s="277"/>
      <c r="E250" s="277"/>
      <c r="F250" s="277"/>
      <c r="G250" s="277"/>
      <c r="H250" s="277"/>
      <c r="I250" s="277"/>
      <c r="J250" s="277"/>
      <c r="K250" s="277"/>
      <c r="L250" s="277"/>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8"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70" zoomScaleNormal="90" zoomScaleSheetLayoutView="70" workbookViewId="0" topLeftCell="A1"/>
  </sheetViews>
  <sheetFormatPr defaultColWidth="8.88555555555556" defaultRowHeight="20.1" customHeight="1"/>
  <cols>
    <col min="1" max="1" width="4.33333333333333" style="84" customWidth="1"/>
    <col min="2" max="2" width="24.7777777777778" style="86" customWidth="1"/>
    <col min="3" max="3" width="9" style="86" customWidth="1"/>
    <col min="4" max="4" width="25.5555555555556" style="84" customWidth="1"/>
    <col min="5" max="9" width="15.7777777777778" style="84" customWidth="1"/>
    <col min="10" max="10" width="18.7777777777778" style="84" customWidth="1"/>
    <col min="11" max="16384" width="8.88888888888889" style="84"/>
  </cols>
  <sheetData>
    <row r="1" spans="2:10" ht="16.5" customHeight="1">
      <c r="B1" s="83"/>
      <c r="C1" s="83"/>
      <c r="J1" s="85" t="s">
        <v>702</v>
      </c>
    </row>
    <row r="2" spans="2:10" ht="16.5" customHeight="1">
      <c r="B2" s="83"/>
      <c r="C2" s="83"/>
      <c r="D2" s="136"/>
      <c r="J2" s="85" t="s">
        <v>221</v>
      </c>
    </row>
    <row r="3" spans="2:10" ht="16.5" customHeight="1">
      <c r="B3" s="83"/>
      <c r="C3" s="83"/>
      <c r="J3" s="85" t="str">
        <f>'Attachment H-28A MAIT '!K4</f>
        <v>For the 12 months ended 12/31/2021</v>
      </c>
    </row>
    <row r="4" spans="2:3" ht="20.1" customHeight="1">
      <c r="B4" s="83"/>
      <c r="C4" s="83"/>
    </row>
    <row r="5" spans="2:9" ht="20.1" customHeight="1">
      <c r="B5" s="1214" t="s">
        <v>729</v>
      </c>
      <c r="C5" s="1214"/>
      <c r="D5" s="1214"/>
      <c r="E5" s="1214"/>
      <c r="F5" s="1214"/>
      <c r="G5" s="1214"/>
      <c r="H5" s="1214"/>
      <c r="I5" s="1214"/>
    </row>
    <row r="6" spans="2:9" ht="20.1" customHeight="1">
      <c r="B6" s="1214"/>
      <c r="C6" s="1214"/>
      <c r="D6" s="1214"/>
      <c r="E6" s="1214"/>
      <c r="F6" s="1214"/>
      <c r="G6" s="1214"/>
      <c r="H6" s="1214"/>
      <c r="I6" s="1214"/>
    </row>
    <row r="7" ht="20.1" customHeight="1" thickBot="1"/>
    <row r="8" spans="2:9" s="116" customFormat="1" ht="98.25" customHeight="1">
      <c r="B8" s="687" t="s">
        <v>1306</v>
      </c>
      <c r="C8" s="118"/>
      <c r="D8" s="687" t="s">
        <v>1307</v>
      </c>
      <c r="E8" s="118"/>
      <c r="F8" s="117" t="s">
        <v>324</v>
      </c>
      <c r="H8" s="115"/>
      <c r="I8" s="115"/>
    </row>
    <row r="9" spans="2:9" ht="20.1" customHeight="1">
      <c r="B9" s="89"/>
      <c r="C9" s="87"/>
      <c r="D9" s="89"/>
      <c r="E9" s="87"/>
      <c r="F9" s="90"/>
      <c r="H9" s="88"/>
      <c r="I9" s="88"/>
    </row>
    <row r="10" spans="1:9" ht="20.1" customHeight="1" thickBot="1">
      <c r="A10" s="549">
        <v>1</v>
      </c>
      <c r="B10" s="704">
        <v>246948503.68115124</v>
      </c>
      <c r="C10" s="93" t="str">
        <f>"-"</f>
        <v>-</v>
      </c>
      <c r="D10" s="704">
        <v>276795671.53999996</v>
      </c>
      <c r="E10" s="93" t="str">
        <f>"="</f>
        <v>=</v>
      </c>
      <c r="F10" s="94">
        <f>IF(B10=0,0,D10-B10)</f>
        <v>29847167.858848721</v>
      </c>
      <c r="H10" s="88"/>
      <c r="I10" s="88"/>
    </row>
    <row r="11" spans="1:9" ht="20.1" customHeight="1" thickBot="1">
      <c r="A11" s="549"/>
      <c r="B11" s="95"/>
      <c r="C11" s="96"/>
      <c r="D11" s="95"/>
      <c r="E11" s="96"/>
      <c r="F11" s="95"/>
      <c r="G11" s="97"/>
      <c r="H11" s="97"/>
      <c r="I11" s="97"/>
    </row>
    <row r="12" spans="1:9" ht="20.1" customHeight="1">
      <c r="A12" s="549"/>
      <c r="B12" s="98"/>
      <c r="C12" s="91"/>
      <c r="D12" s="92"/>
      <c r="E12" s="91"/>
      <c r="F12" s="92"/>
      <c r="G12" s="88"/>
      <c r="H12" s="88"/>
      <c r="I12" s="88"/>
    </row>
    <row r="13" spans="1:9" ht="31.5">
      <c r="A13" s="549"/>
      <c r="B13" s="1215"/>
      <c r="C13" s="1215"/>
      <c r="D13" s="100" t="s">
        <v>325</v>
      </c>
      <c r="E13" s="100" t="s">
        <v>326</v>
      </c>
      <c r="F13" s="93" t="s">
        <v>327</v>
      </c>
      <c r="G13" s="101" t="s">
        <v>328</v>
      </c>
      <c r="H13" s="100" t="s">
        <v>329</v>
      </c>
      <c r="I13" s="100" t="s">
        <v>330</v>
      </c>
    </row>
    <row r="14" spans="1:10" ht="20.1" customHeight="1">
      <c r="A14" s="549">
        <v>2</v>
      </c>
      <c r="B14" s="120" t="s">
        <v>902</v>
      </c>
      <c r="C14" s="91"/>
      <c r="D14" s="88"/>
      <c r="E14" s="746">
        <v>0.0027399999999999998</v>
      </c>
      <c r="F14" s="92"/>
      <c r="G14" s="88"/>
      <c r="H14" s="88"/>
      <c r="I14" s="88"/>
      <c r="J14" s="136"/>
    </row>
    <row r="15" spans="1:9" ht="20.1" customHeight="1">
      <c r="A15" s="549"/>
      <c r="B15" s="99"/>
      <c r="C15" s="91"/>
      <c r="D15" s="88"/>
      <c r="E15" s="102"/>
      <c r="F15" s="92"/>
      <c r="G15" s="88"/>
      <c r="H15" s="88"/>
      <c r="I15" s="88"/>
    </row>
    <row r="16" spans="1:9" ht="20.1" customHeight="1">
      <c r="A16" s="549"/>
      <c r="B16" s="99" t="s">
        <v>1318</v>
      </c>
      <c r="C16" s="91"/>
      <c r="D16" s="88"/>
      <c r="E16" s="102"/>
      <c r="F16" s="92"/>
      <c r="G16" s="88"/>
      <c r="H16" s="88"/>
      <c r="I16" s="88"/>
    </row>
    <row r="17" spans="1:9" ht="20.1" customHeight="1">
      <c r="A17" s="549"/>
      <c r="B17" s="103" t="s">
        <v>3</v>
      </c>
      <c r="C17" s="91"/>
      <c r="D17" s="91"/>
      <c r="E17" s="91" t="s">
        <v>3</v>
      </c>
      <c r="F17" s="88"/>
      <c r="G17" s="88"/>
      <c r="H17" s="88"/>
      <c r="I17" s="88"/>
    </row>
    <row r="18" spans="1:9" ht="20.1" customHeight="1">
      <c r="A18" s="549"/>
      <c r="B18" s="119" t="s">
        <v>331</v>
      </c>
      <c r="C18" s="91"/>
      <c r="D18" s="91"/>
      <c r="E18" s="88"/>
      <c r="F18" s="88"/>
      <c r="G18" s="93" t="s">
        <v>332</v>
      </c>
      <c r="H18" s="91"/>
      <c r="I18" s="91"/>
    </row>
    <row r="19" spans="1:9" ht="20.1" customHeight="1">
      <c r="A19" s="549">
        <v>3</v>
      </c>
      <c r="B19" s="87" t="s">
        <v>235</v>
      </c>
      <c r="C19" s="688" t="s">
        <v>1150</v>
      </c>
      <c r="D19" s="104">
        <f>+F10/12</f>
        <v>2487263.9882373936</v>
      </c>
      <c r="E19" s="105">
        <f>+E14</f>
        <v>0.0027399999999999998</v>
      </c>
      <c r="F19" s="106">
        <v>12</v>
      </c>
      <c r="G19" s="104">
        <f t="shared" si="0" ref="G19:G30">E19*D19*F19*-1</f>
        <v>-81781.239933245495</v>
      </c>
      <c r="H19" s="104"/>
      <c r="I19" s="104">
        <f t="shared" si="1" ref="I19:I30">(-G19+D19)*-1</f>
        <v>-2569045.2281706389</v>
      </c>
    </row>
    <row r="20" spans="1:9" ht="20.1" customHeight="1">
      <c r="A20" s="549">
        <v>4</v>
      </c>
      <c r="B20" s="87" t="s">
        <v>236</v>
      </c>
      <c r="C20" s="87" t="str">
        <f>C19</f>
        <v>Year 2021</v>
      </c>
      <c r="D20" s="104">
        <f>+D19</f>
        <v>2487263.9882373936</v>
      </c>
      <c r="E20" s="105">
        <f>+E19</f>
        <v>0.0027399999999999998</v>
      </c>
      <c r="F20" s="107">
        <f t="shared" si="2" ref="F20:F30">+F19-1</f>
        <v>11</v>
      </c>
      <c r="G20" s="104">
        <f t="shared" si="0"/>
        <v>-74966.13660547504</v>
      </c>
      <c r="H20" s="104"/>
      <c r="I20" s="104">
        <f t="shared" si="1"/>
        <v>-2562230.1248428687</v>
      </c>
    </row>
    <row r="21" spans="1:9" ht="20.1" customHeight="1">
      <c r="A21" s="549">
        <v>5</v>
      </c>
      <c r="B21" s="87" t="s">
        <v>237</v>
      </c>
      <c r="C21" s="87" t="str">
        <f>C20</f>
        <v>Year 2021</v>
      </c>
      <c r="D21" s="104">
        <f t="shared" si="3" ref="D21:D30">+D20</f>
        <v>2487263.9882373936</v>
      </c>
      <c r="E21" s="105">
        <f t="shared" si="4" ref="E21:E30">+E20</f>
        <v>0.0027399999999999998</v>
      </c>
      <c r="F21" s="107">
        <f t="shared" si="2"/>
        <v>10</v>
      </c>
      <c r="G21" s="104">
        <f t="shared" si="0"/>
        <v>-68151.033277704584</v>
      </c>
      <c r="H21" s="104"/>
      <c r="I21" s="104">
        <f t="shared" si="1"/>
        <v>-2555415.0215150979</v>
      </c>
    </row>
    <row r="22" spans="1:9" ht="20.1" customHeight="1">
      <c r="A22" s="549">
        <v>6</v>
      </c>
      <c r="B22" s="87" t="s">
        <v>238</v>
      </c>
      <c r="C22" s="87" t="str">
        <f t="shared" si="5" ref="C22:C29">C21</f>
        <v>Year 2021</v>
      </c>
      <c r="D22" s="104">
        <f t="shared" si="3"/>
        <v>2487263.9882373936</v>
      </c>
      <c r="E22" s="105">
        <f t="shared" si="4"/>
        <v>0.0027399999999999998</v>
      </c>
      <c r="F22" s="107">
        <f t="shared" si="2"/>
        <v>9</v>
      </c>
      <c r="G22" s="104">
        <f t="shared" si="0"/>
        <v>-61335.929949934121</v>
      </c>
      <c r="H22" s="104"/>
      <c r="I22" s="104">
        <f t="shared" si="1"/>
        <v>-2548599.9181873277</v>
      </c>
    </row>
    <row r="23" spans="1:9" ht="20.1" customHeight="1">
      <c r="A23" s="549">
        <v>7</v>
      </c>
      <c r="B23" s="87" t="s">
        <v>239</v>
      </c>
      <c r="C23" s="87" t="str">
        <f t="shared" si="5"/>
        <v>Year 2021</v>
      </c>
      <c r="D23" s="104">
        <f t="shared" si="3"/>
        <v>2487263.9882373936</v>
      </c>
      <c r="E23" s="105">
        <f t="shared" si="4"/>
        <v>0.0027399999999999998</v>
      </c>
      <c r="F23" s="107">
        <f t="shared" si="2"/>
        <v>8</v>
      </c>
      <c r="G23" s="104">
        <f t="shared" si="0"/>
        <v>-54520.826622163666</v>
      </c>
      <c r="H23" s="104"/>
      <c r="I23" s="104">
        <f t="shared" si="1"/>
        <v>-2541784.8148595574</v>
      </c>
    </row>
    <row r="24" spans="1:9" ht="20.1" customHeight="1">
      <c r="A24" s="549">
        <v>8</v>
      </c>
      <c r="B24" s="87" t="s">
        <v>250</v>
      </c>
      <c r="C24" s="87" t="str">
        <f t="shared" si="5"/>
        <v>Year 2021</v>
      </c>
      <c r="D24" s="104">
        <f t="shared" si="3"/>
        <v>2487263.9882373936</v>
      </c>
      <c r="E24" s="105">
        <f t="shared" si="4"/>
        <v>0.0027399999999999998</v>
      </c>
      <c r="F24" s="107">
        <f t="shared" si="2"/>
        <v>7</v>
      </c>
      <c r="G24" s="104">
        <f t="shared" si="0"/>
        <v>-47705.72329439321</v>
      </c>
      <c r="H24" s="104"/>
      <c r="I24" s="104">
        <f t="shared" si="1"/>
        <v>-2534969.7115317867</v>
      </c>
    </row>
    <row r="25" spans="1:9" ht="20.1" customHeight="1">
      <c r="A25" s="549">
        <v>9</v>
      </c>
      <c r="B25" s="87" t="s">
        <v>240</v>
      </c>
      <c r="C25" s="87" t="str">
        <f t="shared" si="5"/>
        <v>Year 2021</v>
      </c>
      <c r="D25" s="104">
        <f t="shared" si="3"/>
        <v>2487263.9882373936</v>
      </c>
      <c r="E25" s="105">
        <f t="shared" si="4"/>
        <v>0.0027399999999999998</v>
      </c>
      <c r="F25" s="107">
        <f t="shared" si="2"/>
        <v>6</v>
      </c>
      <c r="G25" s="104">
        <f t="shared" si="0"/>
        <v>-40890.619966622748</v>
      </c>
      <c r="H25" s="104"/>
      <c r="I25" s="104">
        <f t="shared" si="1"/>
        <v>-2528154.6082040165</v>
      </c>
    </row>
    <row r="26" spans="1:9" ht="20.1" customHeight="1">
      <c r="A26" s="549">
        <v>10</v>
      </c>
      <c r="B26" s="87" t="s">
        <v>241</v>
      </c>
      <c r="C26" s="87" t="str">
        <f t="shared" si="5"/>
        <v>Year 2021</v>
      </c>
      <c r="D26" s="104">
        <f t="shared" si="3"/>
        <v>2487263.9882373936</v>
      </c>
      <c r="E26" s="105">
        <f t="shared" si="4"/>
        <v>0.0027399999999999998</v>
      </c>
      <c r="F26" s="107">
        <f t="shared" si="2"/>
        <v>5</v>
      </c>
      <c r="G26" s="104">
        <f t="shared" si="0"/>
        <v>-34075.516638852292</v>
      </c>
      <c r="H26" s="104"/>
      <c r="I26" s="104">
        <f t="shared" si="1"/>
        <v>-2521339.5048762457</v>
      </c>
    </row>
    <row r="27" spans="1:9" ht="20.1" customHeight="1">
      <c r="A27" s="549">
        <v>11</v>
      </c>
      <c r="B27" s="87" t="s">
        <v>242</v>
      </c>
      <c r="C27" s="87" t="str">
        <f t="shared" si="5"/>
        <v>Year 2021</v>
      </c>
      <c r="D27" s="104">
        <f t="shared" si="3"/>
        <v>2487263.9882373936</v>
      </c>
      <c r="E27" s="105">
        <f t="shared" si="4"/>
        <v>0.0027399999999999998</v>
      </c>
      <c r="F27" s="107">
        <f t="shared" si="2"/>
        <v>4</v>
      </c>
      <c r="G27" s="104">
        <f t="shared" si="0"/>
        <v>-27260.413311081833</v>
      </c>
      <c r="H27" s="104"/>
      <c r="I27" s="104">
        <f t="shared" si="1"/>
        <v>-2514524.4015484755</v>
      </c>
    </row>
    <row r="28" spans="1:9" ht="20.1" customHeight="1">
      <c r="A28" s="549">
        <v>12</v>
      </c>
      <c r="B28" s="87" t="s">
        <v>244</v>
      </c>
      <c r="C28" s="87" t="str">
        <f>C27</f>
        <v>Year 2021</v>
      </c>
      <c r="D28" s="104">
        <f t="shared" si="3"/>
        <v>2487263.9882373936</v>
      </c>
      <c r="E28" s="105">
        <f t="shared" si="4"/>
        <v>0.0027399999999999998</v>
      </c>
      <c r="F28" s="107">
        <f t="shared" si="2"/>
        <v>3</v>
      </c>
      <c r="G28" s="104">
        <f t="shared" si="0"/>
        <v>-20445.309983311374</v>
      </c>
      <c r="H28" s="104"/>
      <c r="I28" s="104">
        <f t="shared" si="1"/>
        <v>-2507709.2982207048</v>
      </c>
    </row>
    <row r="29" spans="1:9" ht="20.1" customHeight="1">
      <c r="A29" s="549">
        <v>13</v>
      </c>
      <c r="B29" s="87" t="s">
        <v>243</v>
      </c>
      <c r="C29" s="87" t="str">
        <f t="shared" si="5"/>
        <v>Year 2021</v>
      </c>
      <c r="D29" s="104">
        <f t="shared" si="3"/>
        <v>2487263.9882373936</v>
      </c>
      <c r="E29" s="105">
        <f t="shared" si="4"/>
        <v>0.0027399999999999998</v>
      </c>
      <c r="F29" s="107">
        <f t="shared" si="2"/>
        <v>2</v>
      </c>
      <c r="G29" s="104">
        <f t="shared" si="0"/>
        <v>-13630.206655540916</v>
      </c>
      <c r="H29" s="104"/>
      <c r="I29" s="104">
        <f t="shared" si="1"/>
        <v>-2500894.1948929345</v>
      </c>
    </row>
    <row r="30" spans="1:9" ht="20.1" customHeight="1">
      <c r="A30" s="549">
        <v>14</v>
      </c>
      <c r="B30" s="87" t="s">
        <v>234</v>
      </c>
      <c r="C30" s="87" t="str">
        <f>C29</f>
        <v>Year 2021</v>
      </c>
      <c r="D30" s="104">
        <f t="shared" si="3"/>
        <v>2487263.9882373936</v>
      </c>
      <c r="E30" s="105">
        <f t="shared" si="4"/>
        <v>0.0027399999999999998</v>
      </c>
      <c r="F30" s="107">
        <f t="shared" si="2"/>
        <v>1</v>
      </c>
      <c r="G30" s="108">
        <f t="shared" si="0"/>
        <v>-6815.1033277704582</v>
      </c>
      <c r="H30" s="104"/>
      <c r="I30" s="104">
        <f t="shared" si="1"/>
        <v>-2494079.0915651638</v>
      </c>
    </row>
    <row r="31" spans="1:9" ht="20.1" customHeight="1">
      <c r="A31" s="549"/>
      <c r="B31" s="87"/>
      <c r="C31" s="87"/>
      <c r="D31" s="104"/>
      <c r="E31" s="105"/>
      <c r="F31" s="107"/>
      <c r="G31" s="104">
        <f>SUM(G19:G30)</f>
        <v>-531578.05956609582</v>
      </c>
      <c r="H31" s="104"/>
      <c r="I31" s="109">
        <f>SUM(I19:I30)</f>
        <v>-30378745.918414816</v>
      </c>
    </row>
    <row r="32" spans="1:9" ht="20.1" customHeight="1">
      <c r="A32" s="549"/>
      <c r="B32" s="87"/>
      <c r="C32" s="87"/>
      <c r="D32" s="104"/>
      <c r="E32" s="105"/>
      <c r="F32" s="106"/>
      <c r="G32" s="104"/>
      <c r="H32" s="104" t="s">
        <v>3</v>
      </c>
      <c r="I32" s="110"/>
    </row>
    <row r="33" spans="1:9" ht="20.1" customHeight="1">
      <c r="A33" s="549"/>
      <c r="B33" s="87"/>
      <c r="C33" s="87"/>
      <c r="D33" s="92"/>
      <c r="E33" s="105"/>
      <c r="F33" s="106"/>
      <c r="G33" s="111" t="s">
        <v>333</v>
      </c>
      <c r="H33" s="104"/>
      <c r="I33" s="104"/>
    </row>
    <row r="34" spans="1:9" ht="20.1" customHeight="1">
      <c r="A34" s="549">
        <f>A30+1</f>
        <v>15</v>
      </c>
      <c r="B34" s="87" t="s">
        <v>334</v>
      </c>
      <c r="C34" s="688" t="s">
        <v>1154</v>
      </c>
      <c r="D34" s="92">
        <f>I31</f>
        <v>-30378745.918414816</v>
      </c>
      <c r="E34" s="105">
        <f>+E30</f>
        <v>0.0027399999999999998</v>
      </c>
      <c r="F34" s="106">
        <v>12</v>
      </c>
      <c r="G34" s="104">
        <f>+F34*E34*D34</f>
        <v>-998853.1657974791</v>
      </c>
      <c r="H34" s="104"/>
      <c r="I34" s="109">
        <f>+D34+G34</f>
        <v>-31377599.084212296</v>
      </c>
    </row>
    <row r="35" spans="1:9" ht="20.1" customHeight="1">
      <c r="A35" s="549"/>
      <c r="B35" s="87"/>
      <c r="C35" s="87"/>
      <c r="D35" s="92"/>
      <c r="E35" s="105"/>
      <c r="F35" s="87"/>
      <c r="G35" s="104"/>
      <c r="H35" s="104"/>
      <c r="I35" s="104"/>
    </row>
    <row r="36" spans="1:9" ht="20.1" customHeight="1">
      <c r="A36" s="549"/>
      <c r="B36" s="112" t="s">
        <v>335</v>
      </c>
      <c r="C36" s="87"/>
      <c r="D36" s="104"/>
      <c r="E36" s="105"/>
      <c r="F36" s="87"/>
      <c r="G36" s="111" t="s">
        <v>332</v>
      </c>
      <c r="H36" s="104"/>
      <c r="I36" s="104"/>
    </row>
    <row r="37" spans="1:9" ht="20.1" customHeight="1">
      <c r="A37" s="549">
        <f>A34+1</f>
        <v>16</v>
      </c>
      <c r="B37" s="87" t="s">
        <v>235</v>
      </c>
      <c r="C37" s="688" t="s">
        <v>1272</v>
      </c>
      <c r="D37" s="113">
        <f>-I34</f>
        <v>31377599.084212296</v>
      </c>
      <c r="E37" s="105">
        <f>+E30</f>
        <v>0.0027399999999999998</v>
      </c>
      <c r="F37" s="87"/>
      <c r="G37" s="104">
        <f t="shared" si="6" ref="G37:G48">-E37*D37</f>
        <v>-85974.621490741687</v>
      </c>
      <c r="H37" s="104">
        <f>PMT(E37,12,I$34)</f>
        <v>2661603.1207490917</v>
      </c>
      <c r="I37" s="104">
        <f t="shared" si="7" ref="I37:I48">(+D37+D37*E37-H37)*-1</f>
        <v>-28801970.584953949</v>
      </c>
    </row>
    <row r="38" spans="1:9" ht="20.1" customHeight="1">
      <c r="A38" s="549">
        <f>A37+1</f>
        <v>17</v>
      </c>
      <c r="B38" s="87" t="s">
        <v>236</v>
      </c>
      <c r="C38" s="87" t="str">
        <f>+C37</f>
        <v>Year 2023</v>
      </c>
      <c r="D38" s="92">
        <f>-I37</f>
        <v>28801970.584953949</v>
      </c>
      <c r="E38" s="105">
        <f>+E37</f>
        <v>0.0027399999999999998</v>
      </c>
      <c r="F38" s="87"/>
      <c r="G38" s="104">
        <f t="shared" si="6"/>
        <v>-78917.399402773808</v>
      </c>
      <c r="H38" s="104">
        <f>H37</f>
        <v>2661603.1207490917</v>
      </c>
      <c r="I38" s="104">
        <f t="shared" si="7"/>
        <v>-26219284.86360763</v>
      </c>
    </row>
    <row r="39" spans="1:9" ht="20.1" customHeight="1">
      <c r="A39" s="549">
        <f t="shared" si="8" ref="A39:A48">A38+1</f>
        <v>18</v>
      </c>
      <c r="B39" s="87" t="s">
        <v>237</v>
      </c>
      <c r="C39" s="87" t="str">
        <f>+C38</f>
        <v>Year 2023</v>
      </c>
      <c r="D39" s="92">
        <f t="shared" si="9" ref="D39:D48">-I38</f>
        <v>26219284.86360763</v>
      </c>
      <c r="E39" s="105">
        <f t="shared" si="10" ref="E39:E48">+E38</f>
        <v>0.0027399999999999998</v>
      </c>
      <c r="F39" s="87"/>
      <c r="G39" s="104">
        <f t="shared" si="6"/>
        <v>-71840.840526284897</v>
      </c>
      <c r="H39" s="104">
        <f t="shared" si="11" ref="H39:H48">H38</f>
        <v>2661603.1207490917</v>
      </c>
      <c r="I39" s="104">
        <f t="shared" si="7"/>
        <v>-23629522.583384827</v>
      </c>
    </row>
    <row r="40" spans="1:9" ht="20.1" customHeight="1">
      <c r="A40" s="549">
        <f t="shared" si="8"/>
        <v>19</v>
      </c>
      <c r="B40" s="87" t="s">
        <v>238</v>
      </c>
      <c r="C40" s="87" t="str">
        <f>+C39</f>
        <v>Year 2023</v>
      </c>
      <c r="D40" s="92">
        <f t="shared" si="9"/>
        <v>23629522.583384827</v>
      </c>
      <c r="E40" s="105">
        <f t="shared" si="10"/>
        <v>0.0027399999999999998</v>
      </c>
      <c r="F40" s="87"/>
      <c r="G40" s="104">
        <f t="shared" si="6"/>
        <v>-64744.891878474424</v>
      </c>
      <c r="H40" s="104">
        <f t="shared" si="11"/>
        <v>2661603.1207490917</v>
      </c>
      <c r="I40" s="104">
        <f t="shared" si="7"/>
        <v>-21032664.354514211</v>
      </c>
    </row>
    <row r="41" spans="1:9" ht="20.1" customHeight="1">
      <c r="A41" s="549">
        <f t="shared" si="8"/>
        <v>20</v>
      </c>
      <c r="B41" s="87" t="s">
        <v>239</v>
      </c>
      <c r="C41" s="87" t="str">
        <f>+C40</f>
        <v>Year 2023</v>
      </c>
      <c r="D41" s="92">
        <f t="shared" si="9"/>
        <v>21032664.354514211</v>
      </c>
      <c r="E41" s="105">
        <f t="shared" si="10"/>
        <v>0.0027399999999999998</v>
      </c>
      <c r="F41" s="87"/>
      <c r="G41" s="104">
        <f t="shared" si="6"/>
        <v>-57629.500331368938</v>
      </c>
      <c r="H41" s="104">
        <f t="shared" si="11"/>
        <v>2661603.1207490917</v>
      </c>
      <c r="I41" s="104">
        <f t="shared" si="7"/>
        <v>-18428690.73409649</v>
      </c>
    </row>
    <row r="42" spans="1:9" ht="20.1" customHeight="1">
      <c r="A42" s="549">
        <f t="shared" si="8"/>
        <v>21</v>
      </c>
      <c r="B42" s="87" t="s">
        <v>250</v>
      </c>
      <c r="C42" s="87" t="str">
        <f>C41</f>
        <v>Year 2023</v>
      </c>
      <c r="D42" s="92">
        <f t="shared" si="9"/>
        <v>18428690.73409649</v>
      </c>
      <c r="E42" s="105">
        <f t="shared" si="10"/>
        <v>0.0027399999999999998</v>
      </c>
      <c r="F42" s="87"/>
      <c r="G42" s="104">
        <f t="shared" si="6"/>
        <v>-50494.612611424382</v>
      </c>
      <c r="H42" s="104">
        <f t="shared" si="11"/>
        <v>2661603.1207490917</v>
      </c>
      <c r="I42" s="104">
        <f t="shared" si="7"/>
        <v>-15817582.225958822</v>
      </c>
    </row>
    <row r="43" spans="1:9" ht="20.1" customHeight="1">
      <c r="A43" s="549">
        <f t="shared" si="8"/>
        <v>22</v>
      </c>
      <c r="B43" s="87" t="s">
        <v>240</v>
      </c>
      <c r="C43" s="87" t="str">
        <f t="shared" si="12" ref="C43:C48">+C42</f>
        <v>Year 2023</v>
      </c>
      <c r="D43" s="92">
        <f t="shared" si="9"/>
        <v>15817582.225958822</v>
      </c>
      <c r="E43" s="105">
        <f t="shared" si="10"/>
        <v>0.0027399999999999998</v>
      </c>
      <c r="F43" s="87"/>
      <c r="G43" s="104">
        <f t="shared" si="6"/>
        <v>-43340.175299127171</v>
      </c>
      <c r="H43" s="104">
        <f t="shared" si="11"/>
        <v>2661603.1207490917</v>
      </c>
      <c r="I43" s="104">
        <f t="shared" si="7"/>
        <v>-13199319.280508857</v>
      </c>
    </row>
    <row r="44" spans="1:9" ht="20.1" customHeight="1">
      <c r="A44" s="549">
        <f t="shared" si="8"/>
        <v>23</v>
      </c>
      <c r="B44" s="87" t="s">
        <v>241</v>
      </c>
      <c r="C44" s="87" t="str">
        <f t="shared" si="12"/>
        <v>Year 2023</v>
      </c>
      <c r="D44" s="92">
        <f t="shared" si="9"/>
        <v>13199319.280508857</v>
      </c>
      <c r="E44" s="105">
        <f t="shared" si="10"/>
        <v>0.0027399999999999998</v>
      </c>
      <c r="F44" s="87"/>
      <c r="G44" s="104">
        <f t="shared" si="6"/>
        <v>-36166.134828594266</v>
      </c>
      <c r="H44" s="104">
        <f t="shared" si="11"/>
        <v>2661603.1207490917</v>
      </c>
      <c r="I44" s="104">
        <f t="shared" si="7"/>
        <v>-10573882.294588359</v>
      </c>
    </row>
    <row r="45" spans="1:9" ht="20.1" customHeight="1">
      <c r="A45" s="549">
        <f t="shared" si="8"/>
        <v>24</v>
      </c>
      <c r="B45" s="87" t="s">
        <v>242</v>
      </c>
      <c r="C45" s="87" t="str">
        <f t="shared" si="12"/>
        <v>Year 2023</v>
      </c>
      <c r="D45" s="92">
        <f t="shared" si="9"/>
        <v>10573882.294588359</v>
      </c>
      <c r="E45" s="105">
        <f t="shared" si="10"/>
        <v>0.0027399999999999998</v>
      </c>
      <c r="F45" s="87"/>
      <c r="G45" s="104">
        <f t="shared" si="6"/>
        <v>-28972.437487172101</v>
      </c>
      <c r="H45" s="104">
        <f t="shared" si="11"/>
        <v>2661603.1207490917</v>
      </c>
      <c r="I45" s="104">
        <f t="shared" si="7"/>
        <v>-7941251.6113264393</v>
      </c>
    </row>
    <row r="46" spans="1:9" ht="20.1" customHeight="1">
      <c r="A46" s="549">
        <f t="shared" si="8"/>
        <v>25</v>
      </c>
      <c r="B46" s="87" t="s">
        <v>244</v>
      </c>
      <c r="C46" s="87" t="str">
        <f t="shared" si="12"/>
        <v>Year 2023</v>
      </c>
      <c r="D46" s="92">
        <f t="shared" si="9"/>
        <v>7941251.6113264393</v>
      </c>
      <c r="E46" s="105">
        <f t="shared" si="10"/>
        <v>0.0027399999999999998</v>
      </c>
      <c r="F46" s="87"/>
      <c r="G46" s="104">
        <f t="shared" si="6"/>
        <v>-21759.029415034442</v>
      </c>
      <c r="H46" s="104">
        <f t="shared" si="11"/>
        <v>2661603.1207490917</v>
      </c>
      <c r="I46" s="104">
        <f t="shared" si="7"/>
        <v>-5301407.5199923823</v>
      </c>
    </row>
    <row r="47" spans="1:9" ht="20.1" customHeight="1">
      <c r="A47" s="549">
        <f t="shared" si="8"/>
        <v>26</v>
      </c>
      <c r="B47" s="87" t="s">
        <v>243</v>
      </c>
      <c r="C47" s="87" t="str">
        <f t="shared" si="12"/>
        <v>Year 2023</v>
      </c>
      <c r="D47" s="92">
        <f t="shared" si="9"/>
        <v>5301407.5199923823</v>
      </c>
      <c r="E47" s="105">
        <f t="shared" si="10"/>
        <v>0.0027399999999999998</v>
      </c>
      <c r="F47" s="87"/>
      <c r="G47" s="104">
        <f t="shared" si="6"/>
        <v>-14525.856604779126</v>
      </c>
      <c r="H47" s="104">
        <f t="shared" si="11"/>
        <v>2661603.1207490917</v>
      </c>
      <c r="I47" s="104">
        <f t="shared" si="7"/>
        <v>-2654330.2558480697</v>
      </c>
    </row>
    <row r="48" spans="1:9" ht="20.1" customHeight="1">
      <c r="A48" s="549">
        <f t="shared" si="8"/>
        <v>27</v>
      </c>
      <c r="B48" s="87" t="s">
        <v>234</v>
      </c>
      <c r="C48" s="87" t="str">
        <f t="shared" si="12"/>
        <v>Year 2023</v>
      </c>
      <c r="D48" s="92">
        <f t="shared" si="9"/>
        <v>2654330.2558480697</v>
      </c>
      <c r="E48" s="105">
        <f t="shared" si="10"/>
        <v>0.0027399999999999998</v>
      </c>
      <c r="F48" s="87"/>
      <c r="G48" s="108">
        <f t="shared" si="6"/>
        <v>-7272.8649010237104</v>
      </c>
      <c r="H48" s="104">
        <f t="shared" si="11"/>
        <v>2661603.1207490917</v>
      </c>
      <c r="I48" s="104">
        <f t="shared" si="7"/>
        <v>-1.862645149230957E-09</v>
      </c>
    </row>
    <row r="49" spans="1:9" ht="20.1" customHeight="1">
      <c r="A49" s="549"/>
      <c r="B49" s="87"/>
      <c r="C49" s="87"/>
      <c r="D49" s="92"/>
      <c r="E49" s="105"/>
      <c r="F49" s="87"/>
      <c r="G49" s="104">
        <f>SUM(G37:G48)</f>
        <v>-561638.36477679887</v>
      </c>
      <c r="H49" s="104"/>
      <c r="I49" s="104"/>
    </row>
    <row r="50" spans="1:9" ht="20.1" customHeight="1">
      <c r="A50" s="549"/>
      <c r="B50" s="110"/>
      <c r="C50" s="110"/>
      <c r="D50" s="110"/>
      <c r="E50" s="110"/>
      <c r="F50" s="110"/>
      <c r="G50" s="110"/>
      <c r="H50" s="110"/>
      <c r="I50" s="110"/>
    </row>
    <row r="51" spans="1:9" ht="20.1" customHeight="1">
      <c r="A51" s="549">
        <v>28</v>
      </c>
      <c r="B51" s="87" t="s">
        <v>338</v>
      </c>
      <c r="C51" s="110"/>
      <c r="D51" s="110"/>
      <c r="E51" s="110"/>
      <c r="F51" s="110"/>
      <c r="G51" s="110"/>
      <c r="H51" s="114">
        <f>SUM(H37:H48)</f>
        <v>31939237.448989108</v>
      </c>
      <c r="I51" s="110"/>
    </row>
    <row r="52" spans="1:9" ht="20.1" customHeight="1">
      <c r="A52" s="549">
        <v>29</v>
      </c>
      <c r="B52" s="87" t="s">
        <v>336</v>
      </c>
      <c r="C52" s="110"/>
      <c r="D52" s="110"/>
      <c r="E52" s="110"/>
      <c r="F52" s="110"/>
      <c r="G52" s="110"/>
      <c r="H52" s="114">
        <f>+F10</f>
        <v>29847167.858848721</v>
      </c>
      <c r="I52" s="110"/>
    </row>
    <row r="53" spans="1:9" ht="20.1" customHeight="1">
      <c r="A53" s="549">
        <v>30</v>
      </c>
      <c r="B53" s="87" t="s">
        <v>337</v>
      </c>
      <c r="C53" s="110"/>
      <c r="D53" s="110"/>
      <c r="E53" s="110"/>
      <c r="F53" s="110"/>
      <c r="G53" s="110"/>
      <c r="H53" s="114">
        <f>(H51-H52)</f>
        <v>2092069.5901403874</v>
      </c>
      <c r="I53" s="110"/>
    </row>
    <row r="54" spans="1:9" ht="20.1" customHeight="1">
      <c r="A54" s="549"/>
      <c r="B54" s="87"/>
      <c r="C54" s="110"/>
      <c r="D54" s="110"/>
      <c r="E54" s="110"/>
      <c r="F54" s="110"/>
      <c r="G54" s="110"/>
      <c r="H54" s="114"/>
      <c r="I54" s="110"/>
    </row>
    <row r="55" spans="1:10" ht="36" customHeight="1">
      <c r="A55" s="747" t="s">
        <v>260</v>
      </c>
      <c r="B55" s="1216" t="s">
        <v>903</v>
      </c>
      <c r="C55" s="1216"/>
      <c r="D55" s="1216"/>
      <c r="E55" s="1216"/>
      <c r="F55" s="1216"/>
      <c r="G55" s="1216"/>
      <c r="H55" s="1216"/>
      <c r="I55" s="1216"/>
      <c r="J55" s="1216"/>
    </row>
  </sheetData>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J55"/>
  <sheetViews>
    <sheetView view="pageBreakPreview" zoomScale="60" zoomScaleNormal="80" workbookViewId="0" topLeftCell="A1"/>
  </sheetViews>
  <sheetFormatPr defaultColWidth="8.88555555555556" defaultRowHeight="20.1" customHeight="1"/>
  <cols>
    <col min="1" max="1" width="4.33333333333333" style="84" customWidth="1"/>
    <col min="2" max="2" width="24.7777777777778" style="86" customWidth="1"/>
    <col min="3" max="3" width="9" style="86" customWidth="1"/>
    <col min="4" max="4" width="25.5555555555556" style="84" customWidth="1"/>
    <col min="5" max="9" width="15.7777777777778" style="84" customWidth="1"/>
    <col min="10" max="10" width="18.7777777777778" style="84" customWidth="1"/>
    <col min="11" max="16384" width="8.88888888888889" style="84"/>
  </cols>
  <sheetData>
    <row r="1" spans="2:10" ht="16.5" customHeight="1">
      <c r="B1" s="83"/>
      <c r="C1" s="83"/>
      <c r="J1" s="85" t="s">
        <v>819</v>
      </c>
    </row>
    <row r="2" spans="2:10" ht="16.5" customHeight="1">
      <c r="B2" s="83"/>
      <c r="C2" s="83"/>
      <c r="D2" s="136"/>
      <c r="J2" s="85" t="s">
        <v>221</v>
      </c>
    </row>
    <row r="3" spans="2:10" ht="16.5" customHeight="1">
      <c r="B3" s="83"/>
      <c r="C3" s="83"/>
      <c r="J3" s="85" t="str">
        <f>'Attachment H-28A MAIT '!K4</f>
        <v>For the 12 months ended 12/31/2021</v>
      </c>
    </row>
    <row r="4" spans="2:3" ht="20.1" customHeight="1">
      <c r="B4" s="83"/>
      <c r="C4" s="83"/>
    </row>
    <row r="5" spans="2:9" ht="20.1" customHeight="1">
      <c r="B5" s="1214" t="s">
        <v>806</v>
      </c>
      <c r="C5" s="1214"/>
      <c r="D5" s="1214"/>
      <c r="E5" s="1214"/>
      <c r="F5" s="1214"/>
      <c r="G5" s="1214"/>
      <c r="H5" s="1214"/>
      <c r="I5" s="1214"/>
    </row>
    <row r="6" spans="2:9" ht="20.1" customHeight="1">
      <c r="B6" s="1214"/>
      <c r="C6" s="1214"/>
      <c r="D6" s="1214"/>
      <c r="E6" s="1214"/>
      <c r="F6" s="1214"/>
      <c r="G6" s="1214"/>
      <c r="H6" s="1214"/>
      <c r="I6" s="1214"/>
    </row>
    <row r="7" ht="20.1" customHeight="1" thickBot="1"/>
    <row r="8" spans="2:9" s="116" customFormat="1" ht="98.25" customHeight="1">
      <c r="B8" s="687" t="s">
        <v>1308</v>
      </c>
      <c r="C8" s="118"/>
      <c r="D8" s="687" t="s">
        <v>1309</v>
      </c>
      <c r="E8" s="118"/>
      <c r="F8" s="117" t="s">
        <v>324</v>
      </c>
      <c r="H8" s="115"/>
      <c r="I8" s="115"/>
    </row>
    <row r="9" spans="2:9" ht="20.1" customHeight="1">
      <c r="B9" s="89"/>
      <c r="C9" s="87"/>
      <c r="D9" s="89"/>
      <c r="E9" s="87"/>
      <c r="F9" s="90"/>
      <c r="H9" s="88"/>
      <c r="I9" s="88"/>
    </row>
    <row r="10" spans="1:9" ht="20.1" customHeight="1" thickBot="1">
      <c r="A10" s="549">
        <v>1</v>
      </c>
      <c r="B10" s="686">
        <f>'Attachment 12 - TEC True-up'!I41</f>
        <v>29873352.081394825</v>
      </c>
      <c r="C10" s="93" t="str">
        <f>"-"</f>
        <v>-</v>
      </c>
      <c r="D10" s="686">
        <f>'Attachment 12 - TEC True-up'!E15</f>
        <v>15875068.990000002</v>
      </c>
      <c r="E10" s="93" t="str">
        <f>"="</f>
        <v>=</v>
      </c>
      <c r="F10" s="94">
        <f>IF(B10=0,0,D10-B10)</f>
        <v>-13998283.091394823</v>
      </c>
      <c r="H10" s="88"/>
      <c r="I10" s="88"/>
    </row>
    <row r="11" spans="1:9" ht="20.1" customHeight="1" thickBot="1">
      <c r="A11" s="549"/>
      <c r="B11" s="95"/>
      <c r="C11" s="96"/>
      <c r="D11" s="95"/>
      <c r="E11" s="96"/>
      <c r="F11" s="95"/>
      <c r="G11" s="97"/>
      <c r="H11" s="97"/>
      <c r="I11" s="97"/>
    </row>
    <row r="12" spans="1:9" ht="20.1" customHeight="1">
      <c r="A12" s="549"/>
      <c r="B12" s="98"/>
      <c r="C12" s="91"/>
      <c r="D12" s="92"/>
      <c r="E12" s="91"/>
      <c r="F12" s="92"/>
      <c r="G12" s="88"/>
      <c r="H12" s="88"/>
      <c r="I12" s="88"/>
    </row>
    <row r="13" spans="1:9" ht="31.5">
      <c r="A13" s="549"/>
      <c r="B13" s="1215"/>
      <c r="C13" s="1215"/>
      <c r="D13" s="100" t="s">
        <v>325</v>
      </c>
      <c r="E13" s="100" t="s">
        <v>326</v>
      </c>
      <c r="F13" s="93" t="s">
        <v>327</v>
      </c>
      <c r="G13" s="101" t="s">
        <v>328</v>
      </c>
      <c r="H13" s="100" t="s">
        <v>329</v>
      </c>
      <c r="I13" s="100" t="s">
        <v>330</v>
      </c>
    </row>
    <row r="14" spans="1:10" ht="20.1" customHeight="1">
      <c r="A14" s="549">
        <v>2</v>
      </c>
      <c r="B14" s="120" t="s">
        <v>902</v>
      </c>
      <c r="C14" s="91"/>
      <c r="D14" s="88"/>
      <c r="E14" s="746">
        <v>0.0027399999999999998</v>
      </c>
      <c r="F14" s="92"/>
      <c r="G14" s="88"/>
      <c r="H14" s="88"/>
      <c r="I14" s="88"/>
      <c r="J14" s="136"/>
    </row>
    <row r="15" spans="1:9" ht="20.1" customHeight="1">
      <c r="A15" s="549"/>
      <c r="B15" s="99"/>
      <c r="C15" s="91"/>
      <c r="D15" s="88"/>
      <c r="E15" s="102"/>
      <c r="F15" s="92"/>
      <c r="G15" s="88"/>
      <c r="H15" s="88"/>
      <c r="I15" s="88"/>
    </row>
    <row r="16" spans="1:9" ht="20.1" customHeight="1">
      <c r="A16" s="549"/>
      <c r="B16" s="99" t="s">
        <v>1318</v>
      </c>
      <c r="C16" s="91"/>
      <c r="D16" s="88"/>
      <c r="E16" s="102"/>
      <c r="F16" s="92"/>
      <c r="G16" s="88"/>
      <c r="H16" s="88"/>
      <c r="I16" s="88"/>
    </row>
    <row r="17" spans="1:9" ht="20.1" customHeight="1">
      <c r="A17" s="549"/>
      <c r="B17" s="103" t="s">
        <v>3</v>
      </c>
      <c r="C17" s="91"/>
      <c r="D17" s="91"/>
      <c r="E17" s="91" t="s">
        <v>3</v>
      </c>
      <c r="F17" s="88"/>
      <c r="G17" s="88"/>
      <c r="H17" s="88"/>
      <c r="I17" s="88"/>
    </row>
    <row r="18" spans="1:9" ht="20.1" customHeight="1">
      <c r="A18" s="549"/>
      <c r="B18" s="119" t="s">
        <v>331</v>
      </c>
      <c r="C18" s="91"/>
      <c r="D18" s="91"/>
      <c r="E18" s="88"/>
      <c r="F18" s="88"/>
      <c r="G18" s="93" t="s">
        <v>332</v>
      </c>
      <c r="H18" s="91"/>
      <c r="I18" s="91"/>
    </row>
    <row r="19" spans="1:9" ht="20.1" customHeight="1">
      <c r="A19" s="549">
        <v>3</v>
      </c>
      <c r="B19" s="87" t="s">
        <v>235</v>
      </c>
      <c r="C19" s="688" t="s">
        <v>1150</v>
      </c>
      <c r="D19" s="104">
        <f>+F10/12</f>
        <v>-1166523.5909495687</v>
      </c>
      <c r="E19" s="105">
        <f>+E14</f>
        <v>0.0027399999999999998</v>
      </c>
      <c r="F19" s="106">
        <v>12</v>
      </c>
      <c r="G19" s="104">
        <f t="shared" si="0" ref="G19:G30">E19*D19*F19*-1</f>
        <v>38355.295670421816</v>
      </c>
      <c r="H19" s="104"/>
      <c r="I19" s="104">
        <f t="shared" si="1" ref="I19:I30">(-G19+D19)*-1</f>
        <v>1204878.8866199905</v>
      </c>
    </row>
    <row r="20" spans="1:9" ht="20.1" customHeight="1">
      <c r="A20" s="549">
        <v>4</v>
      </c>
      <c r="B20" s="87" t="s">
        <v>236</v>
      </c>
      <c r="C20" s="87" t="str">
        <f>C19</f>
        <v>Year 2021</v>
      </c>
      <c r="D20" s="104">
        <f>+D19</f>
        <v>-1166523.5909495687</v>
      </c>
      <c r="E20" s="105">
        <f>+E19</f>
        <v>0.0027399999999999998</v>
      </c>
      <c r="F20" s="107">
        <f t="shared" si="2" ref="F20:F30">+F19-1</f>
        <v>11</v>
      </c>
      <c r="G20" s="104">
        <f t="shared" si="0"/>
        <v>35159.02103122</v>
      </c>
      <c r="H20" s="104"/>
      <c r="I20" s="104">
        <f t="shared" si="1"/>
        <v>1201682.6119807886</v>
      </c>
    </row>
    <row r="21" spans="1:9" ht="20.1" customHeight="1">
      <c r="A21" s="549">
        <v>5</v>
      </c>
      <c r="B21" s="87" t="s">
        <v>237</v>
      </c>
      <c r="C21" s="87" t="str">
        <f>C20</f>
        <v>Year 2021</v>
      </c>
      <c r="D21" s="104">
        <f t="shared" si="3" ref="D21:E30">+D20</f>
        <v>-1166523.5909495687</v>
      </c>
      <c r="E21" s="105">
        <f t="shared" si="3"/>
        <v>0.0027399999999999998</v>
      </c>
      <c r="F21" s="107">
        <f t="shared" si="2"/>
        <v>10</v>
      </c>
      <c r="G21" s="104">
        <f t="shared" si="0"/>
        <v>31962.74639201818</v>
      </c>
      <c r="H21" s="104"/>
      <c r="I21" s="104">
        <f t="shared" si="1"/>
        <v>1198486.3373415868</v>
      </c>
    </row>
    <row r="22" spans="1:9" ht="20.1" customHeight="1">
      <c r="A22" s="549">
        <v>6</v>
      </c>
      <c r="B22" s="87" t="s">
        <v>238</v>
      </c>
      <c r="C22" s="87" t="str">
        <f t="shared" si="4" ref="C22:C29">C21</f>
        <v>Year 2021</v>
      </c>
      <c r="D22" s="104">
        <f t="shared" si="3"/>
        <v>-1166523.5909495687</v>
      </c>
      <c r="E22" s="105">
        <f t="shared" si="3"/>
        <v>0.0027399999999999998</v>
      </c>
      <c r="F22" s="107">
        <f t="shared" si="2"/>
        <v>9</v>
      </c>
      <c r="G22" s="104">
        <f t="shared" si="0"/>
        <v>28766.47175281636</v>
      </c>
      <c r="H22" s="104"/>
      <c r="I22" s="104">
        <f t="shared" si="1"/>
        <v>1195290.062702385</v>
      </c>
    </row>
    <row r="23" spans="1:9" ht="20.1" customHeight="1">
      <c r="A23" s="549">
        <v>7</v>
      </c>
      <c r="B23" s="87" t="s">
        <v>239</v>
      </c>
      <c r="C23" s="87" t="str">
        <f t="shared" si="4"/>
        <v>Year 2021</v>
      </c>
      <c r="D23" s="104">
        <f t="shared" si="3"/>
        <v>-1166523.5909495687</v>
      </c>
      <c r="E23" s="105">
        <f t="shared" si="3"/>
        <v>0.0027399999999999998</v>
      </c>
      <c r="F23" s="107">
        <f t="shared" si="2"/>
        <v>8</v>
      </c>
      <c r="G23" s="104">
        <f t="shared" si="0"/>
        <v>25570.197113614544</v>
      </c>
      <c r="H23" s="104"/>
      <c r="I23" s="104">
        <f t="shared" si="1"/>
        <v>1192093.7880631832</v>
      </c>
    </row>
    <row r="24" spans="1:9" ht="20.1" customHeight="1">
      <c r="A24" s="549">
        <v>8</v>
      </c>
      <c r="B24" s="87" t="s">
        <v>250</v>
      </c>
      <c r="C24" s="87" t="str">
        <f t="shared" si="4"/>
        <v>Year 2021</v>
      </c>
      <c r="D24" s="104">
        <f t="shared" si="3"/>
        <v>-1166523.5909495687</v>
      </c>
      <c r="E24" s="105">
        <f t="shared" si="3"/>
        <v>0.0027399999999999998</v>
      </c>
      <c r="F24" s="107">
        <f t="shared" si="2"/>
        <v>7</v>
      </c>
      <c r="G24" s="104">
        <f t="shared" si="0"/>
        <v>22373.922474412728</v>
      </c>
      <c r="H24" s="104"/>
      <c r="I24" s="104">
        <f t="shared" si="1"/>
        <v>1188897.5134239814</v>
      </c>
    </row>
    <row r="25" spans="1:9" ht="20.1" customHeight="1">
      <c r="A25" s="549">
        <v>9</v>
      </c>
      <c r="B25" s="87" t="s">
        <v>240</v>
      </c>
      <c r="C25" s="87" t="str">
        <f t="shared" si="4"/>
        <v>Year 2021</v>
      </c>
      <c r="D25" s="104">
        <f t="shared" si="3"/>
        <v>-1166523.5909495687</v>
      </c>
      <c r="E25" s="105">
        <f t="shared" si="3"/>
        <v>0.0027399999999999998</v>
      </c>
      <c r="F25" s="107">
        <f t="shared" si="2"/>
        <v>6</v>
      </c>
      <c r="G25" s="104">
        <f t="shared" si="0"/>
        <v>19177.647835210908</v>
      </c>
      <c r="H25" s="104"/>
      <c r="I25" s="104">
        <f t="shared" si="1"/>
        <v>1185701.2387847796</v>
      </c>
    </row>
    <row r="26" spans="1:9" ht="20.1" customHeight="1">
      <c r="A26" s="549">
        <v>10</v>
      </c>
      <c r="B26" s="87" t="s">
        <v>241</v>
      </c>
      <c r="C26" s="87" t="str">
        <f t="shared" si="4"/>
        <v>Year 2021</v>
      </c>
      <c r="D26" s="104">
        <f t="shared" si="3"/>
        <v>-1166523.5909495687</v>
      </c>
      <c r="E26" s="105">
        <f t="shared" si="3"/>
        <v>0.0027399999999999998</v>
      </c>
      <c r="F26" s="107">
        <f t="shared" si="2"/>
        <v>5</v>
      </c>
      <c r="G26" s="104">
        <f t="shared" si="0"/>
        <v>15981.37319600909</v>
      </c>
      <c r="H26" s="104"/>
      <c r="I26" s="104">
        <f t="shared" si="1"/>
        <v>1182504.9641455777</v>
      </c>
    </row>
    <row r="27" spans="1:9" ht="20.1" customHeight="1">
      <c r="A27" s="549">
        <v>11</v>
      </c>
      <c r="B27" s="87" t="s">
        <v>242</v>
      </c>
      <c r="C27" s="87" t="str">
        <f t="shared" si="4"/>
        <v>Year 2021</v>
      </c>
      <c r="D27" s="104">
        <f t="shared" si="3"/>
        <v>-1166523.5909495687</v>
      </c>
      <c r="E27" s="105">
        <f t="shared" si="3"/>
        <v>0.0027399999999999998</v>
      </c>
      <c r="F27" s="107">
        <f t="shared" si="2"/>
        <v>4</v>
      </c>
      <c r="G27" s="104">
        <f t="shared" si="0"/>
        <v>12785.098556807272</v>
      </c>
      <c r="H27" s="104"/>
      <c r="I27" s="104">
        <f t="shared" si="1"/>
        <v>1179308.6895063759</v>
      </c>
    </row>
    <row r="28" spans="1:9" ht="20.1" customHeight="1">
      <c r="A28" s="549">
        <v>12</v>
      </c>
      <c r="B28" s="87" t="s">
        <v>244</v>
      </c>
      <c r="C28" s="87" t="str">
        <f>C27</f>
        <v>Year 2021</v>
      </c>
      <c r="D28" s="104">
        <f t="shared" si="3"/>
        <v>-1166523.5909495687</v>
      </c>
      <c r="E28" s="105">
        <f t="shared" si="3"/>
        <v>0.0027399999999999998</v>
      </c>
      <c r="F28" s="107">
        <f t="shared" si="2"/>
        <v>3</v>
      </c>
      <c r="G28" s="104">
        <f t="shared" si="0"/>
        <v>9588.823917605454</v>
      </c>
      <c r="H28" s="104"/>
      <c r="I28" s="104">
        <f t="shared" si="1"/>
        <v>1176112.4148671741</v>
      </c>
    </row>
    <row r="29" spans="1:9" ht="20.1" customHeight="1">
      <c r="A29" s="549">
        <v>13</v>
      </c>
      <c r="B29" s="87" t="s">
        <v>243</v>
      </c>
      <c r="C29" s="87" t="str">
        <f t="shared" si="4"/>
        <v>Year 2021</v>
      </c>
      <c r="D29" s="104">
        <f t="shared" si="3"/>
        <v>-1166523.5909495687</v>
      </c>
      <c r="E29" s="105">
        <f t="shared" si="3"/>
        <v>0.0027399999999999998</v>
      </c>
      <c r="F29" s="107">
        <f t="shared" si="2"/>
        <v>2</v>
      </c>
      <c r="G29" s="104">
        <f t="shared" si="0"/>
        <v>6392.549278403636</v>
      </c>
      <c r="H29" s="104"/>
      <c r="I29" s="104">
        <f t="shared" si="1"/>
        <v>1172916.1402279723</v>
      </c>
    </row>
    <row r="30" spans="1:9" ht="20.1" customHeight="1">
      <c r="A30" s="549">
        <v>14</v>
      </c>
      <c r="B30" s="87" t="s">
        <v>234</v>
      </c>
      <c r="C30" s="87" t="str">
        <f>C29</f>
        <v>Year 2021</v>
      </c>
      <c r="D30" s="104">
        <f t="shared" si="3"/>
        <v>-1166523.5909495687</v>
      </c>
      <c r="E30" s="105">
        <f t="shared" si="3"/>
        <v>0.0027399999999999998</v>
      </c>
      <c r="F30" s="107">
        <f t="shared" si="2"/>
        <v>1</v>
      </c>
      <c r="G30" s="108">
        <f t="shared" si="0"/>
        <v>3196.274639201818</v>
      </c>
      <c r="H30" s="104"/>
      <c r="I30" s="104">
        <f t="shared" si="1"/>
        <v>1169719.8655887705</v>
      </c>
    </row>
    <row r="31" spans="1:9" ht="20.1" customHeight="1">
      <c r="A31" s="549"/>
      <c r="B31" s="87"/>
      <c r="C31" s="87"/>
      <c r="D31" s="104"/>
      <c r="E31" s="105"/>
      <c r="F31" s="107"/>
      <c r="G31" s="104">
        <f>SUM(G19:G30)</f>
        <v>249309.42185774172</v>
      </c>
      <c r="H31" s="104"/>
      <c r="I31" s="109">
        <f>SUM(I19:I30)</f>
        <v>14247592.513252566</v>
      </c>
    </row>
    <row r="32" spans="1:9" ht="20.1" customHeight="1">
      <c r="A32" s="549"/>
      <c r="B32" s="87"/>
      <c r="C32" s="87"/>
      <c r="D32" s="104"/>
      <c r="E32" s="105"/>
      <c r="F32" s="106"/>
      <c r="G32" s="104"/>
      <c r="H32" s="104" t="s">
        <v>3</v>
      </c>
      <c r="I32" s="110"/>
    </row>
    <row r="33" spans="1:9" ht="20.1" customHeight="1">
      <c r="A33" s="549"/>
      <c r="B33" s="87"/>
      <c r="C33" s="87"/>
      <c r="D33" s="92"/>
      <c r="E33" s="105"/>
      <c r="F33" s="106"/>
      <c r="G33" s="111" t="s">
        <v>333</v>
      </c>
      <c r="H33" s="104"/>
      <c r="I33" s="104"/>
    </row>
    <row r="34" spans="1:9" ht="20.1" customHeight="1">
      <c r="A34" s="549">
        <f>A30+1</f>
        <v>15</v>
      </c>
      <c r="B34" s="87" t="s">
        <v>334</v>
      </c>
      <c r="C34" s="688" t="s">
        <v>1154</v>
      </c>
      <c r="D34" s="92">
        <f>I31</f>
        <v>14247592.513252566</v>
      </c>
      <c r="E34" s="105">
        <f>+E30</f>
        <v>0.0027399999999999998</v>
      </c>
      <c r="F34" s="106">
        <v>12</v>
      </c>
      <c r="G34" s="104">
        <f>+F34*E34*D34</f>
        <v>468460.84183574433</v>
      </c>
      <c r="H34" s="104"/>
      <c r="I34" s="109">
        <f>+D34+G34</f>
        <v>14716053.35508831</v>
      </c>
    </row>
    <row r="35" spans="1:9" ht="20.1" customHeight="1">
      <c r="A35" s="549"/>
      <c r="B35" s="87"/>
      <c r="C35" s="87"/>
      <c r="D35" s="92"/>
      <c r="E35" s="105"/>
      <c r="F35" s="87"/>
      <c r="G35" s="104"/>
      <c r="H35" s="104"/>
      <c r="I35" s="104"/>
    </row>
    <row r="36" spans="1:9" ht="20.1" customHeight="1">
      <c r="A36" s="549"/>
      <c r="B36" s="112" t="s">
        <v>335</v>
      </c>
      <c r="C36" s="87"/>
      <c r="D36" s="104"/>
      <c r="E36" s="105"/>
      <c r="F36" s="87"/>
      <c r="G36" s="111" t="s">
        <v>332</v>
      </c>
      <c r="H36" s="104"/>
      <c r="I36" s="104"/>
    </row>
    <row r="37" spans="1:9" ht="20.1" customHeight="1">
      <c r="A37" s="549">
        <f>A34+1</f>
        <v>16</v>
      </c>
      <c r="B37" s="87" t="s">
        <v>235</v>
      </c>
      <c r="C37" s="688" t="s">
        <v>1272</v>
      </c>
      <c r="D37" s="113">
        <f>-I34</f>
        <v>-14716053.35508831</v>
      </c>
      <c r="E37" s="105">
        <f>+E30</f>
        <v>0.0027399999999999998</v>
      </c>
      <c r="F37" s="87"/>
      <c r="G37" s="104">
        <f t="shared" si="5" ref="G37:G48">-E37*D37</f>
        <v>40321.986192941964</v>
      </c>
      <c r="H37" s="104">
        <f>PMT(E37,12,I$34)</f>
        <v>-1248288.418431632</v>
      </c>
      <c r="I37" s="104">
        <f t="shared" si="6" ref="I37:I48">(+D37+D37*E37-H37)*-1</f>
        <v>13508086.92284962</v>
      </c>
    </row>
    <row r="38" spans="1:9" ht="20.1" customHeight="1">
      <c r="A38" s="549">
        <f>A37+1</f>
        <v>17</v>
      </c>
      <c r="B38" s="87" t="s">
        <v>236</v>
      </c>
      <c r="C38" s="87" t="str">
        <f>+C37</f>
        <v>Year 2023</v>
      </c>
      <c r="D38" s="92">
        <f>-I37</f>
        <v>-13508086.92284962</v>
      </c>
      <c r="E38" s="105">
        <f>+E37</f>
        <v>0.0027399999999999998</v>
      </c>
      <c r="F38" s="87"/>
      <c r="G38" s="104">
        <f t="shared" si="5"/>
        <v>37012.158168607959</v>
      </c>
      <c r="H38" s="104">
        <f>H37</f>
        <v>-1248288.418431632</v>
      </c>
      <c r="I38" s="104">
        <f t="shared" si="6"/>
        <v>12296810.662586596</v>
      </c>
    </row>
    <row r="39" spans="1:9" ht="20.1" customHeight="1">
      <c r="A39" s="549">
        <f t="shared" si="7" ref="A39:A48">A38+1</f>
        <v>18</v>
      </c>
      <c r="B39" s="87" t="s">
        <v>237</v>
      </c>
      <c r="C39" s="87" t="str">
        <f>+C38</f>
        <v>Year 2023</v>
      </c>
      <c r="D39" s="92">
        <f t="shared" si="8" ref="D39:D48">-I38</f>
        <v>-12296810.662586596</v>
      </c>
      <c r="E39" s="105">
        <f t="shared" si="9" ref="E39:E48">+E38</f>
        <v>0.0027399999999999998</v>
      </c>
      <c r="F39" s="87"/>
      <c r="G39" s="104">
        <f t="shared" si="5"/>
        <v>33693.26121548727</v>
      </c>
      <c r="H39" s="104">
        <f t="shared" si="10" ref="H39:H48">H38</f>
        <v>-1248288.418431632</v>
      </c>
      <c r="I39" s="104">
        <f t="shared" si="6"/>
        <v>11082215.505370451</v>
      </c>
    </row>
    <row r="40" spans="1:9" ht="20.1" customHeight="1">
      <c r="A40" s="549">
        <f t="shared" si="7"/>
        <v>19</v>
      </c>
      <c r="B40" s="87" t="s">
        <v>238</v>
      </c>
      <c r="C40" s="87" t="str">
        <f>+C39</f>
        <v>Year 2023</v>
      </c>
      <c r="D40" s="92">
        <f t="shared" si="8"/>
        <v>-11082215.505370451</v>
      </c>
      <c r="E40" s="105">
        <f t="shared" si="9"/>
        <v>0.0027399999999999998</v>
      </c>
      <c r="F40" s="87"/>
      <c r="G40" s="104">
        <f t="shared" si="5"/>
        <v>30365.270484715034</v>
      </c>
      <c r="H40" s="104">
        <f t="shared" si="10"/>
        <v>-1248288.418431632</v>
      </c>
      <c r="I40" s="104">
        <f t="shared" si="6"/>
        <v>9864292.3574235346</v>
      </c>
    </row>
    <row r="41" spans="1:9" ht="20.1" customHeight="1">
      <c r="A41" s="549">
        <f t="shared" si="7"/>
        <v>20</v>
      </c>
      <c r="B41" s="87" t="s">
        <v>239</v>
      </c>
      <c r="C41" s="87" t="str">
        <f>+C40</f>
        <v>Year 2023</v>
      </c>
      <c r="D41" s="92">
        <f t="shared" si="8"/>
        <v>-9864292.3574235346</v>
      </c>
      <c r="E41" s="105">
        <f t="shared" si="9"/>
        <v>0.0027399999999999998</v>
      </c>
      <c r="F41" s="87"/>
      <c r="G41" s="104">
        <f t="shared" si="5"/>
        <v>27028.161059340484</v>
      </c>
      <c r="H41" s="104">
        <f t="shared" si="10"/>
        <v>-1248288.418431632</v>
      </c>
      <c r="I41" s="104">
        <f t="shared" si="6"/>
        <v>8643032.1000512429</v>
      </c>
    </row>
    <row r="42" spans="1:9" ht="20.1" customHeight="1">
      <c r="A42" s="549">
        <f t="shared" si="7"/>
        <v>21</v>
      </c>
      <c r="B42" s="87" t="s">
        <v>250</v>
      </c>
      <c r="C42" s="87" t="str">
        <f>C41</f>
        <v>Year 2023</v>
      </c>
      <c r="D42" s="92">
        <f t="shared" si="8"/>
        <v>-8643032.1000512429</v>
      </c>
      <c r="E42" s="105">
        <f t="shared" si="9"/>
        <v>0.0027399999999999998</v>
      </c>
      <c r="F42" s="87"/>
      <c r="G42" s="104">
        <f t="shared" si="5"/>
        <v>23681.907954140403</v>
      </c>
      <c r="H42" s="104">
        <f t="shared" si="10"/>
        <v>-1248288.418431632</v>
      </c>
      <c r="I42" s="104">
        <f t="shared" si="6"/>
        <v>7418425.5895737503</v>
      </c>
    </row>
    <row r="43" spans="1:9" ht="20.1" customHeight="1">
      <c r="A43" s="549">
        <f t="shared" si="7"/>
        <v>22</v>
      </c>
      <c r="B43" s="87" t="s">
        <v>240</v>
      </c>
      <c r="C43" s="87" t="str">
        <f t="shared" si="11" ref="C43:C48">+C42</f>
        <v>Year 2023</v>
      </c>
      <c r="D43" s="92">
        <f t="shared" si="8"/>
        <v>-7418425.5895737503</v>
      </c>
      <c r="E43" s="105">
        <f t="shared" si="9"/>
        <v>0.0027399999999999998</v>
      </c>
      <c r="F43" s="87"/>
      <c r="G43" s="104">
        <f t="shared" si="5"/>
        <v>20326.486115432075</v>
      </c>
      <c r="H43" s="104">
        <f t="shared" si="10"/>
        <v>-1248288.418431632</v>
      </c>
      <c r="I43" s="104">
        <f t="shared" si="6"/>
        <v>6190463.6572575504</v>
      </c>
    </row>
    <row r="44" spans="1:9" ht="20.1" customHeight="1">
      <c r="A44" s="549">
        <f t="shared" si="7"/>
        <v>23</v>
      </c>
      <c r="B44" s="87" t="s">
        <v>241</v>
      </c>
      <c r="C44" s="87" t="str">
        <f t="shared" si="11"/>
        <v>Year 2023</v>
      </c>
      <c r="D44" s="92">
        <f t="shared" si="8"/>
        <v>-6190463.6572575504</v>
      </c>
      <c r="E44" s="105">
        <f t="shared" si="9"/>
        <v>0.0027399999999999998</v>
      </c>
      <c r="F44" s="87"/>
      <c r="G44" s="104">
        <f t="shared" si="5"/>
        <v>16961.870420885687</v>
      </c>
      <c r="H44" s="104">
        <f t="shared" si="10"/>
        <v>-1248288.418431632</v>
      </c>
      <c r="I44" s="104">
        <f t="shared" si="6"/>
        <v>4959137.1092468034</v>
      </c>
    </row>
    <row r="45" spans="1:9" ht="20.1" customHeight="1">
      <c r="A45" s="549">
        <f t="shared" si="7"/>
        <v>24</v>
      </c>
      <c r="B45" s="87" t="s">
        <v>242</v>
      </c>
      <c r="C45" s="87" t="str">
        <f t="shared" si="11"/>
        <v>Year 2023</v>
      </c>
      <c r="D45" s="92">
        <f t="shared" si="8"/>
        <v>-4959137.1092468034</v>
      </c>
      <c r="E45" s="105">
        <f t="shared" si="9"/>
        <v>0.0027399999999999998</v>
      </c>
      <c r="F45" s="87"/>
      <c r="G45" s="104">
        <f t="shared" si="5"/>
        <v>13588.035679336241</v>
      </c>
      <c r="H45" s="104">
        <f t="shared" si="10"/>
        <v>-1248288.418431632</v>
      </c>
      <c r="I45" s="104">
        <f t="shared" si="6"/>
        <v>3724436.7264945079</v>
      </c>
    </row>
    <row r="46" spans="1:9" ht="20.1" customHeight="1">
      <c r="A46" s="549">
        <f t="shared" si="7"/>
        <v>25</v>
      </c>
      <c r="B46" s="87" t="s">
        <v>244</v>
      </c>
      <c r="C46" s="87" t="str">
        <f t="shared" si="11"/>
        <v>Year 2023</v>
      </c>
      <c r="D46" s="92">
        <f t="shared" si="8"/>
        <v>-3724436.7264945079</v>
      </c>
      <c r="E46" s="105">
        <f t="shared" si="9"/>
        <v>0.0027399999999999998</v>
      </c>
      <c r="F46" s="87"/>
      <c r="G46" s="104">
        <f t="shared" si="5"/>
        <v>10204.95663059495</v>
      </c>
      <c r="H46" s="104">
        <f t="shared" si="10"/>
        <v>-1248288.418431632</v>
      </c>
      <c r="I46" s="104">
        <f t="shared" si="6"/>
        <v>2486353.2646934707</v>
      </c>
    </row>
    <row r="47" spans="1:9" ht="20.1" customHeight="1">
      <c r="A47" s="549">
        <f t="shared" si="7"/>
        <v>26</v>
      </c>
      <c r="B47" s="87" t="s">
        <v>243</v>
      </c>
      <c r="C47" s="87" t="str">
        <f t="shared" si="11"/>
        <v>Year 2023</v>
      </c>
      <c r="D47" s="92">
        <f t="shared" si="8"/>
        <v>-2486353.2646934707</v>
      </c>
      <c r="E47" s="105">
        <f t="shared" si="9"/>
        <v>0.0027399999999999998</v>
      </c>
      <c r="F47" s="87"/>
      <c r="G47" s="104">
        <f t="shared" si="5"/>
        <v>6812.6079452601089</v>
      </c>
      <c r="H47" s="104">
        <f t="shared" si="10"/>
        <v>-1248288.418431632</v>
      </c>
      <c r="I47" s="104">
        <f t="shared" si="6"/>
        <v>1244877.4542070988</v>
      </c>
    </row>
    <row r="48" spans="1:9" ht="20.1" customHeight="1">
      <c r="A48" s="549">
        <f t="shared" si="7"/>
        <v>27</v>
      </c>
      <c r="B48" s="87" t="s">
        <v>234</v>
      </c>
      <c r="C48" s="87" t="str">
        <f t="shared" si="11"/>
        <v>Year 2023</v>
      </c>
      <c r="D48" s="92">
        <f t="shared" si="8"/>
        <v>-1244877.4542070988</v>
      </c>
      <c r="E48" s="105">
        <f t="shared" si="9"/>
        <v>0.0027399999999999998</v>
      </c>
      <c r="F48" s="87"/>
      <c r="G48" s="108">
        <f t="shared" si="5"/>
        <v>3410.9642245274504</v>
      </c>
      <c r="H48" s="104">
        <f t="shared" si="10"/>
        <v>-1248288.418431632</v>
      </c>
      <c r="I48" s="104">
        <f t="shared" si="6"/>
        <v>-5.8207660913467407E-09</v>
      </c>
    </row>
    <row r="49" spans="1:9" ht="20.1" customHeight="1">
      <c r="A49" s="549"/>
      <c r="B49" s="87"/>
      <c r="C49" s="87"/>
      <c r="D49" s="92"/>
      <c r="E49" s="105"/>
      <c r="F49" s="87"/>
      <c r="G49" s="104">
        <f>SUM(G37:G48)</f>
        <v>263407.66609126958</v>
      </c>
      <c r="H49" s="104"/>
      <c r="I49" s="104"/>
    </row>
    <row r="50" spans="1:9" ht="20.1" customHeight="1">
      <c r="A50" s="549"/>
      <c r="B50" s="110"/>
      <c r="C50" s="110"/>
      <c r="D50" s="110"/>
      <c r="E50" s="110"/>
      <c r="F50" s="110"/>
      <c r="G50" s="110"/>
      <c r="H50" s="110"/>
      <c r="I50" s="110"/>
    </row>
    <row r="51" spans="1:9" ht="20.1" customHeight="1">
      <c r="A51" s="549">
        <v>28</v>
      </c>
      <c r="B51" s="87" t="s">
        <v>338</v>
      </c>
      <c r="C51" s="110"/>
      <c r="D51" s="110"/>
      <c r="E51" s="110"/>
      <c r="F51" s="110"/>
      <c r="G51" s="110"/>
      <c r="H51" s="114">
        <f>SUM(H37:H48)</f>
        <v>-14979461.021179585</v>
      </c>
      <c r="I51" s="110"/>
    </row>
    <row r="52" spans="1:9" ht="20.1" customHeight="1">
      <c r="A52" s="549">
        <v>29</v>
      </c>
      <c r="B52" s="87" t="s">
        <v>336</v>
      </c>
      <c r="C52" s="110"/>
      <c r="D52" s="110"/>
      <c r="E52" s="110"/>
      <c r="F52" s="110"/>
      <c r="G52" s="110"/>
      <c r="H52" s="114">
        <f>+F10</f>
        <v>-13998283.091394823</v>
      </c>
      <c r="I52" s="110"/>
    </row>
    <row r="53" spans="1:9" ht="20.1" customHeight="1">
      <c r="A53" s="549">
        <v>30</v>
      </c>
      <c r="B53" s="87" t="s">
        <v>337</v>
      </c>
      <c r="C53" s="110"/>
      <c r="D53" s="110"/>
      <c r="E53" s="110"/>
      <c r="F53" s="110"/>
      <c r="G53" s="110"/>
      <c r="H53" s="114">
        <f>(H51-H52)</f>
        <v>-981177.92978476174</v>
      </c>
      <c r="I53" s="110"/>
    </row>
    <row r="54" spans="1:9" ht="20.1" customHeight="1">
      <c r="A54" s="549"/>
      <c r="B54" s="87"/>
      <c r="C54" s="110"/>
      <c r="D54" s="110"/>
      <c r="E54" s="110"/>
      <c r="F54" s="110"/>
      <c r="G54" s="110"/>
      <c r="H54" s="114"/>
      <c r="I54" s="110"/>
    </row>
    <row r="55" spans="1:10" ht="35.25" customHeight="1">
      <c r="A55" s="747" t="s">
        <v>260</v>
      </c>
      <c r="B55" s="1216" t="s">
        <v>903</v>
      </c>
      <c r="C55" s="1216"/>
      <c r="D55" s="1216"/>
      <c r="E55" s="1216"/>
      <c r="F55" s="1216"/>
      <c r="G55" s="1216"/>
      <c r="H55" s="1216"/>
      <c r="I55" s="1216"/>
      <c r="J55" s="1216"/>
    </row>
  </sheetData>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ignoredErrors>
    <ignoredError sqref="C10:F10 B10" unlocked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dimension ref="A1:M72"/>
  <sheetViews>
    <sheetView view="pageBreakPreview" zoomScale="90" zoomScaleNormal="90" zoomScaleSheetLayoutView="90" workbookViewId="0" topLeftCell="A1"/>
  </sheetViews>
  <sheetFormatPr defaultColWidth="8.88555555555556" defaultRowHeight="15"/>
  <cols>
    <col min="1" max="1" width="6.55555555555556" style="770" customWidth="1"/>
    <col min="2" max="2" width="82.5555555555556" style="770" customWidth="1"/>
    <col min="3" max="3" width="10.4444444444444" style="770" customWidth="1"/>
    <col min="4" max="4" width="10.2222222222222" style="770" customWidth="1"/>
    <col min="5" max="5" width="9" style="770" customWidth="1"/>
    <col min="6" max="6" width="9.88888888888889" style="770" customWidth="1"/>
    <col min="7" max="7" width="9.66666666666667" style="770" customWidth="1"/>
    <col min="8" max="8" width="21.1111111111111" style="770" customWidth="1"/>
    <col min="9" max="10" width="8.88888888888889" style="770"/>
    <col min="11" max="11" width="6" style="770" customWidth="1"/>
    <col min="12" max="16384" width="8.88888888888889" style="770"/>
  </cols>
  <sheetData>
    <row r="1" spans="1:13" ht="15.75">
      <c r="A1" s="798"/>
      <c r="B1" s="799"/>
      <c r="C1" s="799"/>
      <c r="D1" s="799"/>
      <c r="E1" s="798"/>
      <c r="F1" s="798"/>
      <c r="G1" s="798"/>
      <c r="H1" s="800" t="s">
        <v>703</v>
      </c>
      <c r="I1" s="799"/>
      <c r="J1" s="799"/>
      <c r="K1" s="800"/>
      <c r="L1" s="799"/>
      <c r="M1" s="799"/>
    </row>
    <row r="2" spans="1:13" ht="15.75">
      <c r="A2" s="798"/>
      <c r="B2" s="799"/>
      <c r="C2" s="799"/>
      <c r="D2" s="799"/>
      <c r="E2" s="798"/>
      <c r="F2" s="798"/>
      <c r="G2" s="798"/>
      <c r="H2" s="800" t="s">
        <v>221</v>
      </c>
      <c r="I2" s="799"/>
      <c r="J2" s="799"/>
      <c r="K2" s="800"/>
      <c r="L2" s="799"/>
      <c r="M2" s="799"/>
    </row>
    <row r="3" spans="1:13" ht="15.75">
      <c r="A3" s="798"/>
      <c r="B3" s="799"/>
      <c r="C3" s="799"/>
      <c r="D3" s="799"/>
      <c r="E3" s="798"/>
      <c r="F3" s="798"/>
      <c r="G3" s="801"/>
      <c r="H3" s="802" t="str">
        <f>'Attach 13a-TEC Rev Req True up'!J3</f>
        <v>For the 12 months ended 12/31/2021</v>
      </c>
      <c r="I3" s="799"/>
      <c r="J3" s="799"/>
      <c r="K3" s="802"/>
      <c r="L3" s="799"/>
      <c r="M3" s="799"/>
    </row>
    <row r="4" spans="1:13" ht="15.75">
      <c r="A4" s="803"/>
      <c r="B4" s="799"/>
      <c r="C4" s="801" t="s">
        <v>704</v>
      </c>
      <c r="D4" s="799"/>
      <c r="E4" s="801"/>
      <c r="F4" s="798"/>
      <c r="G4" s="798"/>
      <c r="H4" s="799"/>
      <c r="I4" s="799"/>
      <c r="J4" s="799"/>
      <c r="K4" s="799"/>
      <c r="L4" s="799"/>
      <c r="M4" s="799"/>
    </row>
    <row r="5" spans="1:13" ht="15.75">
      <c r="A5" s="798"/>
      <c r="B5" s="799"/>
      <c r="C5" s="804"/>
      <c r="D5" s="799"/>
      <c r="E5" s="798"/>
      <c r="F5" s="798"/>
      <c r="G5" s="798"/>
      <c r="H5" s="798"/>
      <c r="I5" s="798"/>
      <c r="J5" s="799"/>
      <c r="K5" s="798"/>
      <c r="L5" s="799"/>
      <c r="M5" s="799"/>
    </row>
    <row r="6" spans="1:13" ht="15.75">
      <c r="A6" s="798"/>
      <c r="B6" s="772" t="s">
        <v>972</v>
      </c>
      <c r="C6" s="772" t="s">
        <v>973</v>
      </c>
      <c r="D6" s="772" t="s">
        <v>974</v>
      </c>
      <c r="E6" s="772" t="s">
        <v>975</v>
      </c>
      <c r="F6" s="772" t="s">
        <v>990</v>
      </c>
      <c r="G6" s="772" t="s">
        <v>991</v>
      </c>
      <c r="H6" s="772" t="s">
        <v>992</v>
      </c>
      <c r="I6" s="801"/>
      <c r="J6" s="799"/>
      <c r="K6" s="799"/>
      <c r="L6" s="799"/>
      <c r="M6" s="799"/>
    </row>
    <row r="7" spans="1:13" ht="15.75">
      <c r="A7" s="798"/>
      <c r="B7" s="772"/>
      <c r="C7" s="772"/>
      <c r="D7" s="772"/>
      <c r="E7" s="772"/>
      <c r="F7" s="772"/>
      <c r="G7" s="772"/>
      <c r="H7" s="772"/>
      <c r="I7" s="801"/>
      <c r="J7" s="799"/>
      <c r="K7" s="799"/>
      <c r="L7" s="799"/>
      <c r="M7" s="799"/>
    </row>
    <row r="8" spans="1:13" ht="15.75">
      <c r="A8" s="798"/>
      <c r="B8" s="799"/>
      <c r="C8" s="772" t="s">
        <v>976</v>
      </c>
      <c r="D8" s="772" t="s">
        <v>976</v>
      </c>
      <c r="E8" s="772" t="s">
        <v>977</v>
      </c>
      <c r="F8" s="801"/>
      <c r="G8" s="801"/>
      <c r="H8" s="805"/>
      <c r="I8" s="799"/>
      <c r="J8" s="799"/>
      <c r="K8" s="799"/>
      <c r="L8" s="799"/>
      <c r="M8" s="799"/>
    </row>
    <row r="9" spans="1:13" ht="15.75">
      <c r="A9" s="806" t="s">
        <v>212</v>
      </c>
      <c r="B9" s="806" t="s">
        <v>908</v>
      </c>
      <c r="C9" s="1151" t="s">
        <v>1153</v>
      </c>
      <c r="D9" s="1151" t="s">
        <v>1270</v>
      </c>
      <c r="E9" s="779" t="s">
        <v>978</v>
      </c>
      <c r="F9" s="1219"/>
      <c r="G9" s="1219"/>
      <c r="H9" s="779"/>
      <c r="I9" s="799"/>
      <c r="J9" s="799"/>
      <c r="K9" s="799"/>
      <c r="L9" s="799"/>
      <c r="M9" s="799"/>
    </row>
    <row r="10" spans="1:13" ht="15.75">
      <c r="A10" s="807">
        <v>1</v>
      </c>
      <c r="B10" s="808" t="s">
        <v>996</v>
      </c>
      <c r="C10" s="809">
        <v>0</v>
      </c>
      <c r="D10" s="810">
        <v>0</v>
      </c>
      <c r="E10" s="811">
        <f>AVERAGE(C10:D10)</f>
        <v>0</v>
      </c>
      <c r="F10" s="812"/>
      <c r="G10" s="812"/>
      <c r="H10" s="813"/>
      <c r="I10" s="814"/>
      <c r="J10" s="799"/>
      <c r="K10" s="799"/>
      <c r="L10" s="799"/>
      <c r="M10" s="799"/>
    </row>
    <row r="11" spans="1:13" ht="15.75">
      <c r="A11" s="807">
        <f>A10+1</f>
        <v>2</v>
      </c>
      <c r="B11" s="808" t="s">
        <v>997</v>
      </c>
      <c r="C11" s="809">
        <v>0</v>
      </c>
      <c r="D11" s="810">
        <v>0</v>
      </c>
      <c r="E11" s="811">
        <f t="shared" si="0" ref="E11:E12">AVERAGE(C11:D11)</f>
        <v>0</v>
      </c>
      <c r="F11" s="812"/>
      <c r="G11" s="812"/>
      <c r="H11" s="813"/>
      <c r="I11" s="814"/>
      <c r="J11" s="799"/>
      <c r="K11" s="799"/>
      <c r="L11" s="799"/>
      <c r="M11" s="799"/>
    </row>
    <row r="12" spans="1:13" ht="15.75">
      <c r="A12" s="807">
        <f>A11+1</f>
        <v>3</v>
      </c>
      <c r="B12" s="815" t="s">
        <v>998</v>
      </c>
      <c r="C12" s="1092">
        <v>462319</v>
      </c>
      <c r="D12" s="1092">
        <v>480423</v>
      </c>
      <c r="E12" s="811">
        <f t="shared" si="0"/>
        <v>471371</v>
      </c>
      <c r="F12" s="812"/>
      <c r="G12" s="812"/>
      <c r="H12" s="813"/>
      <c r="I12" s="814"/>
      <c r="J12" s="799"/>
      <c r="K12" s="799"/>
      <c r="L12" s="799"/>
      <c r="M12" s="799"/>
    </row>
    <row r="13" spans="1:13" ht="15.75">
      <c r="A13" s="798"/>
      <c r="B13" s="799"/>
      <c r="C13" s="799"/>
      <c r="D13" s="799"/>
      <c r="E13" s="798"/>
      <c r="F13" s="798"/>
      <c r="G13" s="798"/>
      <c r="H13" s="799"/>
      <c r="I13" s="799"/>
      <c r="J13" s="799"/>
      <c r="K13" s="816"/>
      <c r="L13" s="799"/>
      <c r="M13" s="799"/>
    </row>
    <row r="14" spans="1:13" ht="15.75">
      <c r="A14" s="798"/>
      <c r="B14" s="801"/>
      <c r="C14" s="801" t="s">
        <v>999</v>
      </c>
      <c r="D14" s="801"/>
      <c r="E14" s="798"/>
      <c r="I14" s="799"/>
      <c r="J14" s="799"/>
      <c r="K14" s="817"/>
      <c r="L14" s="799"/>
      <c r="M14" s="799"/>
    </row>
    <row r="15" spans="1:8" ht="15">
      <c r="A15" s="772"/>
      <c r="B15" s="772"/>
      <c r="C15" s="772"/>
      <c r="D15" s="772"/>
      <c r="E15" s="772"/>
      <c r="F15" s="772"/>
      <c r="G15" s="772"/>
      <c r="H15" s="772"/>
    </row>
    <row r="16" spans="1:8" ht="15">
      <c r="A16" s="772"/>
      <c r="B16" s="772"/>
      <c r="C16" s="772" t="s">
        <v>976</v>
      </c>
      <c r="D16" s="772" t="s">
        <v>976</v>
      </c>
      <c r="E16" s="772" t="s">
        <v>977</v>
      </c>
      <c r="H16" s="805" t="s">
        <v>993</v>
      </c>
    </row>
    <row r="17" spans="1:8" ht="15">
      <c r="A17" s="806" t="s">
        <v>212</v>
      </c>
      <c r="B17" s="806" t="s">
        <v>908</v>
      </c>
      <c r="C17" s="779" t="str">
        <f>C9</f>
        <v>OF 12-31-20</v>
      </c>
      <c r="D17" s="779" t="str">
        <f>D9</f>
        <v>OF 12-31-21</v>
      </c>
      <c r="E17" s="779" t="s">
        <v>978</v>
      </c>
      <c r="F17" s="1219" t="s">
        <v>994</v>
      </c>
      <c r="G17" s="1219"/>
      <c r="H17" s="779" t="s">
        <v>995</v>
      </c>
    </row>
    <row r="18" spans="1:8" ht="15">
      <c r="A18" s="818"/>
      <c r="B18" s="1220" t="s">
        <v>1000</v>
      </c>
      <c r="C18" s="1220"/>
      <c r="D18" s="1220"/>
      <c r="E18" s="1220"/>
      <c r="F18" s="1220"/>
      <c r="G18" s="1220"/>
      <c r="H18" s="1220"/>
    </row>
    <row r="19" spans="1:8" ht="15">
      <c r="A19" s="772" t="s">
        <v>569</v>
      </c>
      <c r="B19" s="770" t="s">
        <v>1001</v>
      </c>
      <c r="C19" s="819">
        <v>0</v>
      </c>
      <c r="D19" s="819">
        <v>0</v>
      </c>
      <c r="E19" s="770">
        <f>AVERAGE(C19:D19)</f>
        <v>0</v>
      </c>
      <c r="F19" s="770" t="s">
        <v>60</v>
      </c>
      <c r="G19" s="820">
        <f>'Attachment H-28A MAIT '!$G$61</f>
        <v>1</v>
      </c>
      <c r="H19" s="770">
        <f>G19*E19</f>
        <v>0</v>
      </c>
    </row>
    <row r="20" spans="1:8" ht="15">
      <c r="A20" s="772" t="s">
        <v>1002</v>
      </c>
      <c r="B20" s="819" t="s">
        <v>1003</v>
      </c>
      <c r="C20" s="819">
        <v>0</v>
      </c>
      <c r="D20" s="819">
        <v>0</v>
      </c>
      <c r="E20" s="770">
        <f>AVERAGE(C20:D20)</f>
        <v>0</v>
      </c>
      <c r="F20" s="770" t="s">
        <v>982</v>
      </c>
      <c r="G20" s="770">
        <v>0</v>
      </c>
      <c r="H20" s="770">
        <f>G20*E20</f>
        <v>0</v>
      </c>
    </row>
    <row r="21" spans="1:8" ht="15">
      <c r="A21" s="772" t="s">
        <v>1004</v>
      </c>
      <c r="B21" s="819" t="s">
        <v>1003</v>
      </c>
      <c r="C21" s="819">
        <v>0</v>
      </c>
      <c r="D21" s="819">
        <v>0</v>
      </c>
      <c r="E21" s="770">
        <f>AVERAGE(C21:D21)</f>
        <v>0</v>
      </c>
      <c r="F21" s="770" t="s">
        <v>982</v>
      </c>
      <c r="G21" s="770">
        <v>0</v>
      </c>
      <c r="H21" s="806">
        <f>G21*E21</f>
        <v>0</v>
      </c>
    </row>
    <row r="22" spans="1:8" ht="15">
      <c r="A22" s="772" t="s">
        <v>636</v>
      </c>
      <c r="B22" s="770" t="s">
        <v>1005</v>
      </c>
      <c r="C22" s="769">
        <f>SUM(C19:C21)</f>
        <v>0</v>
      </c>
      <c r="D22" s="769">
        <f>SUM(D19:D21)</f>
        <v>0</v>
      </c>
      <c r="H22" s="770">
        <f>SUM(H19:H21)</f>
        <v>0</v>
      </c>
    </row>
    <row r="23" spans="1:1" ht="15">
      <c r="A23" s="772" t="str">
        <f>IF(H23&lt;&gt;"",COUNTA($H$19:H23),"")</f>
        <v/>
      </c>
    </row>
    <row r="24" spans="1:8" ht="15">
      <c r="A24" s="772" t="str">
        <f>IF(H24&lt;&gt;"",COUNTA($H$19:H24),"")</f>
        <v/>
      </c>
      <c r="B24" s="1218" t="s">
        <v>1006</v>
      </c>
      <c r="C24" s="1218"/>
      <c r="D24" s="1218"/>
      <c r="E24" s="1218"/>
      <c r="F24" s="1218"/>
      <c r="G24" s="1218"/>
      <c r="H24" s="1218"/>
    </row>
    <row r="25" spans="1:8" ht="15">
      <c r="A25" s="772" t="s">
        <v>630</v>
      </c>
      <c r="B25" s="770" t="s">
        <v>1007</v>
      </c>
      <c r="C25" s="819">
        <v>0</v>
      </c>
      <c r="D25" s="819">
        <v>0</v>
      </c>
      <c r="E25" s="770">
        <f>AVERAGE(C25:D25)</f>
        <v>0</v>
      </c>
      <c r="F25" s="770" t="s">
        <v>39</v>
      </c>
      <c r="G25" s="820">
        <f>'Attachment H-28A MAIT '!$I$233</f>
        <v>1</v>
      </c>
      <c r="H25" s="770">
        <f>G25*E25</f>
        <v>0</v>
      </c>
    </row>
    <row r="26" spans="1:8" ht="15">
      <c r="A26" s="772" t="s">
        <v>631</v>
      </c>
      <c r="B26" s="770" t="s">
        <v>1008</v>
      </c>
      <c r="C26" s="819">
        <v>0</v>
      </c>
      <c r="D26" s="819">
        <v>0</v>
      </c>
      <c r="E26" s="770">
        <f t="shared" si="1" ref="E26:E27">AVERAGE(C26:D26)</f>
        <v>0</v>
      </c>
      <c r="F26" s="770" t="s">
        <v>39</v>
      </c>
      <c r="G26" s="820">
        <f>'Attachment H-28A MAIT '!$I$233</f>
        <v>1</v>
      </c>
      <c r="H26" s="770">
        <f t="shared" si="2" ref="H26:H27">G26*E26</f>
        <v>0</v>
      </c>
    </row>
    <row r="27" spans="1:8" ht="15">
      <c r="A27" s="772" t="s">
        <v>632</v>
      </c>
      <c r="B27" s="770" t="s">
        <v>1009</v>
      </c>
      <c r="C27" s="1106">
        <v>0</v>
      </c>
      <c r="D27" s="1106">
        <v>25000</v>
      </c>
      <c r="E27" s="1080">
        <f t="shared" si="1"/>
        <v>12500</v>
      </c>
      <c r="F27" s="770" t="s">
        <v>60</v>
      </c>
      <c r="G27" s="820">
        <f>'Attachment H-28A MAIT '!$G$61</f>
        <v>1</v>
      </c>
      <c r="H27" s="770">
        <f t="shared" si="2"/>
        <v>12500</v>
      </c>
    </row>
    <row r="28" spans="1:8" ht="15">
      <c r="A28" s="772" t="s">
        <v>1010</v>
      </c>
      <c r="B28" s="819" t="s">
        <v>1011</v>
      </c>
      <c r="C28" s="819">
        <v>0</v>
      </c>
      <c r="D28" s="819">
        <v>0</v>
      </c>
      <c r="E28" s="770">
        <f>AVERAGE(C28:D28)</f>
        <v>0</v>
      </c>
      <c r="F28" s="770" t="s">
        <v>982</v>
      </c>
      <c r="G28" s="770">
        <v>0</v>
      </c>
      <c r="H28" s="770">
        <f>G28*E28</f>
        <v>0</v>
      </c>
    </row>
    <row r="29" spans="1:8" ht="15">
      <c r="A29" s="772" t="s">
        <v>1012</v>
      </c>
      <c r="B29" s="819" t="s">
        <v>1011</v>
      </c>
      <c r="C29" s="819">
        <v>0</v>
      </c>
      <c r="D29" s="819">
        <v>0</v>
      </c>
      <c r="E29" s="770">
        <f>AVERAGE(C29:D29)</f>
        <v>0</v>
      </c>
      <c r="F29" s="770" t="s">
        <v>982</v>
      </c>
      <c r="G29" s="770">
        <v>0</v>
      </c>
      <c r="H29" s="806">
        <f>G29*E29</f>
        <v>0</v>
      </c>
    </row>
    <row r="30" spans="1:8" ht="15">
      <c r="A30" s="772" t="s">
        <v>637</v>
      </c>
      <c r="B30" s="770" t="s">
        <v>1013</v>
      </c>
      <c r="C30" s="1081">
        <f>SUM(C25:C29)</f>
        <v>0</v>
      </c>
      <c r="D30" s="1081">
        <f>SUM(D25:D29)</f>
        <v>25000</v>
      </c>
      <c r="H30" s="770">
        <f>SUM(H25:H29)</f>
        <v>12500</v>
      </c>
    </row>
    <row r="31" spans="1:1" ht="15">
      <c r="A31" s="772" t="str">
        <f>IF(H31&lt;&gt;"",COUNTA($H$19:H31),"")</f>
        <v/>
      </c>
    </row>
    <row r="32" spans="1:8" ht="15">
      <c r="A32" s="772" t="str">
        <f>IF(H32&lt;&gt;"",COUNTA($H$19:H32),"")</f>
        <v/>
      </c>
      <c r="B32" s="1218" t="s">
        <v>1014</v>
      </c>
      <c r="C32" s="1218"/>
      <c r="D32" s="1218"/>
      <c r="E32" s="1218"/>
      <c r="F32" s="1218"/>
      <c r="G32" s="1218"/>
      <c r="H32" s="1218"/>
    </row>
    <row r="33" spans="1:8" ht="15">
      <c r="A33" s="772" t="s">
        <v>1015</v>
      </c>
      <c r="B33" s="770" t="s">
        <v>1016</v>
      </c>
      <c r="C33" s="819">
        <v>0</v>
      </c>
      <c r="D33" s="819">
        <v>0</v>
      </c>
      <c r="E33" s="770">
        <f t="shared" si="3" ref="E33:E38">AVERAGE(C33:D33)</f>
        <v>0</v>
      </c>
      <c r="F33" s="770" t="s">
        <v>39</v>
      </c>
      <c r="G33" s="820">
        <f>'Attachment H-28A MAIT '!$I$233</f>
        <v>1</v>
      </c>
      <c r="H33" s="770">
        <f t="shared" si="4" ref="H33:H38">G33*E33</f>
        <v>0</v>
      </c>
    </row>
    <row r="34" spans="1:8" ht="15">
      <c r="A34" s="772" t="s">
        <v>1017</v>
      </c>
      <c r="B34" s="770" t="s">
        <v>1018</v>
      </c>
      <c r="C34" s="819">
        <v>0</v>
      </c>
      <c r="D34" s="819">
        <v>0</v>
      </c>
      <c r="E34" s="770">
        <f t="shared" si="3"/>
        <v>0</v>
      </c>
      <c r="F34" s="770" t="s">
        <v>39</v>
      </c>
      <c r="G34" s="820">
        <f>'Attachment H-28A MAIT '!$I$233</f>
        <v>1</v>
      </c>
      <c r="H34" s="770">
        <f t="shared" si="4"/>
        <v>0</v>
      </c>
    </row>
    <row r="35" spans="1:8" ht="15">
      <c r="A35" s="772" t="s">
        <v>1019</v>
      </c>
      <c r="B35" s="770" t="s">
        <v>1020</v>
      </c>
      <c r="C35" s="819">
        <v>0</v>
      </c>
      <c r="D35" s="819">
        <v>0</v>
      </c>
      <c r="E35" s="770">
        <f t="shared" si="3"/>
        <v>0</v>
      </c>
      <c r="F35" s="770" t="s">
        <v>39</v>
      </c>
      <c r="G35" s="820">
        <f>'Attachment H-28A MAIT '!$I$233</f>
        <v>1</v>
      </c>
      <c r="H35" s="770">
        <f t="shared" si="4"/>
        <v>0</v>
      </c>
    </row>
    <row r="36" spans="1:8" ht="15">
      <c r="A36" s="772" t="s">
        <v>1021</v>
      </c>
      <c r="B36" s="770" t="s">
        <v>1022</v>
      </c>
      <c r="C36" s="819">
        <v>0</v>
      </c>
      <c r="D36" s="819">
        <v>0</v>
      </c>
      <c r="E36" s="770">
        <f t="shared" si="3"/>
        <v>0</v>
      </c>
      <c r="F36" s="770" t="s">
        <v>39</v>
      </c>
      <c r="G36" s="820">
        <f>'Attachment H-28A MAIT '!$I$233</f>
        <v>1</v>
      </c>
      <c r="H36" s="770">
        <f t="shared" si="4"/>
        <v>0</v>
      </c>
    </row>
    <row r="37" spans="1:8" ht="15">
      <c r="A37" s="772" t="s">
        <v>1023</v>
      </c>
      <c r="B37" s="770" t="s">
        <v>1024</v>
      </c>
      <c r="C37" s="819">
        <v>0</v>
      </c>
      <c r="D37" s="819">
        <v>0</v>
      </c>
      <c r="E37" s="770">
        <f t="shared" si="3"/>
        <v>0</v>
      </c>
      <c r="F37" s="770" t="s">
        <v>39</v>
      </c>
      <c r="G37" s="820">
        <f>'Attachment H-28A MAIT '!$I$233</f>
        <v>1</v>
      </c>
      <c r="H37" s="770">
        <f t="shared" si="4"/>
        <v>0</v>
      </c>
    </row>
    <row r="38" spans="1:8" ht="15">
      <c r="A38" s="772" t="s">
        <v>1025</v>
      </c>
      <c r="B38" s="770" t="s">
        <v>1026</v>
      </c>
      <c r="C38" s="819">
        <v>0</v>
      </c>
      <c r="D38" s="819">
        <v>0</v>
      </c>
      <c r="E38" s="770">
        <f t="shared" si="3"/>
        <v>0</v>
      </c>
      <c r="F38" s="770" t="s">
        <v>39</v>
      </c>
      <c r="G38" s="820">
        <f>'Attachment H-28A MAIT '!$I$233</f>
        <v>1</v>
      </c>
      <c r="H38" s="770">
        <f t="shared" si="4"/>
        <v>0</v>
      </c>
    </row>
    <row r="39" spans="1:8" ht="15">
      <c r="A39" s="772" t="s">
        <v>1027</v>
      </c>
      <c r="B39" s="819" t="s">
        <v>1028</v>
      </c>
      <c r="C39" s="819">
        <v>0</v>
      </c>
      <c r="D39" s="819">
        <v>0</v>
      </c>
      <c r="E39" s="770">
        <f>AVERAGE(C39:D39)</f>
        <v>0</v>
      </c>
      <c r="F39" s="770" t="s">
        <v>982</v>
      </c>
      <c r="G39" s="770">
        <v>0</v>
      </c>
      <c r="H39" s="770">
        <f>G39*E39</f>
        <v>0</v>
      </c>
    </row>
    <row r="40" spans="1:8" ht="15">
      <c r="A40" s="772" t="s">
        <v>1029</v>
      </c>
      <c r="B40" s="819" t="s">
        <v>1028</v>
      </c>
      <c r="C40" s="819">
        <v>0</v>
      </c>
      <c r="D40" s="819">
        <v>0</v>
      </c>
      <c r="E40" s="770">
        <f>AVERAGE(C40:D40)</f>
        <v>0</v>
      </c>
      <c r="F40" s="770" t="s">
        <v>982</v>
      </c>
      <c r="G40" s="770">
        <v>0</v>
      </c>
      <c r="H40" s="806">
        <f>G40*E40</f>
        <v>0</v>
      </c>
    </row>
    <row r="41" spans="1:8" ht="15">
      <c r="A41" s="772" t="s">
        <v>638</v>
      </c>
      <c r="B41" s="770" t="s">
        <v>1030</v>
      </c>
      <c r="C41" s="769">
        <f>SUM(C33:C40)</f>
        <v>0</v>
      </c>
      <c r="D41" s="769">
        <f>SUM(D33:D40)</f>
        <v>0</v>
      </c>
      <c r="H41" s="770">
        <f>SUM(H33:H40)</f>
        <v>0</v>
      </c>
    </row>
    <row r="42" spans="1:1" ht="15">
      <c r="A42" s="772" t="str">
        <f>IF(H42&lt;&gt;"",COUNTA($H$19:H42),"")</f>
        <v/>
      </c>
    </row>
    <row r="43" spans="1:8" ht="15">
      <c r="A43" s="772" t="str">
        <f>IF(H43&lt;&gt;"",COUNTA($H$19:H43),"")</f>
        <v/>
      </c>
      <c r="B43" s="1218" t="s">
        <v>1031</v>
      </c>
      <c r="C43" s="1218"/>
      <c r="D43" s="1218"/>
      <c r="E43" s="1218"/>
      <c r="F43" s="1218"/>
      <c r="G43" s="1218"/>
      <c r="H43" s="1218"/>
    </row>
    <row r="44" spans="1:8" ht="15">
      <c r="A44" s="772" t="s">
        <v>1032</v>
      </c>
      <c r="B44" s="770" t="s">
        <v>1016</v>
      </c>
      <c r="C44" s="819">
        <v>0</v>
      </c>
      <c r="D44" s="819">
        <v>0</v>
      </c>
      <c r="E44" s="770">
        <f t="shared" si="5" ref="E44:E49">AVERAGE(C44:D44)</f>
        <v>0</v>
      </c>
      <c r="F44" s="770" t="s">
        <v>39</v>
      </c>
      <c r="G44" s="820">
        <f>'Attachment H-28A MAIT '!$I$233</f>
        <v>1</v>
      </c>
      <c r="H44" s="770">
        <f t="shared" si="6" ref="H44:H49">G44*E44</f>
        <v>0</v>
      </c>
    </row>
    <row r="45" spans="1:8" ht="15">
      <c r="A45" s="772" t="s">
        <v>1033</v>
      </c>
      <c r="B45" s="770" t="s">
        <v>1018</v>
      </c>
      <c r="C45" s="819">
        <v>0</v>
      </c>
      <c r="D45" s="819">
        <v>0</v>
      </c>
      <c r="E45" s="770">
        <f t="shared" si="5"/>
        <v>0</v>
      </c>
      <c r="F45" s="770" t="s">
        <v>39</v>
      </c>
      <c r="G45" s="820">
        <f>'Attachment H-28A MAIT '!$I$233</f>
        <v>1</v>
      </c>
      <c r="H45" s="770">
        <f t="shared" si="6"/>
        <v>0</v>
      </c>
    </row>
    <row r="46" spans="1:8" ht="15">
      <c r="A46" s="772" t="s">
        <v>1034</v>
      </c>
      <c r="B46" s="770" t="s">
        <v>1020</v>
      </c>
      <c r="C46" s="819">
        <v>0</v>
      </c>
      <c r="D46" s="819">
        <v>0</v>
      </c>
      <c r="E46" s="770">
        <f t="shared" si="5"/>
        <v>0</v>
      </c>
      <c r="F46" s="770" t="s">
        <v>39</v>
      </c>
      <c r="G46" s="820">
        <f>'Attachment H-28A MAIT '!$I$233</f>
        <v>1</v>
      </c>
      <c r="H46" s="770">
        <f t="shared" si="6"/>
        <v>0</v>
      </c>
    </row>
    <row r="47" spans="1:8" ht="15">
      <c r="A47" s="772" t="s">
        <v>1035</v>
      </c>
      <c r="B47" s="770" t="s">
        <v>1022</v>
      </c>
      <c r="C47" s="819">
        <v>0</v>
      </c>
      <c r="D47" s="819">
        <v>0</v>
      </c>
      <c r="E47" s="770">
        <f t="shared" si="5"/>
        <v>0</v>
      </c>
      <c r="F47" s="770" t="s">
        <v>39</v>
      </c>
      <c r="G47" s="820">
        <f>'Attachment H-28A MAIT '!$I$233</f>
        <v>1</v>
      </c>
      <c r="H47" s="770">
        <f t="shared" si="6"/>
        <v>0</v>
      </c>
    </row>
    <row r="48" spans="1:8" ht="15">
      <c r="A48" s="772" t="s">
        <v>1036</v>
      </c>
      <c r="B48" s="770" t="s">
        <v>1024</v>
      </c>
      <c r="C48" s="819">
        <v>0</v>
      </c>
      <c r="D48" s="819">
        <v>0</v>
      </c>
      <c r="E48" s="770">
        <f t="shared" si="5"/>
        <v>0</v>
      </c>
      <c r="F48" s="770" t="s">
        <v>39</v>
      </c>
      <c r="G48" s="820">
        <f>'Attachment H-28A MAIT '!$I$233</f>
        <v>1</v>
      </c>
      <c r="H48" s="770">
        <f t="shared" si="6"/>
        <v>0</v>
      </c>
    </row>
    <row r="49" spans="1:8" ht="15">
      <c r="A49" s="772" t="s">
        <v>1037</v>
      </c>
      <c r="B49" s="770" t="s">
        <v>1026</v>
      </c>
      <c r="C49" s="819">
        <v>0</v>
      </c>
      <c r="D49" s="819">
        <v>0</v>
      </c>
      <c r="E49" s="770">
        <f t="shared" si="5"/>
        <v>0</v>
      </c>
      <c r="F49" s="770" t="s">
        <v>39</v>
      </c>
      <c r="G49" s="820">
        <f>'Attachment H-28A MAIT '!$I$233</f>
        <v>1</v>
      </c>
      <c r="H49" s="770">
        <f t="shared" si="6"/>
        <v>0</v>
      </c>
    </row>
    <row r="50" spans="1:8" ht="15">
      <c r="A50" s="772" t="s">
        <v>1038</v>
      </c>
      <c r="B50" s="819" t="s">
        <v>1039</v>
      </c>
      <c r="C50" s="819">
        <v>0</v>
      </c>
      <c r="D50" s="819">
        <v>0</v>
      </c>
      <c r="E50" s="770">
        <f>AVERAGE(C50:D50)</f>
        <v>0</v>
      </c>
      <c r="F50" s="770" t="s">
        <v>982</v>
      </c>
      <c r="G50" s="770">
        <v>0</v>
      </c>
      <c r="H50" s="770">
        <f>G50*E50</f>
        <v>0</v>
      </c>
    </row>
    <row r="51" spans="1:8" ht="15">
      <c r="A51" s="772" t="s">
        <v>1040</v>
      </c>
      <c r="B51" s="819" t="s">
        <v>1039</v>
      </c>
      <c r="C51" s="819">
        <v>0</v>
      </c>
      <c r="D51" s="819">
        <v>0</v>
      </c>
      <c r="E51" s="770">
        <f>AVERAGE(C51:D51)</f>
        <v>0</v>
      </c>
      <c r="F51" s="770" t="s">
        <v>982</v>
      </c>
      <c r="G51" s="770">
        <v>0</v>
      </c>
      <c r="H51" s="806">
        <f>G51*E51</f>
        <v>0</v>
      </c>
    </row>
    <row r="52" spans="1:8" ht="15">
      <c r="A52" s="772" t="s">
        <v>1041</v>
      </c>
      <c r="B52" s="770" t="s">
        <v>1042</v>
      </c>
      <c r="C52" s="769">
        <f>SUM(C44:C51)</f>
        <v>0</v>
      </c>
      <c r="D52" s="769">
        <f>SUM(D44:D51)</f>
        <v>0</v>
      </c>
      <c r="H52" s="770">
        <f>SUM(H44:H51)</f>
        <v>0</v>
      </c>
    </row>
    <row r="53" spans="1:1" ht="15">
      <c r="A53" s="772" t="str">
        <f>IF(H53&lt;&gt;"",COUNTA($H$19:H53),"")</f>
        <v/>
      </c>
    </row>
    <row r="54" spans="1:8" ht="15">
      <c r="A54" s="772" t="str">
        <f>IF(H54&lt;&gt;"",COUNTA($H$19:H54),"")</f>
        <v/>
      </c>
      <c r="B54" s="1218" t="s">
        <v>1043</v>
      </c>
      <c r="C54" s="1218"/>
      <c r="D54" s="1218"/>
      <c r="E54" s="1218"/>
      <c r="F54" s="1218"/>
      <c r="G54" s="1218"/>
      <c r="H54" s="1218"/>
    </row>
    <row r="55" spans="1:8" ht="15">
      <c r="A55" s="772" t="s">
        <v>1044</v>
      </c>
      <c r="B55" s="770" t="s">
        <v>1016</v>
      </c>
      <c r="C55" s="819">
        <v>0</v>
      </c>
      <c r="D55" s="819">
        <v>0</v>
      </c>
      <c r="E55" s="1080">
        <f t="shared" si="7" ref="E55:E60">AVERAGE(C55:D55)</f>
        <v>0</v>
      </c>
      <c r="F55" s="770" t="s">
        <v>39</v>
      </c>
      <c r="G55" s="820">
        <f>'Attachment H-28A MAIT '!$I$233</f>
        <v>1</v>
      </c>
      <c r="H55" s="1080">
        <f t="shared" si="8" ref="H55:H60">G55*E55</f>
        <v>0</v>
      </c>
    </row>
    <row r="56" spans="1:8" ht="15">
      <c r="A56" s="772" t="s">
        <v>1045</v>
      </c>
      <c r="B56" s="770" t="s">
        <v>1018</v>
      </c>
      <c r="C56" s="819">
        <v>0</v>
      </c>
      <c r="D56" s="819">
        <v>0</v>
      </c>
      <c r="E56" s="770">
        <f t="shared" si="7"/>
        <v>0</v>
      </c>
      <c r="F56" s="770" t="s">
        <v>39</v>
      </c>
      <c r="G56" s="820">
        <f>'Attachment H-28A MAIT '!$I$233</f>
        <v>1</v>
      </c>
      <c r="H56" s="1080">
        <f t="shared" si="8"/>
        <v>0</v>
      </c>
    </row>
    <row r="57" spans="1:8" ht="15">
      <c r="A57" s="772" t="s">
        <v>1046</v>
      </c>
      <c r="B57" s="770" t="s">
        <v>1020</v>
      </c>
      <c r="C57" s="819">
        <v>0</v>
      </c>
      <c r="D57" s="819">
        <v>0</v>
      </c>
      <c r="E57" s="770">
        <f t="shared" si="7"/>
        <v>0</v>
      </c>
      <c r="F57" s="770" t="s">
        <v>39</v>
      </c>
      <c r="G57" s="820">
        <f>'Attachment H-28A MAIT '!$I$233</f>
        <v>1</v>
      </c>
      <c r="H57" s="1080">
        <f t="shared" si="8"/>
        <v>0</v>
      </c>
    </row>
    <row r="58" spans="1:8" ht="15">
      <c r="A58" s="772" t="s">
        <v>1047</v>
      </c>
      <c r="B58" s="770" t="s">
        <v>1022</v>
      </c>
      <c r="C58" s="819">
        <v>0</v>
      </c>
      <c r="D58" s="819">
        <v>0</v>
      </c>
      <c r="E58" s="770">
        <f t="shared" si="7"/>
        <v>0</v>
      </c>
      <c r="F58" s="770" t="s">
        <v>39</v>
      </c>
      <c r="G58" s="820">
        <f>'Attachment H-28A MAIT '!$I$233</f>
        <v>1</v>
      </c>
      <c r="H58" s="1080">
        <f t="shared" si="8"/>
        <v>0</v>
      </c>
    </row>
    <row r="59" spans="1:8" ht="15">
      <c r="A59" s="772" t="s">
        <v>1048</v>
      </c>
      <c r="B59" s="770" t="s">
        <v>1024</v>
      </c>
      <c r="C59" s="819">
        <v>0</v>
      </c>
      <c r="D59" s="819">
        <v>0</v>
      </c>
      <c r="E59" s="770">
        <f t="shared" si="7"/>
        <v>0</v>
      </c>
      <c r="F59" s="770" t="s">
        <v>39</v>
      </c>
      <c r="G59" s="820">
        <f>'Attachment H-28A MAIT '!$I$233</f>
        <v>1</v>
      </c>
      <c r="H59" s="1080">
        <f t="shared" si="8"/>
        <v>0</v>
      </c>
    </row>
    <row r="60" spans="1:8" ht="15">
      <c r="A60" s="772" t="s">
        <v>1049</v>
      </c>
      <c r="B60" s="770" t="s">
        <v>1026</v>
      </c>
      <c r="C60" s="819">
        <v>0</v>
      </c>
      <c r="D60" s="819">
        <v>0</v>
      </c>
      <c r="E60" s="770">
        <f t="shared" si="7"/>
        <v>0</v>
      </c>
      <c r="F60" s="770" t="s">
        <v>39</v>
      </c>
      <c r="G60" s="820">
        <f>'Attachment H-28A MAIT '!$I$233</f>
        <v>1</v>
      </c>
      <c r="H60" s="1080">
        <f t="shared" si="8"/>
        <v>0</v>
      </c>
    </row>
    <row r="61" spans="1:8" ht="15">
      <c r="A61" s="772" t="s">
        <v>1050</v>
      </c>
      <c r="B61" s="819" t="s">
        <v>1129</v>
      </c>
      <c r="C61" s="1106">
        <v>94924</v>
      </c>
      <c r="D61" s="1106">
        <v>201250</v>
      </c>
      <c r="E61" s="1080">
        <f>AVERAGE(C61:D61)</f>
        <v>148087</v>
      </c>
      <c r="F61" s="770" t="s">
        <v>982</v>
      </c>
      <c r="G61" s="770">
        <v>0</v>
      </c>
      <c r="H61" s="1080">
        <f>G61*E61</f>
        <v>0</v>
      </c>
    </row>
    <row r="62" spans="1:8" ht="15">
      <c r="A62" s="772" t="s">
        <v>1052</v>
      </c>
      <c r="B62" s="819" t="s">
        <v>1051</v>
      </c>
      <c r="C62" s="819">
        <v>0</v>
      </c>
      <c r="D62" s="819">
        <v>0</v>
      </c>
      <c r="E62" s="770">
        <f>AVERAGE(C62:D62)</f>
        <v>0</v>
      </c>
      <c r="F62" s="770" t="s">
        <v>982</v>
      </c>
      <c r="G62" s="770">
        <v>0</v>
      </c>
      <c r="H62" s="1082">
        <f>G62*E62</f>
        <v>0</v>
      </c>
    </row>
    <row r="63" spans="1:8" ht="15">
      <c r="A63" s="772" t="s">
        <v>1053</v>
      </c>
      <c r="B63" s="770" t="s">
        <v>1054</v>
      </c>
      <c r="C63" s="1081">
        <f>SUM(C55:C62)</f>
        <v>94924</v>
      </c>
      <c r="D63" s="1081">
        <f>SUM(D55:D62)</f>
        <v>201250</v>
      </c>
      <c r="H63" s="1080">
        <f>SUM(H55:H62)</f>
        <v>0</v>
      </c>
    </row>
    <row r="64" spans="8:8" ht="15">
      <c r="H64" s="1080"/>
    </row>
    <row r="65" spans="1:8" ht="15">
      <c r="A65" s="770">
        <v>9</v>
      </c>
      <c r="B65" s="770" t="s">
        <v>1055</v>
      </c>
      <c r="C65" s="770">
        <f>C19+C27</f>
        <v>0</v>
      </c>
      <c r="D65" s="770">
        <f>D19+D27</f>
        <v>25000</v>
      </c>
      <c r="E65" s="770">
        <f>AVERAGE(C65:D65)</f>
        <v>12500</v>
      </c>
      <c r="F65" s="770" t="s">
        <v>60</v>
      </c>
      <c r="G65" s="820">
        <f>'Attachment H-28A MAIT '!$G$61</f>
        <v>1</v>
      </c>
      <c r="H65" s="1080">
        <f>E65*G65</f>
        <v>12500</v>
      </c>
    </row>
    <row r="66" spans="1:8" ht="15">
      <c r="A66" s="770">
        <v>10</v>
      </c>
      <c r="B66" s="770" t="s">
        <v>1056</v>
      </c>
      <c r="C66" s="770">
        <f>C25+C26+SUM(C33:C38)+SUM(C44:C49)+SUM(C55:C60)</f>
        <v>0</v>
      </c>
      <c r="D66" s="1080">
        <f>D25+D26+SUM(D33:D38)+SUM(D44:D49)+SUM(D55:D60)</f>
        <v>0</v>
      </c>
      <c r="E66" s="1080">
        <f>AVERAGE(C66:D66)</f>
        <v>0</v>
      </c>
      <c r="F66" s="770" t="s">
        <v>39</v>
      </c>
      <c r="G66" s="820">
        <f>'Attachment H-28A MAIT '!$I$233</f>
        <v>1</v>
      </c>
      <c r="H66" s="1080">
        <f>E66*G66</f>
        <v>0</v>
      </c>
    </row>
    <row r="68" spans="1:1" ht="15">
      <c r="A68" s="770" t="s">
        <v>261</v>
      </c>
    </row>
    <row r="69" spans="1:2" ht="15">
      <c r="A69" s="821" t="s">
        <v>260</v>
      </c>
      <c r="B69" s="815" t="s">
        <v>779</v>
      </c>
    </row>
    <row r="70" spans="1:7" ht="15">
      <c r="A70" s="821" t="s">
        <v>274</v>
      </c>
      <c r="B70" s="770" t="s">
        <v>1057</v>
      </c>
      <c r="C70" s="769"/>
      <c r="D70" s="769"/>
      <c r="E70" s="769"/>
      <c r="F70" s="769"/>
      <c r="G70" s="769"/>
    </row>
    <row r="71" spans="1:7" ht="15">
      <c r="A71" s="821" t="s">
        <v>344</v>
      </c>
      <c r="B71" s="770" t="s">
        <v>1058</v>
      </c>
      <c r="C71" s="769"/>
      <c r="D71" s="769"/>
      <c r="E71" s="769"/>
      <c r="F71" s="769"/>
      <c r="G71" s="769"/>
    </row>
    <row r="72" spans="1:12" ht="33" customHeight="1">
      <c r="A72" s="1104"/>
      <c r="B72" s="1217"/>
      <c r="C72" s="1217"/>
      <c r="D72" s="1217"/>
      <c r="E72" s="1217"/>
      <c r="F72" s="1217"/>
      <c r="G72" s="1217"/>
      <c r="H72" s="1217"/>
      <c r="I72" s="1103"/>
      <c r="J72" s="1103"/>
      <c r="K72" s="1103"/>
      <c r="L72" s="1103"/>
    </row>
  </sheetData>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80" zoomScaleNormal="90" zoomScaleSheetLayoutView="80" workbookViewId="0" topLeftCell="A1"/>
  </sheetViews>
  <sheetFormatPr defaultRowHeight="15.75"/>
  <cols>
    <col min="1" max="1" width="2.44444444444444" style="282" customWidth="1"/>
    <col min="2" max="2" width="45.3333333333333" style="282" customWidth="1"/>
    <col min="3" max="3" width="13.4444444444444" style="282" bestFit="1" customWidth="1"/>
    <col min="4" max="4" width="16.1111111111111" style="282" customWidth="1"/>
    <col min="5" max="5" width="11.2222222222222" style="282" customWidth="1"/>
    <col min="6" max="6" width="12.3333333333333" style="282" customWidth="1"/>
    <col min="7" max="7" width="17.6666666666667" style="282" customWidth="1"/>
    <col min="8" max="13" width="8.88888888888889" style="282"/>
  </cols>
  <sheetData>
    <row r="1" spans="6:7" ht="15.75">
      <c r="F1" s="661"/>
      <c r="G1" s="661" t="s">
        <v>707</v>
      </c>
    </row>
    <row r="2" spans="6:7" ht="15.75">
      <c r="F2" s="661"/>
      <c r="G2" s="661" t="s">
        <v>221</v>
      </c>
    </row>
    <row r="3" spans="6:7" ht="15.75">
      <c r="F3" s="662"/>
      <c r="G3" s="662" t="str">
        <f>'Attachment 1 - Sched 1A'!$J$3</f>
        <v>For the 12 months ended 12/31/2021</v>
      </c>
    </row>
    <row r="4" spans="3:6" ht="15.75">
      <c r="C4" s="660" t="s">
        <v>708</v>
      </c>
      <c r="F4" s="662"/>
    </row>
    <row r="5" spans="2:7" ht="15.75">
      <c r="B5" s="509" t="s">
        <v>606</v>
      </c>
      <c r="C5" s="509" t="s">
        <v>607</v>
      </c>
      <c r="D5" s="509" t="s">
        <v>608</v>
      </c>
      <c r="E5" s="509" t="s">
        <v>609</v>
      </c>
      <c r="F5" s="669" t="s">
        <v>610</v>
      </c>
      <c r="G5" s="509" t="s">
        <v>611</v>
      </c>
    </row>
    <row r="6" spans="1:13" ht="15.75">
      <c r="A6" s="55"/>
      <c r="B6"/>
      <c r="C6"/>
      <c r="E6" s="509" t="s">
        <v>1130</v>
      </c>
      <c r="F6" s="509" t="s">
        <v>547</v>
      </c>
      <c r="G6"/>
      <c r="H6"/>
      <c r="I6"/>
      <c r="J6"/>
      <c r="K6"/>
      <c r="L6"/>
      <c r="M6"/>
    </row>
    <row r="7" spans="1:13" ht="15.75">
      <c r="A7"/>
      <c r="B7"/>
      <c r="C7"/>
      <c r="D7" s="824" t="s">
        <v>602</v>
      </c>
      <c r="E7" s="825">
        <v>2021</v>
      </c>
      <c r="F7" s="825">
        <v>2021</v>
      </c>
      <c r="G7" s="826" t="s">
        <v>223</v>
      </c>
      <c r="H7"/>
      <c r="I7"/>
      <c r="J7"/>
      <c r="K7"/>
      <c r="L7"/>
      <c r="M7"/>
    </row>
    <row r="8" spans="1:13" ht="15.75">
      <c r="A8" s="56">
        <v>1</v>
      </c>
      <c r="B8" s="282" t="s">
        <v>603</v>
      </c>
      <c r="C8" s="53" t="s">
        <v>260</v>
      </c>
      <c r="D8" s="1083">
        <f>(E8+F8)/2</f>
        <v>422110</v>
      </c>
      <c r="E8" s="706">
        <v>422110</v>
      </c>
      <c r="F8" s="706">
        <v>422110</v>
      </c>
      <c r="G8" s="282" t="s">
        <v>1092</v>
      </c>
      <c r="H8"/>
      <c r="I8"/>
      <c r="J8"/>
      <c r="K8"/>
      <c r="L8"/>
      <c r="M8"/>
    </row>
    <row r="9" spans="1:7" ht="15.75">
      <c r="A9" s="56">
        <v>2</v>
      </c>
      <c r="B9" s="282" t="s">
        <v>413</v>
      </c>
      <c r="C9" s="53" t="s">
        <v>274</v>
      </c>
      <c r="D9" s="1120">
        <f>(E9+F9)/2</f>
        <v>-1123581.22</v>
      </c>
      <c r="E9" s="705">
        <v>-1123581.22</v>
      </c>
      <c r="F9" s="705">
        <v>-1123581.22</v>
      </c>
      <c r="G9" s="282" t="s">
        <v>1092</v>
      </c>
    </row>
    <row r="10" spans="1:7" ht="15.75">
      <c r="A10" s="56">
        <v>3</v>
      </c>
      <c r="B10" s="282" t="s">
        <v>412</v>
      </c>
      <c r="C10" s="53" t="s">
        <v>274</v>
      </c>
      <c r="D10" s="827">
        <f>(E10+F10)/2</f>
        <v>0</v>
      </c>
      <c r="E10" s="705"/>
      <c r="F10" s="706"/>
      <c r="G10" s="282" t="s">
        <v>1092</v>
      </c>
    </row>
    <row r="12" spans="1:13" s="508" customFormat="1" ht="15.75">
      <c r="A12" s="1162"/>
      <c r="B12" s="1162"/>
      <c r="C12" s="1162"/>
      <c r="D12" s="1163"/>
      <c r="E12" s="1164"/>
      <c r="F12" s="1164"/>
      <c r="G12" s="1164"/>
      <c r="H12" s="1164"/>
      <c r="I12" s="1164"/>
      <c r="J12" s="1164"/>
      <c r="K12" s="1162"/>
      <c r="L12" s="1162"/>
      <c r="M12" s="1162"/>
    </row>
    <row r="14" spans="1:1" ht="15.75">
      <c r="A14" s="282" t="s">
        <v>261</v>
      </c>
    </row>
    <row r="15" spans="1:6" ht="33.75" customHeight="1">
      <c r="A15" s="283" t="s">
        <v>260</v>
      </c>
      <c r="B15" s="1221" t="s">
        <v>414</v>
      </c>
      <c r="C15" s="1221"/>
      <c r="D15" s="1221"/>
      <c r="E15" s="1221"/>
      <c r="F15" s="1221"/>
    </row>
    <row r="16" spans="1:6" ht="63.75" customHeight="1">
      <c r="A16" s="283" t="s">
        <v>274</v>
      </c>
      <c r="B16" s="1221" t="s">
        <v>441</v>
      </c>
      <c r="C16" s="1221"/>
      <c r="D16" s="1221"/>
      <c r="E16" s="1221"/>
      <c r="F16" s="1221"/>
    </row>
    <row r="17" spans="1:6" ht="34.5" customHeight="1">
      <c r="A17" s="653" t="s">
        <v>344</v>
      </c>
      <c r="B17" s="1221" t="s">
        <v>1065</v>
      </c>
      <c r="C17" s="1221"/>
      <c r="D17" s="1221"/>
      <c r="E17" s="1221"/>
      <c r="F17" s="1221"/>
    </row>
    <row r="18" spans="1:8" ht="15.75" customHeight="1">
      <c r="A18" s="1104"/>
      <c r="B18" s="1222"/>
      <c r="C18" s="1222"/>
      <c r="D18" s="1222"/>
      <c r="E18" s="1222"/>
      <c r="F18" s="1222"/>
      <c r="G18" s="1222"/>
      <c r="H18" s="1105"/>
    </row>
  </sheetData>
  <mergeCells count="4">
    <mergeCell ref="B16:F16"/>
    <mergeCell ref="B15:F15"/>
    <mergeCell ref="B17:F17"/>
    <mergeCell ref="B18:G18"/>
  </mergeCells>
  <pageMargins left="0.7" right="0.7" top="0.75" bottom="0.75" header="0.3" footer="0.3"/>
  <pageSetup orientation="portrait" scale="5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60" zoomScaleNormal="100" workbookViewId="0" topLeftCell="A1"/>
  </sheetViews>
  <sheetFormatPr defaultRowHeight="15"/>
  <cols>
    <col min="2" max="3" width="26.8888888888889" customWidth="1"/>
    <col min="4" max="4" width="10.2222222222222" customWidth="1"/>
    <col min="5" max="5" width="12.8888888888889" bestFit="1" customWidth="1"/>
    <col min="6" max="6" width="23.7777777777778" bestFit="1" customWidth="1"/>
    <col min="7" max="7" width="10.1111111111111" customWidth="1"/>
    <col min="8" max="8" width="23.3333333333333" bestFit="1" customWidth="1"/>
  </cols>
  <sheetData>
    <row r="1" spans="9:9" ht="15.75">
      <c r="I1" s="661" t="s">
        <v>770</v>
      </c>
    </row>
    <row r="2" spans="9:9" ht="15.75">
      <c r="I2" s="661" t="s">
        <v>221</v>
      </c>
    </row>
    <row r="3" spans="9:9" ht="15.75">
      <c r="I3" s="662" t="str">
        <f>'Attachment 1 - Sched 1A'!$J$3</f>
        <v>For the 12 months ended 12/31/2021</v>
      </c>
    </row>
    <row r="4" spans="5:5" ht="15">
      <c r="E4" t="s">
        <v>818</v>
      </c>
    </row>
    <row r="5" spans="1:8" ht="15.75">
      <c r="A5" s="55"/>
      <c r="B5" s="509" t="s">
        <v>606</v>
      </c>
      <c r="C5" s="509" t="s">
        <v>607</v>
      </c>
      <c r="D5" s="509" t="s">
        <v>608</v>
      </c>
      <c r="E5" s="509" t="s">
        <v>609</v>
      </c>
      <c r="F5" s="669" t="s">
        <v>610</v>
      </c>
      <c r="G5" s="669" t="s">
        <v>611</v>
      </c>
      <c r="H5" s="669" t="s">
        <v>612</v>
      </c>
    </row>
    <row r="6" spans="1:8" ht="51">
      <c r="A6" s="299">
        <v>1</v>
      </c>
      <c r="B6" s="300" t="s">
        <v>417</v>
      </c>
      <c r="C6" s="295" t="s">
        <v>374</v>
      </c>
      <c r="D6" s="301" t="s">
        <v>418</v>
      </c>
      <c r="E6" s="302" t="s">
        <v>419</v>
      </c>
      <c r="F6" s="303" t="s">
        <v>460</v>
      </c>
      <c r="G6" s="303" t="s">
        <v>421</v>
      </c>
      <c r="H6" s="304" t="s">
        <v>422</v>
      </c>
    </row>
    <row r="7" spans="1:8" ht="15">
      <c r="A7" s="299">
        <f t="shared" si="0" ref="A7:A20">A6+1</f>
        <v>2</v>
      </c>
      <c r="B7" s="725" t="s">
        <v>1155</v>
      </c>
      <c r="C7" s="290" t="s">
        <v>458</v>
      </c>
      <c r="D7" s="552">
        <v>13</v>
      </c>
      <c r="E7" s="553"/>
      <c r="F7" s="554"/>
      <c r="G7" s="554"/>
      <c r="H7" s="1084">
        <v>0</v>
      </c>
    </row>
    <row r="8" spans="1:8" ht="15">
      <c r="A8" s="299">
        <f t="shared" si="0"/>
        <v>3</v>
      </c>
      <c r="B8" s="294" t="s">
        <v>424</v>
      </c>
      <c r="C8" s="295" t="s">
        <v>900</v>
      </c>
      <c r="D8" s="291">
        <f>D7-1</f>
        <v>12</v>
      </c>
      <c r="E8" s="292">
        <f>H7</f>
        <v>0</v>
      </c>
      <c r="F8" s="1085">
        <f>E8/D8</f>
        <v>0</v>
      </c>
      <c r="G8" s="293">
        <v>0</v>
      </c>
      <c r="H8" s="1085">
        <f>E8-F8+G8</f>
        <v>0</v>
      </c>
    </row>
    <row r="9" spans="1:8" ht="15">
      <c r="A9" s="299">
        <f t="shared" si="0"/>
        <v>4</v>
      </c>
      <c r="B9" s="294" t="s">
        <v>236</v>
      </c>
      <c r="C9" s="295" t="s">
        <v>900</v>
      </c>
      <c r="D9" s="291">
        <f t="shared" si="1" ref="D9:D19">D8-1</f>
        <v>11</v>
      </c>
      <c r="E9" s="292">
        <f>H8</f>
        <v>0</v>
      </c>
      <c r="F9" s="1085">
        <f>E9/D9</f>
        <v>0</v>
      </c>
      <c r="G9" s="293">
        <v>0</v>
      </c>
      <c r="H9" s="1085">
        <f>E9-F9+G9</f>
        <v>0</v>
      </c>
    </row>
    <row r="10" spans="1:8" ht="15">
      <c r="A10" s="299">
        <f t="shared" si="0"/>
        <v>5</v>
      </c>
      <c r="B10" s="294" t="s">
        <v>237</v>
      </c>
      <c r="C10" s="295" t="s">
        <v>900</v>
      </c>
      <c r="D10" s="291">
        <f t="shared" si="1"/>
        <v>10</v>
      </c>
      <c r="E10" s="292">
        <f t="shared" si="2" ref="E10:E19">H9</f>
        <v>0</v>
      </c>
      <c r="F10" s="1085">
        <f t="shared" si="3" ref="F10:F19">E10/D10</f>
        <v>0</v>
      </c>
      <c r="G10" s="293">
        <v>0</v>
      </c>
      <c r="H10" s="1085">
        <f t="shared" si="4" ref="H10:H19">E10-F10+G10</f>
        <v>0</v>
      </c>
    </row>
    <row r="11" spans="1:8" ht="15">
      <c r="A11" s="299">
        <f t="shared" si="0"/>
        <v>6</v>
      </c>
      <c r="B11" s="294" t="s">
        <v>238</v>
      </c>
      <c r="C11" s="295" t="s">
        <v>900</v>
      </c>
      <c r="D11" s="291">
        <f t="shared" si="1"/>
        <v>9</v>
      </c>
      <c r="E11" s="292">
        <f t="shared" si="2"/>
        <v>0</v>
      </c>
      <c r="F11" s="1085">
        <f t="shared" si="3"/>
        <v>0</v>
      </c>
      <c r="G11" s="293">
        <v>0</v>
      </c>
      <c r="H11" s="1085">
        <f t="shared" si="4"/>
        <v>0</v>
      </c>
    </row>
    <row r="12" spans="1:8" ht="15">
      <c r="A12" s="299">
        <f t="shared" si="0"/>
        <v>7</v>
      </c>
      <c r="B12" s="294" t="s">
        <v>239</v>
      </c>
      <c r="C12" s="295" t="s">
        <v>900</v>
      </c>
      <c r="D12" s="291">
        <f t="shared" si="1"/>
        <v>8</v>
      </c>
      <c r="E12" s="292">
        <f t="shared" si="2"/>
        <v>0</v>
      </c>
      <c r="F12" s="1085">
        <f t="shared" si="3"/>
        <v>0</v>
      </c>
      <c r="G12" s="293">
        <v>0</v>
      </c>
      <c r="H12" s="1085">
        <f t="shared" si="4"/>
        <v>0</v>
      </c>
    </row>
    <row r="13" spans="1:8" ht="15">
      <c r="A13" s="299">
        <f t="shared" si="0"/>
        <v>8</v>
      </c>
      <c r="B13" s="294" t="s">
        <v>426</v>
      </c>
      <c r="C13" s="295" t="s">
        <v>900</v>
      </c>
      <c r="D13" s="291">
        <f t="shared" si="1"/>
        <v>7</v>
      </c>
      <c r="E13" s="292">
        <f t="shared" si="2"/>
        <v>0</v>
      </c>
      <c r="F13" s="1085">
        <f t="shared" si="3"/>
        <v>0</v>
      </c>
      <c r="G13" s="293">
        <v>0</v>
      </c>
      <c r="H13" s="1085">
        <f t="shared" si="4"/>
        <v>0</v>
      </c>
    </row>
    <row r="14" spans="1:8" ht="15">
      <c r="A14" s="299">
        <f t="shared" si="0"/>
        <v>9</v>
      </c>
      <c r="B14" s="294" t="s">
        <v>240</v>
      </c>
      <c r="C14" s="295" t="s">
        <v>900</v>
      </c>
      <c r="D14" s="291">
        <f t="shared" si="1"/>
        <v>6</v>
      </c>
      <c r="E14" s="292">
        <f t="shared" si="2"/>
        <v>0</v>
      </c>
      <c r="F14" s="1085">
        <f>E14/D14</f>
        <v>0</v>
      </c>
      <c r="G14" s="293">
        <v>0</v>
      </c>
      <c r="H14" s="1085">
        <f t="shared" si="4"/>
        <v>0</v>
      </c>
    </row>
    <row r="15" spans="1:8" ht="15">
      <c r="A15" s="299">
        <f t="shared" si="0"/>
        <v>10</v>
      </c>
      <c r="B15" s="294" t="s">
        <v>241</v>
      </c>
      <c r="C15" s="295" t="s">
        <v>900</v>
      </c>
      <c r="D15" s="291">
        <f t="shared" si="1"/>
        <v>5</v>
      </c>
      <c r="E15" s="292">
        <f t="shared" si="2"/>
        <v>0</v>
      </c>
      <c r="F15" s="1085">
        <f t="shared" si="3"/>
        <v>0</v>
      </c>
      <c r="G15" s="293">
        <v>0</v>
      </c>
      <c r="H15" s="1085">
        <f>E15-F15+G15</f>
        <v>0</v>
      </c>
    </row>
    <row r="16" spans="1:8" ht="15">
      <c r="A16" s="299">
        <f t="shared" si="0"/>
        <v>11</v>
      </c>
      <c r="B16" s="294" t="s">
        <v>242</v>
      </c>
      <c r="C16" s="295" t="s">
        <v>900</v>
      </c>
      <c r="D16" s="291">
        <f t="shared" si="1"/>
        <v>4</v>
      </c>
      <c r="E16" s="292">
        <f t="shared" si="2"/>
        <v>0</v>
      </c>
      <c r="F16" s="1085">
        <f t="shared" si="3"/>
        <v>0</v>
      </c>
      <c r="G16" s="293">
        <v>0</v>
      </c>
      <c r="H16" s="1085">
        <f t="shared" si="4"/>
        <v>0</v>
      </c>
    </row>
    <row r="17" spans="1:8" ht="15">
      <c r="A17" s="299">
        <f t="shared" si="0"/>
        <v>12</v>
      </c>
      <c r="B17" s="294" t="s">
        <v>427</v>
      </c>
      <c r="C17" s="295" t="s">
        <v>900</v>
      </c>
      <c r="D17" s="291">
        <f t="shared" si="1"/>
        <v>3</v>
      </c>
      <c r="E17" s="292">
        <f t="shared" si="2"/>
        <v>0</v>
      </c>
      <c r="F17" s="1085">
        <f t="shared" si="3"/>
        <v>0</v>
      </c>
      <c r="G17" s="293">
        <v>0</v>
      </c>
      <c r="H17" s="1085">
        <f t="shared" si="4"/>
        <v>0</v>
      </c>
    </row>
    <row r="18" spans="1:8" ht="15">
      <c r="A18" s="299">
        <f t="shared" si="0"/>
        <v>13</v>
      </c>
      <c r="B18" s="294" t="s">
        <v>243</v>
      </c>
      <c r="C18" s="295" t="s">
        <v>900</v>
      </c>
      <c r="D18" s="291">
        <f t="shared" si="1"/>
        <v>2</v>
      </c>
      <c r="E18" s="292">
        <f t="shared" si="2"/>
        <v>0</v>
      </c>
      <c r="F18" s="1085">
        <f t="shared" si="3"/>
        <v>0</v>
      </c>
      <c r="G18" s="293">
        <v>0</v>
      </c>
      <c r="H18" s="1085">
        <f t="shared" si="4"/>
        <v>0</v>
      </c>
    </row>
    <row r="19" spans="1:8" ht="17.25">
      <c r="A19" s="299">
        <f t="shared" si="0"/>
        <v>14</v>
      </c>
      <c r="B19" s="725" t="s">
        <v>1273</v>
      </c>
      <c r="C19" s="296" t="s">
        <v>459</v>
      </c>
      <c r="D19" s="291">
        <f t="shared" si="1"/>
        <v>1</v>
      </c>
      <c r="E19" s="292">
        <f t="shared" si="2"/>
        <v>0</v>
      </c>
      <c r="F19" s="1111">
        <f t="shared" si="3"/>
        <v>0</v>
      </c>
      <c r="G19" s="293">
        <v>0</v>
      </c>
      <c r="H19" s="1086">
        <f t="shared" si="4"/>
        <v>0</v>
      </c>
    </row>
    <row r="20" spans="1:8" ht="15.75" thickBot="1">
      <c r="A20" s="299">
        <f t="shared" si="0"/>
        <v>15</v>
      </c>
      <c r="B20" s="297" t="s">
        <v>1134</v>
      </c>
      <c r="C20" s="295" t="str">
        <f>"(sum lines "&amp;A7&amp;"-"&amp;A19&amp;") /13"</f>
        <v>(sum lines 2-14) /13</v>
      </c>
      <c r="D20" s="298"/>
      <c r="E20" s="298"/>
      <c r="F20" s="1087">
        <f>SUM(F7:F19)</f>
        <v>0</v>
      </c>
      <c r="G20" s="293"/>
      <c r="H20" s="1087">
        <f>SUM(H7:H19)/13</f>
        <v>0</v>
      </c>
    </row>
    <row r="21" spans="1:8" ht="15.75" thickTop="1">
      <c r="A21" s="299"/>
      <c r="B21" s="556"/>
      <c r="C21" s="557"/>
      <c r="D21" s="558"/>
      <c r="E21" s="558"/>
      <c r="F21" s="559" t="s">
        <v>1064</v>
      </c>
      <c r="G21" s="293"/>
      <c r="H21" s="306" t="s">
        <v>705</v>
      </c>
    </row>
    <row r="23" spans="1:9" ht="34.5" customHeight="1">
      <c r="A23" s="1104"/>
      <c r="B23" s="1217"/>
      <c r="C23" s="1217"/>
      <c r="D23" s="1217"/>
      <c r="E23" s="1217"/>
      <c r="F23" s="1217"/>
      <c r="G23" s="1217"/>
      <c r="H23" s="1217"/>
      <c r="I23" s="1217"/>
    </row>
    <row r="24" spans="1:9" ht="15">
      <c r="A24" s="560"/>
      <c r="B24" s="1223"/>
      <c r="C24" s="1223"/>
      <c r="D24" s="1223"/>
      <c r="E24" s="1223"/>
      <c r="F24" s="1223"/>
      <c r="G24" s="1223"/>
      <c r="H24" s="1223"/>
      <c r="I24" s="1223"/>
    </row>
  </sheetData>
  <mergeCells count="2">
    <mergeCell ref="B24:I24"/>
    <mergeCell ref="B23:I23"/>
  </mergeCells>
  <pageMargins left="0.7" right="0.7" top="0.75" bottom="0.75" header="0.3" footer="0.3"/>
  <pageSetup orientation="landscape" scale="57"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60" zoomScaleNormal="100" workbookViewId="0" topLeftCell="A1"/>
  </sheetViews>
  <sheetFormatPr defaultRowHeight="15"/>
  <cols>
    <col min="2" max="2" width="27.6666666666667" customWidth="1"/>
    <col min="3" max="3" width="26.5555555555556" customWidth="1"/>
    <col min="4" max="4" width="11.1111111111111" customWidth="1"/>
    <col min="5" max="5" width="12.8888888888889" bestFit="1" customWidth="1"/>
    <col min="6" max="6" width="23.7777777777778" bestFit="1" customWidth="1"/>
    <col min="7" max="7" width="9.55555555555556" customWidth="1"/>
    <col min="8" max="8" width="23.3333333333333" bestFit="1" customWidth="1"/>
    <col min="10" max="10" width="12.3333333333333" bestFit="1" customWidth="1"/>
  </cols>
  <sheetData>
    <row r="1" spans="9:9" ht="15.75">
      <c r="I1" s="661" t="s">
        <v>771</v>
      </c>
    </row>
    <row r="2" spans="9:9" ht="15.75">
      <c r="I2" s="661" t="s">
        <v>221</v>
      </c>
    </row>
    <row r="3" spans="9:9" ht="15.75">
      <c r="I3" s="662" t="str">
        <f>'Attachment 1 - Sched 1A'!$J$3</f>
        <v>For the 12 months ended 12/31/2021</v>
      </c>
    </row>
    <row r="4" spans="5:5" ht="15">
      <c r="E4" t="s">
        <v>772</v>
      </c>
    </row>
    <row r="5" spans="1:8" ht="15.75">
      <c r="A5" s="55"/>
      <c r="B5" s="509" t="s">
        <v>606</v>
      </c>
      <c r="C5" s="509" t="s">
        <v>607</v>
      </c>
      <c r="D5" s="509" t="s">
        <v>608</v>
      </c>
      <c r="E5" s="509" t="s">
        <v>609</v>
      </c>
      <c r="F5" s="669" t="s">
        <v>610</v>
      </c>
      <c r="G5" s="669" t="s">
        <v>611</v>
      </c>
      <c r="H5" s="669" t="s">
        <v>612</v>
      </c>
    </row>
    <row r="6" spans="1:8" ht="51">
      <c r="A6" s="299">
        <v>1</v>
      </c>
      <c r="B6" s="300" t="s">
        <v>417</v>
      </c>
      <c r="C6" s="295" t="s">
        <v>374</v>
      </c>
      <c r="D6" s="301" t="s">
        <v>418</v>
      </c>
      <c r="E6" s="302" t="s">
        <v>419</v>
      </c>
      <c r="F6" s="303" t="s">
        <v>460</v>
      </c>
      <c r="G6" s="303" t="s">
        <v>421</v>
      </c>
      <c r="H6" s="304" t="s">
        <v>422</v>
      </c>
    </row>
    <row r="7" spans="1:8" ht="15">
      <c r="A7" s="299">
        <f t="shared" si="0" ref="A7:A20">A6+1</f>
        <v>2</v>
      </c>
      <c r="B7" s="725" t="s">
        <v>1155</v>
      </c>
      <c r="C7" s="290" t="s">
        <v>458</v>
      </c>
      <c r="D7" s="552">
        <v>49</v>
      </c>
      <c r="E7" s="553"/>
      <c r="F7" s="554"/>
      <c r="G7" s="554"/>
      <c r="H7" s="1084">
        <v>2388987.9999999963</v>
      </c>
    </row>
    <row r="8" spans="1:8" ht="15">
      <c r="A8" s="299">
        <f t="shared" si="0"/>
        <v>3</v>
      </c>
      <c r="B8" s="294" t="s">
        <v>424</v>
      </c>
      <c r="C8" s="295" t="s">
        <v>900</v>
      </c>
      <c r="D8" s="291">
        <f>D7-1</f>
        <v>48</v>
      </c>
      <c r="E8" s="292">
        <f>H7</f>
        <v>2388987.9999999963</v>
      </c>
      <c r="F8" s="1085">
        <f>E8/D8</f>
        <v>49770.583333333256</v>
      </c>
      <c r="G8" s="293">
        <v>0</v>
      </c>
      <c r="H8" s="1085">
        <f t="shared" si="1" ref="H8:H19">E8-F8+G8</f>
        <v>2339217.4166666633</v>
      </c>
    </row>
    <row r="9" spans="1:8" ht="15">
      <c r="A9" s="299">
        <f t="shared" si="0"/>
        <v>4</v>
      </c>
      <c r="B9" s="294" t="s">
        <v>236</v>
      </c>
      <c r="C9" s="295" t="s">
        <v>900</v>
      </c>
      <c r="D9" s="291">
        <f t="shared" si="2" ref="D9:D19">D8-1</f>
        <v>47</v>
      </c>
      <c r="E9" s="292">
        <f t="shared" si="3" ref="E9:E19">H8</f>
        <v>2339217.4166666633</v>
      </c>
      <c r="F9" s="1085">
        <f t="shared" si="4" ref="F9:F19">E9/D9</f>
        <v>49770.583333333263</v>
      </c>
      <c r="G9" s="293">
        <v>0</v>
      </c>
      <c r="H9" s="1085">
        <f t="shared" si="1"/>
        <v>2289446.8333333298</v>
      </c>
    </row>
    <row r="10" spans="1:8" ht="15">
      <c r="A10" s="299">
        <f t="shared" si="0"/>
        <v>5</v>
      </c>
      <c r="B10" s="294" t="s">
        <v>237</v>
      </c>
      <c r="C10" s="295" t="s">
        <v>900</v>
      </c>
      <c r="D10" s="291">
        <f t="shared" si="2"/>
        <v>46</v>
      </c>
      <c r="E10" s="292">
        <f t="shared" si="3"/>
        <v>2289446.8333333298</v>
      </c>
      <c r="F10" s="1085">
        <f t="shared" si="4"/>
        <v>49770.583333333256</v>
      </c>
      <c r="G10" s="293">
        <v>0</v>
      </c>
      <c r="H10" s="1085">
        <f t="shared" si="1"/>
        <v>2239676.2499999963</v>
      </c>
    </row>
    <row r="11" spans="1:8" ht="15">
      <c r="A11" s="299">
        <f t="shared" si="0"/>
        <v>6</v>
      </c>
      <c r="B11" s="294" t="s">
        <v>238</v>
      </c>
      <c r="C11" s="295" t="s">
        <v>900</v>
      </c>
      <c r="D11" s="291">
        <f t="shared" si="2"/>
        <v>45</v>
      </c>
      <c r="E11" s="292">
        <f t="shared" si="3"/>
        <v>2239676.2499999963</v>
      </c>
      <c r="F11" s="1085">
        <f t="shared" si="4"/>
        <v>49770.583333333248</v>
      </c>
      <c r="G11" s="293">
        <v>0</v>
      </c>
      <c r="H11" s="1085">
        <f t="shared" si="1"/>
        <v>2189905.6666666633</v>
      </c>
    </row>
    <row r="12" spans="1:8" ht="15">
      <c r="A12" s="299">
        <f t="shared" si="0"/>
        <v>7</v>
      </c>
      <c r="B12" s="294" t="s">
        <v>239</v>
      </c>
      <c r="C12" s="295" t="s">
        <v>900</v>
      </c>
      <c r="D12" s="291">
        <f t="shared" si="2"/>
        <v>44</v>
      </c>
      <c r="E12" s="292">
        <f t="shared" si="3"/>
        <v>2189905.6666666633</v>
      </c>
      <c r="F12" s="1085">
        <f t="shared" si="4"/>
        <v>49770.583333333256</v>
      </c>
      <c r="G12" s="293">
        <v>0</v>
      </c>
      <c r="H12" s="1085">
        <f t="shared" si="1"/>
        <v>2140135.0833333302</v>
      </c>
    </row>
    <row r="13" spans="1:8" ht="15">
      <c r="A13" s="299">
        <f t="shared" si="0"/>
        <v>8</v>
      </c>
      <c r="B13" s="294" t="s">
        <v>426</v>
      </c>
      <c r="C13" s="295" t="s">
        <v>900</v>
      </c>
      <c r="D13" s="291">
        <f t="shared" si="2"/>
        <v>43</v>
      </c>
      <c r="E13" s="292">
        <f t="shared" si="3"/>
        <v>2140135.0833333302</v>
      </c>
      <c r="F13" s="1085">
        <f t="shared" si="4"/>
        <v>49770.583333333263</v>
      </c>
      <c r="G13" s="293">
        <v>0</v>
      </c>
      <c r="H13" s="1085">
        <f t="shared" si="1"/>
        <v>2090364.499999997</v>
      </c>
    </row>
    <row r="14" spans="1:8" ht="15">
      <c r="A14" s="299">
        <f t="shared" si="0"/>
        <v>9</v>
      </c>
      <c r="B14" s="294" t="s">
        <v>240</v>
      </c>
      <c r="C14" s="295" t="s">
        <v>900</v>
      </c>
      <c r="D14" s="291">
        <f t="shared" si="2"/>
        <v>42</v>
      </c>
      <c r="E14" s="292">
        <f t="shared" si="3"/>
        <v>2090364.499999997</v>
      </c>
      <c r="F14" s="1085">
        <f t="shared" si="4"/>
        <v>49770.583333333263</v>
      </c>
      <c r="G14" s="293">
        <v>0</v>
      </c>
      <c r="H14" s="1085">
        <f t="shared" si="1"/>
        <v>2040593.9166666637</v>
      </c>
    </row>
    <row r="15" spans="1:8" ht="15">
      <c r="A15" s="299">
        <f t="shared" si="0"/>
        <v>10</v>
      </c>
      <c r="B15" s="294" t="s">
        <v>241</v>
      </c>
      <c r="C15" s="295" t="s">
        <v>900</v>
      </c>
      <c r="D15" s="291">
        <f t="shared" si="2"/>
        <v>41</v>
      </c>
      <c r="E15" s="292">
        <f t="shared" si="3"/>
        <v>2040593.9166666637</v>
      </c>
      <c r="F15" s="1085">
        <f t="shared" si="4"/>
        <v>49770.583333333263</v>
      </c>
      <c r="G15" s="293">
        <v>0</v>
      </c>
      <c r="H15" s="1085">
        <f t="shared" si="1"/>
        <v>1990823.3333333305</v>
      </c>
    </row>
    <row r="16" spans="1:8" ht="15">
      <c r="A16" s="299">
        <f t="shared" si="0"/>
        <v>11</v>
      </c>
      <c r="B16" s="294" t="s">
        <v>242</v>
      </c>
      <c r="C16" s="295" t="s">
        <v>900</v>
      </c>
      <c r="D16" s="291">
        <f t="shared" si="2"/>
        <v>40</v>
      </c>
      <c r="E16" s="292">
        <f t="shared" si="3"/>
        <v>1990823.3333333305</v>
      </c>
      <c r="F16" s="1085">
        <f t="shared" si="4"/>
        <v>49770.583333333263</v>
      </c>
      <c r="G16" s="293">
        <v>0</v>
      </c>
      <c r="H16" s="1085">
        <f t="shared" si="1"/>
        <v>1941052.7499999972</v>
      </c>
    </row>
    <row r="17" spans="1:8" ht="15">
      <c r="A17" s="299">
        <f t="shared" si="0"/>
        <v>12</v>
      </c>
      <c r="B17" s="294" t="s">
        <v>427</v>
      </c>
      <c r="C17" s="295" t="s">
        <v>900</v>
      </c>
      <c r="D17" s="291">
        <f t="shared" si="2"/>
        <v>39</v>
      </c>
      <c r="E17" s="292">
        <f t="shared" si="3"/>
        <v>1941052.7499999972</v>
      </c>
      <c r="F17" s="1085">
        <f t="shared" si="4"/>
        <v>49770.583333333263</v>
      </c>
      <c r="G17" s="293">
        <v>0</v>
      </c>
      <c r="H17" s="1085">
        <f t="shared" si="1"/>
        <v>1891282.166666664</v>
      </c>
    </row>
    <row r="18" spans="1:8" ht="15">
      <c r="A18" s="299">
        <f t="shared" si="0"/>
        <v>13</v>
      </c>
      <c r="B18" s="294" t="s">
        <v>243</v>
      </c>
      <c r="C18" s="295" t="s">
        <v>900</v>
      </c>
      <c r="D18" s="291">
        <f t="shared" si="2"/>
        <v>38</v>
      </c>
      <c r="E18" s="292">
        <f t="shared" si="3"/>
        <v>1891282.166666664</v>
      </c>
      <c r="F18" s="1085">
        <f t="shared" si="4"/>
        <v>49770.583333333263</v>
      </c>
      <c r="G18" s="293">
        <v>0</v>
      </c>
      <c r="H18" s="1085">
        <f t="shared" si="1"/>
        <v>1841511.5833333307</v>
      </c>
    </row>
    <row r="19" spans="1:8" ht="17.25">
      <c r="A19" s="299">
        <f t="shared" si="0"/>
        <v>14</v>
      </c>
      <c r="B19" s="725" t="s">
        <v>1273</v>
      </c>
      <c r="C19" s="296" t="s">
        <v>459</v>
      </c>
      <c r="D19" s="291">
        <f t="shared" si="2"/>
        <v>37</v>
      </c>
      <c r="E19" s="292">
        <f t="shared" si="3"/>
        <v>1841511.5833333307</v>
      </c>
      <c r="F19" s="1111">
        <f t="shared" si="4"/>
        <v>49770.583333333263</v>
      </c>
      <c r="G19" s="293">
        <v>0</v>
      </c>
      <c r="H19" s="1086">
        <f t="shared" si="1"/>
        <v>1791740.9999999974</v>
      </c>
    </row>
    <row r="20" spans="1:8" ht="15.75" thickBot="1">
      <c r="A20" s="299">
        <f t="shared" si="0"/>
        <v>15</v>
      </c>
      <c r="B20" s="297" t="s">
        <v>1134</v>
      </c>
      <c r="C20" s="295" t="str">
        <f>"(sum lines "&amp;A7&amp;"-"&amp;A19&amp;") /13"</f>
        <v>(sum lines 2-14) /13</v>
      </c>
      <c r="D20" s="298"/>
      <c r="E20" s="298"/>
      <c r="F20" s="1112">
        <f>SUM(F7:F19)</f>
        <v>597246.99999999907</v>
      </c>
      <c r="G20" s="293"/>
      <c r="H20" s="1087">
        <f>SUM(H7:H19)/13</f>
        <v>2090364.4999999967</v>
      </c>
    </row>
    <row r="21" spans="1:8" ht="15.75" thickTop="1">
      <c r="A21" s="299"/>
      <c r="B21" s="556"/>
      <c r="C21" s="557"/>
      <c r="D21" s="558"/>
      <c r="E21" s="558"/>
      <c r="F21" s="559" t="s">
        <v>1064</v>
      </c>
      <c r="G21" s="293"/>
      <c r="H21" s="306" t="s">
        <v>705</v>
      </c>
    </row>
    <row r="23" spans="1:9" ht="30" customHeight="1">
      <c r="A23" s="1104"/>
      <c r="B23" s="1217"/>
      <c r="C23" s="1217"/>
      <c r="D23" s="1217"/>
      <c r="E23" s="1217"/>
      <c r="F23" s="1217"/>
      <c r="G23" s="1217"/>
      <c r="H23" s="1217"/>
      <c r="I23" s="1217"/>
    </row>
    <row r="24" spans="1:9" ht="15.75">
      <c r="A24" s="155"/>
      <c r="B24" s="1223"/>
      <c r="C24" s="1223"/>
      <c r="D24" s="1223"/>
      <c r="E24" s="1223"/>
      <c r="F24" s="1223"/>
      <c r="G24" s="1223"/>
      <c r="H24" s="1223"/>
      <c r="I24" s="1223"/>
    </row>
  </sheetData>
  <mergeCells count="2">
    <mergeCell ref="B24:I24"/>
    <mergeCell ref="B23:I23"/>
  </mergeCells>
  <pageMargins left="0.7" right="0.7" top="0.75" bottom="0.75" header="0.3" footer="0.3"/>
  <pageSetup orientation="landscape" scale="57"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60" zoomScaleNormal="100" workbookViewId="0" topLeftCell="A1"/>
  </sheetViews>
  <sheetFormatPr defaultRowHeight="15"/>
  <cols>
    <col min="2" max="2" width="27.7777777777778" customWidth="1"/>
    <col min="3" max="3" width="26.1111111111111" customWidth="1"/>
    <col min="4" max="4" width="9.77777777777778" customWidth="1"/>
    <col min="5" max="5" width="12.8888888888889" bestFit="1" customWidth="1"/>
    <col min="6" max="6" width="23.7777777777778" bestFit="1" customWidth="1"/>
    <col min="7" max="7" width="9.66666666666667" customWidth="1"/>
    <col min="8" max="8" width="23.3333333333333" bestFit="1" customWidth="1"/>
  </cols>
  <sheetData>
    <row r="1" spans="9:9" ht="15.75">
      <c r="I1" s="661" t="s">
        <v>773</v>
      </c>
    </row>
    <row r="2" spans="9:9" ht="15.75">
      <c r="I2" s="661" t="s">
        <v>221</v>
      </c>
    </row>
    <row r="3" spans="9:9" ht="15.75">
      <c r="I3" s="662" t="str">
        <f>'Attachment 1 - Sched 1A'!$J$3</f>
        <v>For the 12 months ended 12/31/2021</v>
      </c>
    </row>
    <row r="4" spans="5:5" ht="15">
      <c r="E4" t="s">
        <v>865</v>
      </c>
    </row>
    <row r="5" spans="1:8" ht="15.75">
      <c r="A5" s="55"/>
      <c r="B5" s="509" t="s">
        <v>606</v>
      </c>
      <c r="C5" s="509" t="s">
        <v>607</v>
      </c>
      <c r="D5" s="509" t="s">
        <v>608</v>
      </c>
      <c r="E5" s="509" t="s">
        <v>609</v>
      </c>
      <c r="F5" s="669" t="s">
        <v>610</v>
      </c>
      <c r="G5" s="669" t="s">
        <v>611</v>
      </c>
      <c r="H5" s="669" t="s">
        <v>612</v>
      </c>
    </row>
    <row r="6" spans="1:8" ht="51">
      <c r="A6" s="299">
        <v>1</v>
      </c>
      <c r="B6" s="300" t="s">
        <v>417</v>
      </c>
      <c r="C6" s="295" t="s">
        <v>374</v>
      </c>
      <c r="D6" s="301" t="s">
        <v>418</v>
      </c>
      <c r="E6" s="302" t="s">
        <v>419</v>
      </c>
      <c r="F6" s="303" t="s">
        <v>460</v>
      </c>
      <c r="G6" s="303" t="s">
        <v>421</v>
      </c>
      <c r="H6" s="304" t="s">
        <v>422</v>
      </c>
    </row>
    <row r="7" spans="1:8" ht="15">
      <c r="A7" s="299">
        <f t="shared" si="0" ref="A7:A20">A6+1</f>
        <v>2</v>
      </c>
      <c r="B7" s="725" t="s">
        <v>1155</v>
      </c>
      <c r="C7" s="290" t="s">
        <v>458</v>
      </c>
      <c r="D7" s="552">
        <v>13</v>
      </c>
      <c r="E7" s="553"/>
      <c r="F7" s="554"/>
      <c r="G7" s="554"/>
      <c r="H7" s="1084">
        <v>0</v>
      </c>
    </row>
    <row r="8" spans="1:8" ht="15">
      <c r="A8" s="299">
        <f t="shared" si="0"/>
        <v>3</v>
      </c>
      <c r="B8" s="294" t="s">
        <v>424</v>
      </c>
      <c r="C8" s="295" t="s">
        <v>900</v>
      </c>
      <c r="D8" s="291">
        <f>D7-1</f>
        <v>12</v>
      </c>
      <c r="E8" s="292">
        <f>H7</f>
        <v>0</v>
      </c>
      <c r="F8" s="1085">
        <f>E8/D8</f>
        <v>0</v>
      </c>
      <c r="G8" s="293">
        <v>0</v>
      </c>
      <c r="H8" s="1085">
        <f>E8-F8+G8</f>
        <v>0</v>
      </c>
    </row>
    <row r="9" spans="1:8" ht="15">
      <c r="A9" s="299">
        <f t="shared" si="0"/>
        <v>4</v>
      </c>
      <c r="B9" s="294" t="s">
        <v>236</v>
      </c>
      <c r="C9" s="295" t="s">
        <v>900</v>
      </c>
      <c r="D9" s="291">
        <f t="shared" si="1" ref="D9:D19">D8-1</f>
        <v>11</v>
      </c>
      <c r="E9" s="292">
        <f t="shared" si="2" ref="E9:E19">H8</f>
        <v>0</v>
      </c>
      <c r="F9" s="1085">
        <f t="shared" si="3" ref="F9:F19">E9/D9</f>
        <v>0</v>
      </c>
      <c r="G9" s="293">
        <v>0</v>
      </c>
      <c r="H9" s="1085">
        <f t="shared" si="4" ref="H9:H18">E9-F9+G9</f>
        <v>0</v>
      </c>
    </row>
    <row r="10" spans="1:8" ht="15">
      <c r="A10" s="299">
        <f t="shared" si="0"/>
        <v>5</v>
      </c>
      <c r="B10" s="294" t="s">
        <v>237</v>
      </c>
      <c r="C10" s="295" t="s">
        <v>900</v>
      </c>
      <c r="D10" s="291">
        <f t="shared" si="1"/>
        <v>10</v>
      </c>
      <c r="E10" s="292">
        <f t="shared" si="2"/>
        <v>0</v>
      </c>
      <c r="F10" s="1085">
        <f t="shared" si="3"/>
        <v>0</v>
      </c>
      <c r="G10" s="293">
        <v>0</v>
      </c>
      <c r="H10" s="1085">
        <f t="shared" si="4"/>
        <v>0</v>
      </c>
    </row>
    <row r="11" spans="1:8" ht="15">
      <c r="A11" s="299">
        <f t="shared" si="0"/>
        <v>6</v>
      </c>
      <c r="B11" s="294" t="s">
        <v>238</v>
      </c>
      <c r="C11" s="295" t="s">
        <v>900</v>
      </c>
      <c r="D11" s="291">
        <f t="shared" si="1"/>
        <v>9</v>
      </c>
      <c r="E11" s="292">
        <f t="shared" si="2"/>
        <v>0</v>
      </c>
      <c r="F11" s="1085">
        <f t="shared" si="3"/>
        <v>0</v>
      </c>
      <c r="G11" s="293">
        <v>0</v>
      </c>
      <c r="H11" s="1085">
        <f t="shared" si="4"/>
        <v>0</v>
      </c>
    </row>
    <row r="12" spans="1:8" ht="15">
      <c r="A12" s="299">
        <f t="shared" si="0"/>
        <v>7</v>
      </c>
      <c r="B12" s="294" t="s">
        <v>239</v>
      </c>
      <c r="C12" s="295" t="s">
        <v>900</v>
      </c>
      <c r="D12" s="291">
        <f t="shared" si="1"/>
        <v>8</v>
      </c>
      <c r="E12" s="292">
        <f t="shared" si="2"/>
        <v>0</v>
      </c>
      <c r="F12" s="1085">
        <f t="shared" si="3"/>
        <v>0</v>
      </c>
      <c r="G12" s="293">
        <v>0</v>
      </c>
      <c r="H12" s="1085">
        <f t="shared" si="4"/>
        <v>0</v>
      </c>
    </row>
    <row r="13" spans="1:8" ht="15">
      <c r="A13" s="299">
        <f t="shared" si="0"/>
        <v>8</v>
      </c>
      <c r="B13" s="294" t="s">
        <v>426</v>
      </c>
      <c r="C13" s="295" t="s">
        <v>900</v>
      </c>
      <c r="D13" s="291">
        <f t="shared" si="1"/>
        <v>7</v>
      </c>
      <c r="E13" s="292">
        <f t="shared" si="2"/>
        <v>0</v>
      </c>
      <c r="F13" s="1085">
        <f t="shared" si="3"/>
        <v>0</v>
      </c>
      <c r="G13" s="293">
        <v>0</v>
      </c>
      <c r="H13" s="1085">
        <f t="shared" si="4"/>
        <v>0</v>
      </c>
    </row>
    <row r="14" spans="1:8" ht="15">
      <c r="A14" s="299">
        <f t="shared" si="0"/>
        <v>9</v>
      </c>
      <c r="B14" s="294" t="s">
        <v>240</v>
      </c>
      <c r="C14" s="295" t="s">
        <v>900</v>
      </c>
      <c r="D14" s="291">
        <f t="shared" si="1"/>
        <v>6</v>
      </c>
      <c r="E14" s="292">
        <f>H13</f>
        <v>0</v>
      </c>
      <c r="F14" s="1085">
        <f t="shared" si="3"/>
        <v>0</v>
      </c>
      <c r="G14" s="293">
        <v>0</v>
      </c>
      <c r="H14" s="1085">
        <f t="shared" si="4"/>
        <v>0</v>
      </c>
    </row>
    <row r="15" spans="1:8" ht="15">
      <c r="A15" s="299">
        <f t="shared" si="0"/>
        <v>10</v>
      </c>
      <c r="B15" s="294" t="s">
        <v>241</v>
      </c>
      <c r="C15" s="295" t="s">
        <v>900</v>
      </c>
      <c r="D15" s="291">
        <f t="shared" si="1"/>
        <v>5</v>
      </c>
      <c r="E15" s="292">
        <f t="shared" si="2"/>
        <v>0</v>
      </c>
      <c r="F15" s="1085">
        <f t="shared" si="3"/>
        <v>0</v>
      </c>
      <c r="G15" s="293">
        <v>0</v>
      </c>
      <c r="H15" s="1085">
        <f t="shared" si="4"/>
        <v>0</v>
      </c>
    </row>
    <row r="16" spans="1:8" ht="15">
      <c r="A16" s="299">
        <f t="shared" si="0"/>
        <v>11</v>
      </c>
      <c r="B16" s="294" t="s">
        <v>242</v>
      </c>
      <c r="C16" s="295" t="s">
        <v>900</v>
      </c>
      <c r="D16" s="291">
        <f t="shared" si="1"/>
        <v>4</v>
      </c>
      <c r="E16" s="292">
        <f t="shared" si="2"/>
        <v>0</v>
      </c>
      <c r="F16" s="1085">
        <f t="shared" si="3"/>
        <v>0</v>
      </c>
      <c r="G16" s="293">
        <v>0</v>
      </c>
      <c r="H16" s="1085">
        <f t="shared" si="4"/>
        <v>0</v>
      </c>
    </row>
    <row r="17" spans="1:8" ht="15">
      <c r="A17" s="299">
        <f t="shared" si="0"/>
        <v>12</v>
      </c>
      <c r="B17" s="294" t="s">
        <v>427</v>
      </c>
      <c r="C17" s="295" t="s">
        <v>900</v>
      </c>
      <c r="D17" s="291">
        <f t="shared" si="1"/>
        <v>3</v>
      </c>
      <c r="E17" s="292">
        <f t="shared" si="2"/>
        <v>0</v>
      </c>
      <c r="F17" s="1085">
        <f t="shared" si="3"/>
        <v>0</v>
      </c>
      <c r="G17" s="293">
        <v>0</v>
      </c>
      <c r="H17" s="1085">
        <f t="shared" si="4"/>
        <v>0</v>
      </c>
    </row>
    <row r="18" spans="1:8" ht="15">
      <c r="A18" s="299">
        <f t="shared" si="0"/>
        <v>13</v>
      </c>
      <c r="B18" s="294" t="s">
        <v>243</v>
      </c>
      <c r="C18" s="295" t="s">
        <v>900</v>
      </c>
      <c r="D18" s="291">
        <f t="shared" si="1"/>
        <v>2</v>
      </c>
      <c r="E18" s="292">
        <f t="shared" si="2"/>
        <v>0</v>
      </c>
      <c r="F18" s="1085">
        <f t="shared" si="3"/>
        <v>0</v>
      </c>
      <c r="G18" s="293">
        <v>0</v>
      </c>
      <c r="H18" s="1085">
        <f t="shared" si="4"/>
        <v>0</v>
      </c>
    </row>
    <row r="19" spans="1:8" ht="15">
      <c r="A19" s="299">
        <f t="shared" si="0"/>
        <v>14</v>
      </c>
      <c r="B19" s="725" t="s">
        <v>1273</v>
      </c>
      <c r="C19" s="296" t="s">
        <v>459</v>
      </c>
      <c r="D19" s="291">
        <f t="shared" si="1"/>
        <v>1</v>
      </c>
      <c r="E19" s="292">
        <f t="shared" si="2"/>
        <v>0</v>
      </c>
      <c r="F19" s="1111">
        <f t="shared" si="3"/>
        <v>0</v>
      </c>
      <c r="G19" s="293">
        <v>0</v>
      </c>
      <c r="H19" s="1111">
        <f>E19-F19+G19</f>
        <v>0</v>
      </c>
    </row>
    <row r="20" spans="1:8" ht="15.75" thickBot="1">
      <c r="A20" s="299">
        <f t="shared" si="0"/>
        <v>15</v>
      </c>
      <c r="B20" s="297" t="s">
        <v>1134</v>
      </c>
      <c r="C20" s="295" t="str">
        <f>"(sum lines "&amp;A7&amp;"-"&amp;A19&amp;") /13"</f>
        <v>(sum lines 2-14) /13</v>
      </c>
      <c r="D20" s="298"/>
      <c r="E20" s="298"/>
      <c r="F20" s="1112">
        <f>SUM(F7:F19)</f>
        <v>0</v>
      </c>
      <c r="G20" s="293"/>
      <c r="H20" s="1087">
        <f>SUM(H7:H19)/13</f>
        <v>0</v>
      </c>
    </row>
    <row r="21" spans="1:8" ht="15.75" thickTop="1">
      <c r="A21" s="299"/>
      <c r="B21" s="556"/>
      <c r="C21" s="557"/>
      <c r="D21" s="558"/>
      <c r="E21" s="558"/>
      <c r="F21" s="559" t="s">
        <v>1064</v>
      </c>
      <c r="G21" s="293"/>
      <c r="H21" s="306" t="s">
        <v>705</v>
      </c>
    </row>
    <row r="23" spans="1:9" ht="31.5" customHeight="1">
      <c r="A23" s="1104"/>
      <c r="B23" s="1217"/>
      <c r="C23" s="1217"/>
      <c r="D23" s="1217"/>
      <c r="E23" s="1217"/>
      <c r="F23" s="1217"/>
      <c r="G23" s="1217"/>
      <c r="H23" s="1217"/>
      <c r="I23" s="1217"/>
    </row>
    <row r="24" spans="1:9" ht="15.75">
      <c r="A24" s="155"/>
      <c r="B24" s="1223"/>
      <c r="C24" s="1223"/>
      <c r="D24" s="1223"/>
      <c r="E24" s="1223"/>
      <c r="F24" s="1223"/>
      <c r="G24" s="1223"/>
      <c r="H24" s="1223"/>
      <c r="I24" s="1223"/>
    </row>
  </sheetData>
  <mergeCells count="2">
    <mergeCell ref="B24:I24"/>
    <mergeCell ref="B23:I23"/>
  </mergeCells>
  <pageMargins left="0.7" right="0.7" top="0.75" bottom="0.75" header="0.3" footer="0.3"/>
  <pageSetup orientation="landscape" scale="57"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heetViews>
  <sheetFormatPr defaultRowHeight="15"/>
  <cols>
    <col min="1" max="1" width="4.77777777777778" customWidth="1"/>
    <col min="2" max="2" width="32" customWidth="1"/>
    <col min="3" max="3" width="28.1111111111111" customWidth="1"/>
    <col min="5" max="5" width="12.8888888888889" bestFit="1" customWidth="1"/>
    <col min="6" max="6" width="16.7777777777778" bestFit="1" customWidth="1"/>
    <col min="8" max="8" width="16.3333333333333" bestFit="1" customWidth="1"/>
    <col min="9" max="9" width="18.1111111111111" customWidth="1"/>
  </cols>
  <sheetData>
    <row r="1" spans="9:9" ht="15.75">
      <c r="I1" s="661" t="s">
        <v>774</v>
      </c>
    </row>
    <row r="2" spans="9:9" ht="15.75">
      <c r="I2" s="661" t="s">
        <v>221</v>
      </c>
    </row>
    <row r="3" spans="9:9" ht="15.75">
      <c r="I3" s="662" t="str">
        <f>'Attachment 1 - Sched 1A'!$J$3</f>
        <v>For the 12 months ended 12/31/2021</v>
      </c>
    </row>
    <row r="4" spans="4:4" ht="15">
      <c r="D4" t="s">
        <v>775</v>
      </c>
    </row>
    <row r="5" spans="1:8" ht="15.75">
      <c r="A5" s="55"/>
      <c r="B5" s="509" t="s">
        <v>606</v>
      </c>
      <c r="C5" s="509" t="s">
        <v>607</v>
      </c>
      <c r="D5" s="509" t="s">
        <v>608</v>
      </c>
      <c r="E5" s="509" t="s">
        <v>609</v>
      </c>
      <c r="F5" s="669" t="s">
        <v>610</v>
      </c>
      <c r="G5" s="669" t="s">
        <v>611</v>
      </c>
      <c r="H5" s="669" t="s">
        <v>612</v>
      </c>
    </row>
    <row r="6" spans="1:8" ht="63.75">
      <c r="A6" s="299">
        <v>1</v>
      </c>
      <c r="B6" s="300" t="s">
        <v>417</v>
      </c>
      <c r="C6" s="295" t="s">
        <v>374</v>
      </c>
      <c r="D6" s="301" t="s">
        <v>418</v>
      </c>
      <c r="E6" s="302" t="s">
        <v>419</v>
      </c>
      <c r="F6" s="303" t="s">
        <v>420</v>
      </c>
      <c r="G6" s="303" t="s">
        <v>421</v>
      </c>
      <c r="H6" s="304" t="s">
        <v>422</v>
      </c>
    </row>
    <row r="7" spans="1:8" ht="15">
      <c r="A7" s="299">
        <f t="shared" si="0" ref="A7:A20">A6+1</f>
        <v>2</v>
      </c>
      <c r="B7" s="725" t="s">
        <v>1155</v>
      </c>
      <c r="C7" s="290" t="s">
        <v>423</v>
      </c>
      <c r="D7" s="552">
        <v>13</v>
      </c>
      <c r="E7" s="553"/>
      <c r="F7" s="554"/>
      <c r="G7" s="554"/>
      <c r="H7" s="554">
        <v>0</v>
      </c>
    </row>
    <row r="8" spans="1:8" ht="15">
      <c r="A8" s="299">
        <f t="shared" si="0"/>
        <v>3</v>
      </c>
      <c r="B8" s="294" t="s">
        <v>424</v>
      </c>
      <c r="C8" s="295" t="s">
        <v>901</v>
      </c>
      <c r="D8" s="291">
        <f>D7-1</f>
        <v>12</v>
      </c>
      <c r="E8" s="292">
        <f>H7</f>
        <v>0</v>
      </c>
      <c r="F8" s="293">
        <f>E8/D8</f>
        <v>0</v>
      </c>
      <c r="G8" s="293">
        <v>0</v>
      </c>
      <c r="H8" s="293">
        <f t="shared" si="1" ref="H8:H19">E8-F8+G8</f>
        <v>0</v>
      </c>
    </row>
    <row r="9" spans="1:8" ht="15">
      <c r="A9" s="299">
        <f t="shared" si="0"/>
        <v>4</v>
      </c>
      <c r="B9" s="294" t="s">
        <v>236</v>
      </c>
      <c r="C9" s="295" t="s">
        <v>901</v>
      </c>
      <c r="D9" s="291">
        <f t="shared" si="2" ref="D9:D19">D8-1</f>
        <v>11</v>
      </c>
      <c r="E9" s="292">
        <f t="shared" si="3" ref="E9:E19">H8</f>
        <v>0</v>
      </c>
      <c r="F9" s="293">
        <f t="shared" si="4" ref="F9:F19">E9/D9</f>
        <v>0</v>
      </c>
      <c r="G9" s="293">
        <v>0</v>
      </c>
      <c r="H9" s="293">
        <f t="shared" si="1"/>
        <v>0</v>
      </c>
    </row>
    <row r="10" spans="1:8" ht="15">
      <c r="A10" s="299">
        <f t="shared" si="0"/>
        <v>5</v>
      </c>
      <c r="B10" s="294" t="s">
        <v>237</v>
      </c>
      <c r="C10" s="295" t="s">
        <v>901</v>
      </c>
      <c r="D10" s="291">
        <f t="shared" si="2"/>
        <v>10</v>
      </c>
      <c r="E10" s="292">
        <f t="shared" si="3"/>
        <v>0</v>
      </c>
      <c r="F10" s="293">
        <f t="shared" si="4"/>
        <v>0</v>
      </c>
      <c r="G10" s="293">
        <v>0</v>
      </c>
      <c r="H10" s="293">
        <f t="shared" si="1"/>
        <v>0</v>
      </c>
    </row>
    <row r="11" spans="1:8" ht="15">
      <c r="A11" s="299">
        <f t="shared" si="0"/>
        <v>6</v>
      </c>
      <c r="B11" s="294" t="s">
        <v>238</v>
      </c>
      <c r="C11" s="295" t="s">
        <v>901</v>
      </c>
      <c r="D11" s="291">
        <f t="shared" si="2"/>
        <v>9</v>
      </c>
      <c r="E11" s="292">
        <f t="shared" si="3"/>
        <v>0</v>
      </c>
      <c r="F11" s="293">
        <f t="shared" si="4"/>
        <v>0</v>
      </c>
      <c r="G11" s="293">
        <v>0</v>
      </c>
      <c r="H11" s="293">
        <f t="shared" si="1"/>
        <v>0</v>
      </c>
    </row>
    <row r="12" spans="1:8" ht="15">
      <c r="A12" s="299">
        <f t="shared" si="0"/>
        <v>7</v>
      </c>
      <c r="B12" s="294" t="s">
        <v>239</v>
      </c>
      <c r="C12" s="295" t="s">
        <v>901</v>
      </c>
      <c r="D12" s="291">
        <f t="shared" si="2"/>
        <v>8</v>
      </c>
      <c r="E12" s="292">
        <f t="shared" si="3"/>
        <v>0</v>
      </c>
      <c r="F12" s="293">
        <f t="shared" si="4"/>
        <v>0</v>
      </c>
      <c r="G12" s="293">
        <v>0</v>
      </c>
      <c r="H12" s="293">
        <f t="shared" si="1"/>
        <v>0</v>
      </c>
    </row>
    <row r="13" spans="1:8" ht="15">
      <c r="A13" s="299">
        <f t="shared" si="0"/>
        <v>8</v>
      </c>
      <c r="B13" s="294" t="s">
        <v>426</v>
      </c>
      <c r="C13" s="295" t="s">
        <v>901</v>
      </c>
      <c r="D13" s="291">
        <f t="shared" si="2"/>
        <v>7</v>
      </c>
      <c r="E13" s="292">
        <f t="shared" si="3"/>
        <v>0</v>
      </c>
      <c r="F13" s="293">
        <f t="shared" si="4"/>
        <v>0</v>
      </c>
      <c r="G13" s="293">
        <v>0</v>
      </c>
      <c r="H13" s="293">
        <f t="shared" si="1"/>
        <v>0</v>
      </c>
    </row>
    <row r="14" spans="1:8" ht="15">
      <c r="A14" s="299">
        <f t="shared" si="0"/>
        <v>9</v>
      </c>
      <c r="B14" s="294" t="s">
        <v>240</v>
      </c>
      <c r="C14" s="295" t="s">
        <v>901</v>
      </c>
      <c r="D14" s="291">
        <f t="shared" si="2"/>
        <v>6</v>
      </c>
      <c r="E14" s="292">
        <f t="shared" si="3"/>
        <v>0</v>
      </c>
      <c r="F14" s="293">
        <f t="shared" si="4"/>
        <v>0</v>
      </c>
      <c r="G14" s="293">
        <v>0</v>
      </c>
      <c r="H14" s="293">
        <f t="shared" si="1"/>
        <v>0</v>
      </c>
    </row>
    <row r="15" spans="1:8" ht="15">
      <c r="A15" s="299">
        <f t="shared" si="0"/>
        <v>10</v>
      </c>
      <c r="B15" s="294" t="s">
        <v>241</v>
      </c>
      <c r="C15" s="295" t="s">
        <v>901</v>
      </c>
      <c r="D15" s="291">
        <f t="shared" si="2"/>
        <v>5</v>
      </c>
      <c r="E15" s="292">
        <f t="shared" si="3"/>
        <v>0</v>
      </c>
      <c r="F15" s="293">
        <f t="shared" si="4"/>
        <v>0</v>
      </c>
      <c r="G15" s="293">
        <v>0</v>
      </c>
      <c r="H15" s="293">
        <f t="shared" si="1"/>
        <v>0</v>
      </c>
    </row>
    <row r="16" spans="1:8" ht="15">
      <c r="A16" s="299">
        <f t="shared" si="0"/>
        <v>11</v>
      </c>
      <c r="B16" s="294" t="s">
        <v>242</v>
      </c>
      <c r="C16" s="295" t="s">
        <v>901</v>
      </c>
      <c r="D16" s="291">
        <f t="shared" si="2"/>
        <v>4</v>
      </c>
      <c r="E16" s="292">
        <f t="shared" si="3"/>
        <v>0</v>
      </c>
      <c r="F16" s="293">
        <f t="shared" si="4"/>
        <v>0</v>
      </c>
      <c r="G16" s="293">
        <v>0</v>
      </c>
      <c r="H16" s="293">
        <f t="shared" si="1"/>
        <v>0</v>
      </c>
    </row>
    <row r="17" spans="1:8" ht="15">
      <c r="A17" s="299">
        <f t="shared" si="0"/>
        <v>12</v>
      </c>
      <c r="B17" s="294" t="s">
        <v>427</v>
      </c>
      <c r="C17" s="295" t="s">
        <v>901</v>
      </c>
      <c r="D17" s="291">
        <f t="shared" si="2"/>
        <v>3</v>
      </c>
      <c r="E17" s="292">
        <f t="shared" si="3"/>
        <v>0</v>
      </c>
      <c r="F17" s="293">
        <f t="shared" si="4"/>
        <v>0</v>
      </c>
      <c r="G17" s="293">
        <v>0</v>
      </c>
      <c r="H17" s="293">
        <f t="shared" si="1"/>
        <v>0</v>
      </c>
    </row>
    <row r="18" spans="1:8" ht="15">
      <c r="A18" s="299">
        <f t="shared" si="0"/>
        <v>13</v>
      </c>
      <c r="B18" s="294" t="s">
        <v>243</v>
      </c>
      <c r="C18" s="295" t="s">
        <v>901</v>
      </c>
      <c r="D18" s="291">
        <f t="shared" si="2"/>
        <v>2</v>
      </c>
      <c r="E18" s="292">
        <f t="shared" si="3"/>
        <v>0</v>
      </c>
      <c r="F18" s="293">
        <f t="shared" si="4"/>
        <v>0</v>
      </c>
      <c r="G18" s="293">
        <v>0</v>
      </c>
      <c r="H18" s="293">
        <f t="shared" si="1"/>
        <v>0</v>
      </c>
    </row>
    <row r="19" spans="1:8" ht="17.25">
      <c r="A19" s="299">
        <f t="shared" si="0"/>
        <v>14</v>
      </c>
      <c r="B19" s="725" t="s">
        <v>1273</v>
      </c>
      <c r="C19" s="296" t="s">
        <v>428</v>
      </c>
      <c r="D19" s="291">
        <f t="shared" si="2"/>
        <v>1</v>
      </c>
      <c r="E19" s="292">
        <f t="shared" si="3"/>
        <v>0</v>
      </c>
      <c r="F19" s="707">
        <f t="shared" si="4"/>
        <v>0</v>
      </c>
      <c r="G19" s="293">
        <v>0</v>
      </c>
      <c r="H19" s="707">
        <f t="shared" si="1"/>
        <v>0</v>
      </c>
    </row>
    <row r="20" spans="1:8" ht="15.75" thickBot="1">
      <c r="A20" s="299">
        <f t="shared" si="0"/>
        <v>15</v>
      </c>
      <c r="B20" s="297" t="s">
        <v>756</v>
      </c>
      <c r="C20" s="295" t="str">
        <f>"(sum lines "&amp;A7&amp;"-"&amp;A19&amp;") /13"</f>
        <v>(sum lines 2-14) /13</v>
      </c>
      <c r="D20" s="298"/>
      <c r="E20" s="298"/>
      <c r="F20" s="708">
        <f>SUM(F7:F19)</f>
        <v>0</v>
      </c>
      <c r="G20" s="293"/>
      <c r="H20" s="708">
        <f>SUM(H7:H19)/13</f>
        <v>0</v>
      </c>
    </row>
    <row r="21" spans="1:8" ht="15.75" thickTop="1">
      <c r="A21" s="299"/>
      <c r="B21" s="297"/>
      <c r="C21" s="295"/>
      <c r="D21" s="298"/>
      <c r="E21" s="298"/>
      <c r="F21" s="305" t="s">
        <v>753</v>
      </c>
      <c r="G21" s="293"/>
      <c r="H21" s="306" t="s">
        <v>706</v>
      </c>
    </row>
    <row r="23" spans="1:1" ht="15">
      <c r="A23" s="555" t="s">
        <v>190</v>
      </c>
    </row>
    <row r="24" spans="1:9" ht="29.25" customHeight="1">
      <c r="A24" s="155"/>
      <c r="B24" s="1224" t="s">
        <v>402</v>
      </c>
      <c r="C24" s="1224"/>
      <c r="D24" s="1224"/>
      <c r="E24" s="1224"/>
      <c r="F24" s="1224"/>
      <c r="G24" s="1224"/>
      <c r="H24" s="1224"/>
      <c r="I24" s="1224"/>
    </row>
  </sheetData>
  <mergeCells count="1">
    <mergeCell ref="B24:I24"/>
  </mergeCells>
  <pageMargins left="0.7" right="0.7" top="0.75" bottom="0.75" header="0.3" footer="0.3"/>
  <pageSetup orientation="landscape" scale="62"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dimension ref="A1:I28"/>
  <sheetViews>
    <sheetView view="pageBreakPreview" zoomScale="60" zoomScaleNormal="100" workbookViewId="0" topLeftCell="A1"/>
  </sheetViews>
  <sheetFormatPr defaultRowHeight="15"/>
  <cols>
    <col min="5" max="7" width="20.7777777777778" customWidth="1"/>
  </cols>
  <sheetData>
    <row r="1" spans="9:9" ht="15.75">
      <c r="I1" s="661" t="s">
        <v>776</v>
      </c>
    </row>
    <row r="2" spans="9:9" ht="15.75">
      <c r="I2" s="661" t="s">
        <v>221</v>
      </c>
    </row>
    <row r="3" spans="9:9" ht="15.75">
      <c r="I3" s="662" t="str">
        <f>'Attachment 1 - Sched 1A'!$J$3</f>
        <v>For the 12 months ended 12/31/2021</v>
      </c>
    </row>
    <row r="4" spans="1:7" ht="15.75">
      <c r="A4" s="55"/>
      <c r="B4" s="46"/>
      <c r="C4" s="46"/>
      <c r="D4" s="46"/>
      <c r="E4" s="52"/>
      <c r="F4" s="52"/>
      <c r="G4" s="52"/>
    </row>
    <row r="5" spans="1:7" ht="16.5" customHeight="1">
      <c r="A5" s="52"/>
      <c r="B5" s="46"/>
      <c r="C5" s="46"/>
      <c r="D5" s="46"/>
      <c r="E5" s="260" t="s">
        <v>399</v>
      </c>
      <c r="F5" s="307"/>
      <c r="G5" s="307"/>
    </row>
    <row r="6" spans="1:7" ht="15.75">
      <c r="A6" s="52"/>
      <c r="B6" s="46"/>
      <c r="C6" s="46"/>
      <c r="D6" s="46"/>
      <c r="E6" s="53" t="s">
        <v>260</v>
      </c>
      <c r="F6" s="308"/>
      <c r="G6" s="308"/>
    </row>
    <row r="7" spans="1:7" ht="15.75">
      <c r="A7" s="52"/>
      <c r="B7" s="46"/>
      <c r="C7" s="46"/>
      <c r="D7" s="50"/>
      <c r="E7" s="53" t="s">
        <v>401</v>
      </c>
      <c r="F7" s="308"/>
      <c r="G7" s="308"/>
    </row>
    <row r="8" spans="1:7" ht="15.75">
      <c r="A8" s="56">
        <v>1</v>
      </c>
      <c r="B8" s="46" t="s">
        <v>234</v>
      </c>
      <c r="C8" s="49">
        <v>2020</v>
      </c>
      <c r="D8" s="46"/>
      <c r="E8" s="122"/>
      <c r="F8" s="128"/>
      <c r="G8" s="128"/>
    </row>
    <row r="9" spans="1:7" ht="15.75">
      <c r="A9" s="56">
        <v>2</v>
      </c>
      <c r="B9" s="46" t="s">
        <v>235</v>
      </c>
      <c r="C9" s="48">
        <f>C8+1</f>
        <v>2021</v>
      </c>
      <c r="D9" s="46"/>
      <c r="E9" s="122"/>
      <c r="F9" s="128"/>
      <c r="G9" s="128"/>
    </row>
    <row r="10" spans="1:7" ht="15.75">
      <c r="A10" s="56">
        <v>3</v>
      </c>
      <c r="B10" s="46" t="s">
        <v>236</v>
      </c>
      <c r="C10" s="48">
        <f>C9</f>
        <v>2021</v>
      </c>
      <c r="D10" s="46"/>
      <c r="E10" s="122"/>
      <c r="F10" s="128"/>
      <c r="G10" s="128"/>
    </row>
    <row r="11" spans="1:7" ht="15.75">
      <c r="A11" s="56">
        <v>4</v>
      </c>
      <c r="B11" s="46" t="s">
        <v>237</v>
      </c>
      <c r="C11" s="48">
        <f t="shared" si="0" ref="C11:C20">C10</f>
        <v>2021</v>
      </c>
      <c r="D11" s="46"/>
      <c r="E11" s="122"/>
      <c r="F11" s="128"/>
      <c r="G11" s="128"/>
    </row>
    <row r="12" spans="1:7" ht="15.75">
      <c r="A12" s="56">
        <v>5</v>
      </c>
      <c r="B12" s="46" t="s">
        <v>238</v>
      </c>
      <c r="C12" s="48">
        <f t="shared" si="0"/>
        <v>2021</v>
      </c>
      <c r="D12" s="46"/>
      <c r="E12" s="122"/>
      <c r="F12" s="128"/>
      <c r="G12" s="128"/>
    </row>
    <row r="13" spans="1:7" ht="15.75">
      <c r="A13" s="56">
        <v>6</v>
      </c>
      <c r="B13" s="46" t="s">
        <v>239</v>
      </c>
      <c r="C13" s="48">
        <f t="shared" si="0"/>
        <v>2021</v>
      </c>
      <c r="D13" s="46"/>
      <c r="E13" s="122"/>
      <c r="F13" s="128"/>
      <c r="G13" s="128"/>
    </row>
    <row r="14" spans="1:7" ht="15.75">
      <c r="A14" s="56">
        <v>7</v>
      </c>
      <c r="B14" s="46" t="s">
        <v>250</v>
      </c>
      <c r="C14" s="48">
        <f t="shared" si="0"/>
        <v>2021</v>
      </c>
      <c r="D14" s="46"/>
      <c r="E14" s="122"/>
      <c r="F14" s="128"/>
      <c r="G14" s="128"/>
    </row>
    <row r="15" spans="1:7" ht="15.75">
      <c r="A15" s="56">
        <v>8</v>
      </c>
      <c r="B15" s="46" t="s">
        <v>240</v>
      </c>
      <c r="C15" s="48">
        <f t="shared" si="0"/>
        <v>2021</v>
      </c>
      <c r="D15" s="46"/>
      <c r="E15" s="122"/>
      <c r="F15" s="128"/>
      <c r="G15" s="128"/>
    </row>
    <row r="16" spans="1:7" ht="15.75">
      <c r="A16" s="56">
        <v>9</v>
      </c>
      <c r="B16" s="46" t="s">
        <v>241</v>
      </c>
      <c r="C16" s="48">
        <f t="shared" si="0"/>
        <v>2021</v>
      </c>
      <c r="D16" s="46"/>
      <c r="E16" s="122"/>
      <c r="F16" s="128"/>
      <c r="G16" s="128"/>
    </row>
    <row r="17" spans="1:7" ht="15.75">
      <c r="A17" s="56">
        <v>10</v>
      </c>
      <c r="B17" s="46" t="s">
        <v>242</v>
      </c>
      <c r="C17" s="48">
        <f t="shared" si="0"/>
        <v>2021</v>
      </c>
      <c r="D17" s="46"/>
      <c r="E17" s="122"/>
      <c r="F17" s="128"/>
      <c r="G17" s="128"/>
    </row>
    <row r="18" spans="1:7" ht="15.75">
      <c r="A18" s="56">
        <v>11</v>
      </c>
      <c r="B18" s="46" t="s">
        <v>244</v>
      </c>
      <c r="C18" s="48">
        <f t="shared" si="0"/>
        <v>2021</v>
      </c>
      <c r="D18" s="46"/>
      <c r="E18" s="122"/>
      <c r="F18" s="128"/>
      <c r="G18" s="128"/>
    </row>
    <row r="19" spans="1:7" ht="15.75">
      <c r="A19" s="56">
        <v>12</v>
      </c>
      <c r="B19" s="46" t="s">
        <v>243</v>
      </c>
      <c r="C19" s="48">
        <f t="shared" si="0"/>
        <v>2021</v>
      </c>
      <c r="D19" s="46"/>
      <c r="E19" s="122"/>
      <c r="F19" s="128"/>
      <c r="G19" s="128"/>
    </row>
    <row r="20" spans="1:7" ht="15.75">
      <c r="A20" s="56">
        <v>13</v>
      </c>
      <c r="B20" s="46" t="s">
        <v>234</v>
      </c>
      <c r="C20" s="48">
        <f t="shared" si="0"/>
        <v>2021</v>
      </c>
      <c r="D20" s="46"/>
      <c r="E20" s="122"/>
      <c r="F20" s="128"/>
      <c r="G20" s="128"/>
    </row>
    <row r="21" spans="1:7" ht="15.75">
      <c r="A21" s="52"/>
      <c r="B21" s="46"/>
      <c r="C21" s="46"/>
      <c r="D21" s="46"/>
      <c r="E21" s="124"/>
      <c r="F21" s="128"/>
      <c r="G21" s="128"/>
    </row>
    <row r="22" spans="1:7" ht="15.75">
      <c r="A22" s="56">
        <v>14</v>
      </c>
      <c r="B22" s="46" t="s">
        <v>259</v>
      </c>
      <c r="C22" s="46"/>
      <c r="D22" s="46"/>
      <c r="E22" s="124">
        <f>SUM(E8:E20)/13</f>
        <v>0</v>
      </c>
      <c r="F22" s="128"/>
      <c r="G22" s="128"/>
    </row>
    <row r="25" spans="1:1" ht="15.75">
      <c r="A25" s="46" t="s">
        <v>261</v>
      </c>
    </row>
    <row r="26" spans="1:2" ht="15.75">
      <c r="A26" s="52" t="s">
        <v>260</v>
      </c>
      <c r="B26" s="46" t="s">
        <v>400</v>
      </c>
    </row>
    <row r="27" spans="1:9" ht="15.75">
      <c r="A27" s="52"/>
      <c r="B27" s="46"/>
      <c r="C27" s="46"/>
      <c r="D27" s="46"/>
      <c r="E27" s="46"/>
      <c r="F27" s="46"/>
      <c r="G27" s="46"/>
      <c r="H27" s="46"/>
      <c r="I27" s="46"/>
    </row>
    <row r="28" spans="1:9" ht="33" customHeight="1">
      <c r="A28" s="52"/>
      <c r="B28" s="1198"/>
      <c r="C28" s="1198"/>
      <c r="D28" s="1198"/>
      <c r="E28" s="1198"/>
      <c r="F28" s="1198"/>
      <c r="G28" s="1198"/>
      <c r="H28" s="1198"/>
      <c r="I28" s="1198"/>
    </row>
  </sheetData>
  <mergeCells count="1">
    <mergeCell ref="B28:I28"/>
  </mergeCells>
  <pageMargins left="0.7" right="0.7" top="0.75" bottom="0.75" header="0.3" footer="0.3"/>
  <pageSetup orientation="portrait" scale="64"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80" zoomScaleNormal="100" zoomScaleSheetLayoutView="80" workbookViewId="0" topLeftCell="A1"/>
  </sheetViews>
  <sheetFormatPr defaultColWidth="8.88555555555556" defaultRowHeight="12.75"/>
  <cols>
    <col min="1" max="1" width="8.88888888888889" style="130"/>
    <col min="2" max="2" width="2.77777777777778" style="130" customWidth="1"/>
    <col min="3" max="3" width="22.5555555555556" style="130" bestFit="1" customWidth="1"/>
    <col min="4" max="4" width="18.7777777777778" style="130" customWidth="1"/>
    <col min="5" max="5" width="22.8888888888889" style="130" customWidth="1"/>
    <col min="6" max="7" width="15.7777777777778" style="130" customWidth="1"/>
    <col min="8" max="16384" width="8.88888888888889" style="130"/>
  </cols>
  <sheetData>
    <row r="1" spans="9:9" ht="15.75">
      <c r="I1" s="661" t="s">
        <v>777</v>
      </c>
    </row>
    <row r="2" spans="9:9" ht="15.75">
      <c r="I2" s="661" t="s">
        <v>221</v>
      </c>
    </row>
    <row r="3" spans="9:9" ht="15.75">
      <c r="I3" s="662" t="str">
        <f>'Attachment 1 - Sched 1A'!$J$3</f>
        <v>For the 12 months ended 12/31/2021</v>
      </c>
    </row>
    <row r="4" spans="1:2" ht="15.75">
      <c r="A4" s="55"/>
      <c r="B4" s="55"/>
    </row>
    <row r="5" spans="2:7" ht="13.5" thickBot="1">
      <c r="B5" s="150" t="s">
        <v>369</v>
      </c>
      <c r="C5" s="150"/>
      <c r="D5" s="150"/>
      <c r="E5" s="150"/>
      <c r="F5" s="150"/>
      <c r="G5" s="150"/>
    </row>
    <row r="7" spans="3:4" ht="12.75">
      <c r="C7" s="130" t="s">
        <v>363</v>
      </c>
      <c r="D7" s="151">
        <v>0.20999999999999999</v>
      </c>
    </row>
    <row r="8" spans="3:3" ht="25.5">
      <c r="C8" s="152" t="s">
        <v>866</v>
      </c>
    </row>
    <row r="9" spans="3:3" ht="12.75">
      <c r="C9" s="152"/>
    </row>
    <row r="10" spans="3:3" ht="12.75">
      <c r="C10" s="152"/>
    </row>
    <row r="11" spans="2:7" ht="13.5" thickBot="1">
      <c r="B11" s="150" t="s">
        <v>368</v>
      </c>
      <c r="C11" s="150"/>
      <c r="D11" s="150"/>
      <c r="E11" s="150"/>
      <c r="F11" s="150"/>
      <c r="G11" s="150"/>
    </row>
    <row r="12" spans="2:7" ht="12.75">
      <c r="B12" s="154"/>
      <c r="C12" s="154"/>
      <c r="D12" s="154"/>
      <c r="E12" s="154"/>
      <c r="F12" s="154"/>
      <c r="G12" s="154"/>
    </row>
    <row r="13" spans="4:5" ht="12.75">
      <c r="D13" s="148" t="s">
        <v>367</v>
      </c>
      <c r="E13" s="148" t="s">
        <v>370</v>
      </c>
    </row>
    <row r="14" spans="4:5" ht="29.25" customHeight="1">
      <c r="D14" s="148"/>
      <c r="E14" s="149" t="s">
        <v>866</v>
      </c>
    </row>
    <row r="15" spans="3:4" ht="12.75">
      <c r="C15" s="130" t="s">
        <v>364</v>
      </c>
      <c r="D15" s="151">
        <v>0.099900000000000003</v>
      </c>
    </row>
    <row r="16" spans="3:4" ht="12.75">
      <c r="C16" s="130" t="s">
        <v>365</v>
      </c>
      <c r="D16" s="151">
        <v>1</v>
      </c>
    </row>
    <row r="17" spans="3:5" ht="13.5" thickBot="1">
      <c r="C17" s="130" t="s">
        <v>366</v>
      </c>
      <c r="D17" s="153">
        <f>D15*D16</f>
        <v>0.099900000000000003</v>
      </c>
      <c r="E17" s="153">
        <f>SUM(D17:D17)</f>
        <v>0.099900000000000003</v>
      </c>
    </row>
    <row r="18" ht="13.5" thickTop="1"/>
  </sheetData>
  <pageMargins left="0.7" right="0.7" top="0.75" bottom="0.75" header="0.3" footer="0.3"/>
  <pageSetup orientation="portrait" scale="6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77"/>
  <sheetViews>
    <sheetView view="pageBreakPreview" zoomScale="80" zoomScaleNormal="90" zoomScaleSheetLayoutView="80" workbookViewId="0" topLeftCell="A1"/>
  </sheetViews>
  <sheetFormatPr defaultColWidth="8.88555555555556" defaultRowHeight="15.75"/>
  <cols>
    <col min="1" max="1" width="6.33333333333333" style="2" customWidth="1"/>
    <col min="2" max="2" width="9" style="2" customWidth="1"/>
    <col min="3" max="3" width="1.22222222222222" style="2" customWidth="1"/>
    <col min="4" max="4" width="50.7777777777778" style="2" customWidth="1"/>
    <col min="5" max="5" width="1.44444444444444" style="2" customWidth="1"/>
    <col min="6" max="6" width="24.4444444444444" style="2" customWidth="1"/>
    <col min="7" max="7" width="3.66666666666667" style="3" customWidth="1"/>
    <col min="8" max="16384" width="8.88888888888889" style="2"/>
  </cols>
  <sheetData>
    <row r="1" spans="6:6" ht="15.75">
      <c r="F1" s="661" t="s">
        <v>904</v>
      </c>
    </row>
    <row r="2" spans="6:6" ht="15.75">
      <c r="F2" s="661" t="s">
        <v>224</v>
      </c>
    </row>
    <row r="3" spans="6:6" ht="15.75">
      <c r="F3" s="662" t="str">
        <f>'Attachment 1 - Sched 1A'!$J$3</f>
        <v>For the 12 months ended 12/31/2021</v>
      </c>
    </row>
    <row r="4" spans="6:6" ht="15.75">
      <c r="F4" s="661"/>
    </row>
    <row r="5" spans="2:6" ht="15.75">
      <c r="B5" s="748" t="s">
        <v>905</v>
      </c>
      <c r="C5" s="749"/>
      <c r="D5" s="749"/>
      <c r="F5" s="662"/>
    </row>
    <row r="7" spans="1:6" ht="31.5">
      <c r="A7" s="750" t="s">
        <v>906</v>
      </c>
      <c r="B7" s="751" t="s">
        <v>907</v>
      </c>
      <c r="D7" s="752" t="s">
        <v>908</v>
      </c>
      <c r="F7" s="753" t="s">
        <v>909</v>
      </c>
    </row>
    <row r="8" spans="2:6" ht="15.75">
      <c r="B8" s="752"/>
      <c r="D8" s="752"/>
      <c r="F8" s="754"/>
    </row>
    <row r="9" spans="1:6" ht="15.75">
      <c r="A9" s="1">
        <v>82</v>
      </c>
      <c r="B9" s="1"/>
      <c r="D9" s="755" t="s">
        <v>910</v>
      </c>
      <c r="F9" s="756"/>
    </row>
    <row r="10" spans="1:6" ht="15.75">
      <c r="A10" s="1">
        <v>83</v>
      </c>
      <c r="B10" s="1">
        <v>560</v>
      </c>
      <c r="D10" s="2" t="s">
        <v>911</v>
      </c>
      <c r="F10" s="757">
        <v>262493</v>
      </c>
    </row>
    <row r="11" spans="1:6" ht="15.75">
      <c r="A11" s="1">
        <v>84</v>
      </c>
      <c r="B11" s="1"/>
      <c r="F11" s="758"/>
    </row>
    <row r="12" spans="1:6" ht="15.75">
      <c r="A12" s="1">
        <v>85</v>
      </c>
      <c r="B12" s="1">
        <v>561.10000000000002</v>
      </c>
      <c r="D12" s="2" t="s">
        <v>912</v>
      </c>
      <c r="F12" s="757">
        <v>1214314</v>
      </c>
    </row>
    <row r="13" spans="1:6" ht="15.75">
      <c r="A13" s="1">
        <v>86</v>
      </c>
      <c r="B13" s="1">
        <v>561.20000000000005</v>
      </c>
      <c r="D13" s="2" t="s">
        <v>913</v>
      </c>
      <c r="F13" s="757">
        <v>402688</v>
      </c>
    </row>
    <row r="14" spans="1:6" ht="15.75">
      <c r="A14" s="1">
        <v>87</v>
      </c>
      <c r="B14" s="1">
        <v>561.29999999999995</v>
      </c>
      <c r="D14" s="2" t="s">
        <v>914</v>
      </c>
      <c r="F14" s="757"/>
    </row>
    <row r="15" spans="1:6" ht="15.75">
      <c r="A15" s="1">
        <v>88</v>
      </c>
      <c r="B15" s="1">
        <v>561.39999999999998</v>
      </c>
      <c r="D15" s="2" t="s">
        <v>915</v>
      </c>
      <c r="F15" s="757">
        <v>13302</v>
      </c>
    </row>
    <row r="16" spans="1:6" ht="15.75">
      <c r="A16" s="1">
        <v>89</v>
      </c>
      <c r="B16" s="1">
        <v>561.5</v>
      </c>
      <c r="D16" s="2" t="s">
        <v>916</v>
      </c>
      <c r="F16" s="757">
        <v>221647</v>
      </c>
    </row>
    <row r="17" spans="1:6" ht="15.75">
      <c r="A17" s="1">
        <v>90</v>
      </c>
      <c r="B17" s="1">
        <v>561.60000000000002</v>
      </c>
      <c r="D17" s="2" t="s">
        <v>917</v>
      </c>
      <c r="F17" s="757">
        <v>22418</v>
      </c>
    </row>
    <row r="18" spans="1:6" ht="15.75">
      <c r="A18" s="1">
        <v>91</v>
      </c>
      <c r="B18" s="1">
        <v>561.70000000000005</v>
      </c>
      <c r="D18" s="2" t="s">
        <v>918</v>
      </c>
      <c r="F18" s="757">
        <v>-104360</v>
      </c>
    </row>
    <row r="19" spans="1:6" ht="15.75">
      <c r="A19" s="1">
        <v>92</v>
      </c>
      <c r="B19" s="1">
        <v>561.79999999999995</v>
      </c>
      <c r="D19" s="2" t="s">
        <v>919</v>
      </c>
      <c r="F19" s="757"/>
    </row>
    <row r="20" spans="1:6" ht="15.75">
      <c r="A20" s="1">
        <v>93</v>
      </c>
      <c r="B20" s="8">
        <v>562</v>
      </c>
      <c r="D20" s="2" t="s">
        <v>920</v>
      </c>
      <c r="F20" s="757">
        <v>3041927</v>
      </c>
    </row>
    <row r="21" spans="1:6" ht="15.75">
      <c r="A21" s="1">
        <v>94</v>
      </c>
      <c r="B21" s="8">
        <v>563</v>
      </c>
      <c r="D21" s="2" t="s">
        <v>921</v>
      </c>
      <c r="F21" s="757">
        <v>1858618</v>
      </c>
    </row>
    <row r="22" spans="1:6" ht="15.75">
      <c r="A22" s="1">
        <v>95</v>
      </c>
      <c r="B22" s="8">
        <v>564</v>
      </c>
      <c r="D22" s="2" t="s">
        <v>922</v>
      </c>
      <c r="F22" s="757"/>
    </row>
    <row r="23" spans="1:6" ht="15.75">
      <c r="A23" s="1">
        <v>96</v>
      </c>
      <c r="B23" s="8">
        <v>565</v>
      </c>
      <c r="D23" s="2" t="s">
        <v>1113</v>
      </c>
      <c r="F23" s="757"/>
    </row>
    <row r="24" spans="1:6" ht="15.75">
      <c r="A24" s="1">
        <v>97</v>
      </c>
      <c r="B24" s="8">
        <v>566</v>
      </c>
      <c r="D24" s="2" t="s">
        <v>923</v>
      </c>
      <c r="F24" s="757">
        <v>9514101.8399999999</v>
      </c>
    </row>
    <row r="25" spans="1:6" ht="15.75">
      <c r="A25" s="1">
        <v>98</v>
      </c>
      <c r="B25" s="8">
        <v>567</v>
      </c>
      <c r="D25" s="2" t="s">
        <v>924</v>
      </c>
      <c r="F25" s="757">
        <v>11095493.210000001</v>
      </c>
    </row>
    <row r="26" spans="1:6" ht="15.75">
      <c r="A26" s="1">
        <v>99</v>
      </c>
      <c r="B26" s="8"/>
      <c r="D26" s="2" t="s">
        <v>925</v>
      </c>
      <c r="F26" s="759">
        <f>SUM(F10,F12:F25)</f>
        <v>27542642.050000001</v>
      </c>
    </row>
    <row r="27" spans="1:6" ht="15.75">
      <c r="A27" s="1">
        <v>100</v>
      </c>
      <c r="B27" s="8"/>
      <c r="D27" s="755" t="s">
        <v>926</v>
      </c>
      <c r="F27" s="758"/>
    </row>
    <row r="28" spans="1:6" ht="15.75">
      <c r="A28" s="1">
        <v>101</v>
      </c>
      <c r="B28" s="8">
        <v>568</v>
      </c>
      <c r="D28" s="2" t="s">
        <v>927</v>
      </c>
      <c r="F28" s="757">
        <v>4853736</v>
      </c>
    </row>
    <row r="29" spans="1:6" ht="15.75">
      <c r="A29" s="1">
        <v>102</v>
      </c>
      <c r="B29" s="8">
        <v>569</v>
      </c>
      <c r="D29" s="2" t="s">
        <v>928</v>
      </c>
      <c r="F29" s="757"/>
    </row>
    <row r="30" spans="1:6" ht="15.75">
      <c r="A30" s="1">
        <v>103</v>
      </c>
      <c r="B30" s="760">
        <v>569.10000000000002</v>
      </c>
      <c r="D30" s="2" t="s">
        <v>929</v>
      </c>
      <c r="F30" s="757">
        <v>12535</v>
      </c>
    </row>
    <row r="31" spans="1:6" ht="15.75">
      <c r="A31" s="1">
        <v>104</v>
      </c>
      <c r="B31" s="760">
        <v>569.20000000000005</v>
      </c>
      <c r="D31" s="2" t="s">
        <v>930</v>
      </c>
      <c r="F31" s="757">
        <v>50469</v>
      </c>
    </row>
    <row r="32" spans="1:6" ht="15.75">
      <c r="A32" s="1">
        <v>105</v>
      </c>
      <c r="B32" s="760">
        <v>569.29999999999995</v>
      </c>
      <c r="D32" s="2" t="s">
        <v>931</v>
      </c>
      <c r="F32" s="757">
        <v>19416</v>
      </c>
    </row>
    <row r="33" spans="1:6" ht="15.75">
      <c r="A33" s="1">
        <v>106</v>
      </c>
      <c r="B33" s="760">
        <v>569.39999999999998</v>
      </c>
      <c r="D33" s="2" t="s">
        <v>932</v>
      </c>
      <c r="F33" s="757"/>
    </row>
    <row r="34" spans="1:6" ht="15.75">
      <c r="A34" s="1">
        <v>107</v>
      </c>
      <c r="B34" s="1">
        <v>570</v>
      </c>
      <c r="D34" s="2" t="s">
        <v>933</v>
      </c>
      <c r="F34" s="757">
        <v>7648378</v>
      </c>
    </row>
    <row r="35" spans="1:6" ht="15.75">
      <c r="A35" s="1">
        <v>108</v>
      </c>
      <c r="B35" s="1">
        <v>571</v>
      </c>
      <c r="D35" s="2" t="s">
        <v>934</v>
      </c>
      <c r="F35" s="757">
        <v>31236988</v>
      </c>
    </row>
    <row r="36" spans="1:6" ht="15.75">
      <c r="A36" s="1">
        <v>109</v>
      </c>
      <c r="B36" s="1">
        <v>572</v>
      </c>
      <c r="D36" s="2" t="s">
        <v>935</v>
      </c>
      <c r="F36" s="757"/>
    </row>
    <row r="37" spans="1:6" ht="15.75">
      <c r="A37" s="1">
        <v>110</v>
      </c>
      <c r="B37" s="1">
        <v>573</v>
      </c>
      <c r="D37" s="2" t="s">
        <v>936</v>
      </c>
      <c r="F37" s="761">
        <v>208971</v>
      </c>
    </row>
    <row r="38" spans="1:6" ht="15.75">
      <c r="A38" s="1">
        <v>111</v>
      </c>
      <c r="B38" s="1"/>
      <c r="D38" s="2" t="s">
        <v>937</v>
      </c>
      <c r="F38" s="762">
        <f>SUM(F28:F37)</f>
        <v>44030493</v>
      </c>
    </row>
    <row r="39" spans="1:6" ht="16.5" thickBot="1">
      <c r="A39" s="1">
        <v>112</v>
      </c>
      <c r="B39" s="760"/>
      <c r="D39" s="752" t="s">
        <v>938</v>
      </c>
      <c r="F39" s="763">
        <f>F26+F38</f>
        <v>71573135.049999997</v>
      </c>
    </row>
    <row r="40" spans="1:6" ht="16.5" thickTop="1">
      <c r="A40" s="4"/>
      <c r="B40" s="764"/>
      <c r="D40" s="752"/>
      <c r="F40" s="765"/>
    </row>
    <row r="41" spans="1:6" ht="15.75">
      <c r="A41" s="4" t="s">
        <v>261</v>
      </c>
      <c r="B41" s="764"/>
      <c r="D41" s="752"/>
      <c r="F41" s="765"/>
    </row>
    <row r="42" spans="1:6" ht="15.75">
      <c r="A42" s="1" t="s">
        <v>939</v>
      </c>
      <c r="B42" s="764" t="s">
        <v>940</v>
      </c>
      <c r="D42" s="752"/>
      <c r="F42" s="765"/>
    </row>
    <row r="43" spans="1:6" ht="15.75">
      <c r="A43" s="1" t="s">
        <v>941</v>
      </c>
      <c r="B43" s="764" t="s">
        <v>942</v>
      </c>
      <c r="D43" s="752"/>
      <c r="F43" s="765"/>
    </row>
    <row r="44" spans="1:6" ht="15.75">
      <c r="A44" s="1" t="s">
        <v>943</v>
      </c>
      <c r="B44" s="764" t="s">
        <v>944</v>
      </c>
      <c r="D44" s="752"/>
      <c r="F44" s="661"/>
    </row>
    <row r="45" spans="1:6" ht="15.75">
      <c r="A45" s="1"/>
      <c r="B45" s="764" t="s">
        <v>1088</v>
      </c>
      <c r="D45" s="752"/>
      <c r="F45" s="661"/>
    </row>
    <row r="46" spans="1:6" ht="15.75">
      <c r="A46" s="4"/>
      <c r="B46" s="764"/>
      <c r="D46" s="752"/>
      <c r="F46" s="661" t="s">
        <v>904</v>
      </c>
    </row>
    <row r="47" spans="1:6" ht="15.75">
      <c r="A47" s="4"/>
      <c r="B47" s="764"/>
      <c r="D47" s="752"/>
      <c r="F47" s="661" t="s">
        <v>227</v>
      </c>
    </row>
    <row r="48" spans="2:6" ht="15.75">
      <c r="B48" s="764"/>
      <c r="F48" s="662" t="str">
        <f>F3</f>
        <v>For the 12 months ended 12/31/2021</v>
      </c>
    </row>
    <row r="50" spans="2:5" ht="15.75">
      <c r="B50" s="748" t="s">
        <v>945</v>
      </c>
      <c r="C50" s="749"/>
      <c r="D50" s="749"/>
      <c r="E50" s="749"/>
    </row>
    <row r="52" spans="1:6" ht="31.5">
      <c r="A52" s="750" t="s">
        <v>946</v>
      </c>
      <c r="B52" s="751" t="s">
        <v>907</v>
      </c>
      <c r="D52" s="752" t="s">
        <v>908</v>
      </c>
      <c r="F52" s="753" t="s">
        <v>947</v>
      </c>
    </row>
    <row r="53" spans="2:6" ht="15.75">
      <c r="B53" s="752"/>
      <c r="D53" s="752"/>
      <c r="F53" s="766"/>
    </row>
    <row r="54" spans="1:6" ht="15.75">
      <c r="A54" s="1">
        <v>180</v>
      </c>
      <c r="B54" s="713"/>
      <c r="D54" s="755" t="s">
        <v>910</v>
      </c>
      <c r="F54" s="766"/>
    </row>
    <row r="55" spans="1:6" ht="15.75">
      <c r="A55" s="1">
        <v>181</v>
      </c>
      <c r="B55" s="8">
        <v>920</v>
      </c>
      <c r="D55" s="2" t="s">
        <v>948</v>
      </c>
      <c r="F55" s="757">
        <v>4930712</v>
      </c>
    </row>
    <row r="56" spans="1:6" ht="15.75">
      <c r="A56" s="1">
        <v>182</v>
      </c>
      <c r="B56" s="8">
        <v>921</v>
      </c>
      <c r="D56" s="2" t="s">
        <v>949</v>
      </c>
      <c r="F56" s="757">
        <v>19804</v>
      </c>
    </row>
    <row r="57" spans="1:6" ht="15.75">
      <c r="A57" s="1">
        <v>183</v>
      </c>
      <c r="B57" s="767" t="s">
        <v>950</v>
      </c>
      <c r="D57" s="2" t="s">
        <v>951</v>
      </c>
      <c r="F57" s="757">
        <v>-10176399</v>
      </c>
    </row>
    <row r="58" spans="1:6" ht="15.75">
      <c r="A58" s="1">
        <v>184</v>
      </c>
      <c r="B58" s="8">
        <v>923</v>
      </c>
      <c r="D58" s="2" t="s">
        <v>952</v>
      </c>
      <c r="F58" s="757">
        <v>12483721</v>
      </c>
    </row>
    <row r="59" spans="1:6" ht="15.75">
      <c r="A59" s="1">
        <v>185</v>
      </c>
      <c r="B59" s="8">
        <v>924</v>
      </c>
      <c r="D59" s="2" t="s">
        <v>953</v>
      </c>
      <c r="F59" s="757">
        <v>205686</v>
      </c>
    </row>
    <row r="60" spans="1:6" ht="15.75">
      <c r="A60" s="1">
        <v>186</v>
      </c>
      <c r="B60" s="8">
        <v>925</v>
      </c>
      <c r="D60" s="2" t="s">
        <v>954</v>
      </c>
      <c r="F60" s="757">
        <v>865620</v>
      </c>
    </row>
    <row r="61" spans="1:6" ht="15.75">
      <c r="A61" s="1">
        <v>187</v>
      </c>
      <c r="B61" s="8">
        <v>926</v>
      </c>
      <c r="D61" s="2" t="s">
        <v>955</v>
      </c>
      <c r="F61" s="757">
        <v>-14159320</v>
      </c>
    </row>
    <row r="62" spans="1:6" ht="15.75">
      <c r="A62" s="1">
        <v>188</v>
      </c>
      <c r="B62" s="8">
        <v>927</v>
      </c>
      <c r="D62" s="2" t="s">
        <v>956</v>
      </c>
      <c r="F62" s="757"/>
    </row>
    <row r="63" spans="1:6" ht="15.75">
      <c r="A63" s="1">
        <v>189</v>
      </c>
      <c r="B63" s="8">
        <v>928</v>
      </c>
      <c r="D63" s="2" t="s">
        <v>957</v>
      </c>
      <c r="F63" s="757"/>
    </row>
    <row r="64" spans="1:6" ht="15.75">
      <c r="A64" s="1">
        <v>190</v>
      </c>
      <c r="B64" s="8" t="s">
        <v>958</v>
      </c>
      <c r="D64" s="2" t="s">
        <v>959</v>
      </c>
      <c r="F64" s="757"/>
    </row>
    <row r="65" spans="1:6" ht="15.75">
      <c r="A65" s="1">
        <v>191</v>
      </c>
      <c r="B65" s="760">
        <v>930.10000000000002</v>
      </c>
      <c r="D65" s="2" t="s">
        <v>960</v>
      </c>
      <c r="F65" s="757">
        <v>0</v>
      </c>
    </row>
    <row r="66" spans="1:6" ht="15.75">
      <c r="A66" s="1">
        <v>192</v>
      </c>
      <c r="B66" s="760">
        <v>930.20000000000005</v>
      </c>
      <c r="D66" s="2" t="s">
        <v>961</v>
      </c>
      <c r="F66" s="757">
        <v>368841</v>
      </c>
    </row>
    <row r="67" spans="1:6" ht="15.75">
      <c r="A67" s="1">
        <v>193</v>
      </c>
      <c r="B67" s="8">
        <v>931</v>
      </c>
      <c r="D67" s="2" t="s">
        <v>924</v>
      </c>
      <c r="F67" s="757">
        <v>517807</v>
      </c>
    </row>
    <row r="68" spans="1:6" ht="15.75">
      <c r="A68" s="1">
        <v>194</v>
      </c>
      <c r="B68" s="760"/>
      <c r="D68" s="752" t="s">
        <v>962</v>
      </c>
      <c r="F68" s="759">
        <f>SUM(F55:F67)</f>
        <v>-4943528</v>
      </c>
    </row>
    <row r="69" spans="1:6" ht="15.75">
      <c r="A69" s="1">
        <v>195</v>
      </c>
      <c r="B69" s="713"/>
      <c r="D69" s="755" t="s">
        <v>926</v>
      </c>
      <c r="F69" s="768"/>
    </row>
    <row r="70" spans="1:6" ht="15.75">
      <c r="A70" s="1">
        <v>196</v>
      </c>
      <c r="B70" s="8">
        <v>935</v>
      </c>
      <c r="D70" s="2" t="s">
        <v>1114</v>
      </c>
      <c r="F70" s="761">
        <v>1173897</v>
      </c>
    </row>
    <row r="71" spans="1:6" ht="16.5" thickBot="1">
      <c r="A71" s="1">
        <v>197</v>
      </c>
      <c r="B71" s="713"/>
      <c r="D71" s="752" t="s">
        <v>963</v>
      </c>
      <c r="F71" s="763">
        <f>F68+F70</f>
        <v>-3769631</v>
      </c>
    </row>
    <row r="72" ht="16.5" thickTop="1"/>
    <row r="73" spans="1:2" ht="15.75">
      <c r="A73" s="4" t="s">
        <v>261</v>
      </c>
      <c r="B73" s="764"/>
    </row>
    <row r="74" spans="1:2" ht="15.75">
      <c r="A74" s="1" t="s">
        <v>964</v>
      </c>
      <c r="B74" s="764" t="s">
        <v>965</v>
      </c>
    </row>
    <row r="75" spans="1:2" ht="15.75">
      <c r="A75" s="1" t="s">
        <v>966</v>
      </c>
      <c r="B75" s="764" t="s">
        <v>942</v>
      </c>
    </row>
    <row r="76" spans="1:2" ht="15.75">
      <c r="A76" s="1" t="s">
        <v>967</v>
      </c>
      <c r="B76" s="764" t="s">
        <v>968</v>
      </c>
    </row>
    <row r="77" spans="2:2" ht="15.75">
      <c r="B77" s="764" t="s">
        <v>1088</v>
      </c>
    </row>
  </sheetData>
  <pageMargins left="0.7" right="0.7" top="0.75" bottom="0.75" header="0.3" footer="0.3"/>
  <pageSetup orientation="portrait" scale="78" r:id="rId1"/>
  <rowBreaks count="1" manualBreakCount="1">
    <brk id="45" max="5"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9"/>
  <sheetViews>
    <sheetView view="pageBreakPreview" zoomScale="60" zoomScaleNormal="100" workbookViewId="0" topLeftCell="A1">
      <selection pane="topLeft" activeCell="I23" sqref="I23"/>
    </sheetView>
  </sheetViews>
  <sheetFormatPr defaultColWidth="8.66555555555555" defaultRowHeight="15.75"/>
  <cols>
    <col min="1" max="1" width="3.22222222222222" style="2" customWidth="1"/>
    <col min="2" max="4" width="8.66666666666667" style="2"/>
    <col min="5" max="5" width="11.3333333333333" style="2" customWidth="1"/>
    <col min="6" max="7" width="8.66666666666667" style="2"/>
    <col min="8" max="8" width="16.2222222222222" style="2" customWidth="1"/>
    <col min="9" max="9" width="15" style="2" customWidth="1"/>
    <col min="10" max="10" width="3.66666666666667" style="2" customWidth="1"/>
    <col min="11" max="11" width="15.6666666666667" style="2" customWidth="1"/>
    <col min="12" max="12" width="8.66666666666667" style="2"/>
    <col min="13" max="13" width="10.2222222222222" style="2" bestFit="1" customWidth="1"/>
    <col min="14" max="16384" width="8.66666666666667" style="2"/>
  </cols>
  <sheetData>
    <row r="1" spans="11:12" ht="15.75">
      <c r="K1" s="6" t="s">
        <v>1077</v>
      </c>
      <c r="L1" s="6"/>
    </row>
    <row r="2" spans="11:12" ht="15.75">
      <c r="K2" s="6" t="s">
        <v>221</v>
      </c>
      <c r="L2" s="6"/>
    </row>
    <row r="3" spans="2:12" ht="15.75">
      <c r="B3" s="748"/>
      <c r="C3" s="748"/>
      <c r="D3" s="748"/>
      <c r="K3" s="9" t="str">
        <f>'Attachment 1 - Sched 1A'!$J$3</f>
        <v>For the 12 months ended 12/31/2021</v>
      </c>
      <c r="L3" s="9"/>
    </row>
    <row r="4" spans="2:12" ht="15.75">
      <c r="B4" s="748"/>
      <c r="C4" s="748"/>
      <c r="D4" s="748"/>
      <c r="F4" s="748" t="s">
        <v>1068</v>
      </c>
      <c r="G4" s="748"/>
      <c r="H4" s="748"/>
      <c r="L4" s="9"/>
    </row>
    <row r="5" spans="2:12" ht="15.75">
      <c r="B5" s="748"/>
      <c r="C5" s="748"/>
      <c r="D5" s="748"/>
      <c r="F5" s="2" t="s">
        <v>1115</v>
      </c>
      <c r="L5" s="9"/>
    </row>
    <row r="6" spans="2:12" ht="15.75">
      <c r="B6" s="748"/>
      <c r="C6" s="748"/>
      <c r="D6" s="748"/>
      <c r="L6" s="9"/>
    </row>
    <row r="7" spans="1:10" ht="34.5" customHeight="1">
      <c r="A7" s="828"/>
      <c r="B7" s="828"/>
      <c r="C7" s="828"/>
      <c r="D7" s="828"/>
      <c r="E7" s="828"/>
      <c r="F7" s="828"/>
      <c r="G7" s="828"/>
      <c r="H7" s="828"/>
      <c r="I7" s="832" t="s">
        <v>1274</v>
      </c>
      <c r="J7" s="828"/>
    </row>
    <row r="8" spans="1:11" ht="15.75">
      <c r="A8" s="831" t="s">
        <v>1083</v>
      </c>
      <c r="B8" s="2" t="s">
        <v>1069</v>
      </c>
      <c r="F8" s="2" t="s">
        <v>1101</v>
      </c>
      <c r="I8" s="833" t="s">
        <v>1084</v>
      </c>
      <c r="K8" s="2" t="s">
        <v>1070</v>
      </c>
    </row>
    <row r="10" spans="1:9" ht="18">
      <c r="A10" s="2" t="s">
        <v>624</v>
      </c>
      <c r="C10" s="45" t="s">
        <v>1266</v>
      </c>
      <c r="D10" s="45"/>
      <c r="E10" s="45"/>
      <c r="F10" s="45"/>
      <c r="G10" s="45"/>
      <c r="H10" s="45"/>
      <c r="I10" s="1091">
        <v>130758</v>
      </c>
    </row>
    <row r="11" spans="1:9" ht="15.75">
      <c r="A11" s="2" t="s">
        <v>633</v>
      </c>
      <c r="C11" s="2" t="s">
        <v>1085</v>
      </c>
      <c r="I11" s="1090">
        <f>SUM(I10:I10)</f>
        <v>130758</v>
      </c>
    </row>
    <row r="12" spans="9:9" ht="15.75">
      <c r="I12" s="3"/>
    </row>
    <row r="13" spans="1:11" ht="15.75">
      <c r="A13" s="831" t="s">
        <v>627</v>
      </c>
      <c r="B13" s="2" t="s">
        <v>1071</v>
      </c>
      <c r="F13" s="2" t="s">
        <v>1072</v>
      </c>
      <c r="I13" s="3"/>
      <c r="K13" s="2" t="s">
        <v>1073</v>
      </c>
    </row>
    <row r="14" spans="9:9" ht="15.75">
      <c r="I14" s="3"/>
    </row>
    <row r="15" spans="1:9" ht="15.75">
      <c r="A15" s="2" t="s">
        <v>559</v>
      </c>
      <c r="C15" s="842" t="s">
        <v>1110</v>
      </c>
      <c r="D15" s="842"/>
      <c r="E15" s="842"/>
      <c r="F15" s="842"/>
      <c r="G15" s="842"/>
      <c r="H15" s="842"/>
      <c r="I15" s="1089">
        <v>1998562</v>
      </c>
    </row>
    <row r="16" spans="1:9" ht="18">
      <c r="A16" s="2" t="s">
        <v>560</v>
      </c>
      <c r="C16" s="842" t="s">
        <v>1111</v>
      </c>
      <c r="D16" s="842"/>
      <c r="E16" s="842"/>
      <c r="F16" s="842"/>
      <c r="G16" s="842"/>
      <c r="H16" s="842"/>
      <c r="I16" s="1091">
        <v>1762524</v>
      </c>
    </row>
    <row r="17" spans="1:9" ht="15.75">
      <c r="A17" s="2" t="s">
        <v>634</v>
      </c>
      <c r="C17" s="2" t="s">
        <v>1086</v>
      </c>
      <c r="I17" s="1090">
        <f>SUM(I15:I16)</f>
        <v>3761086</v>
      </c>
    </row>
    <row r="18" spans="9:9" ht="15.75">
      <c r="I18" s="3"/>
    </row>
    <row r="19" spans="1:11" ht="15.75">
      <c r="A19" s="831" t="s">
        <v>245</v>
      </c>
      <c r="B19" s="2" t="s">
        <v>1074</v>
      </c>
      <c r="F19" s="2" t="s">
        <v>1112</v>
      </c>
      <c r="I19" s="3"/>
      <c r="K19" s="2" t="s">
        <v>1075</v>
      </c>
    </row>
    <row r="20" spans="9:9" ht="15.75">
      <c r="I20" s="3"/>
    </row>
    <row r="21" spans="1:11" ht="15.75">
      <c r="A21" s="2" t="s">
        <v>728</v>
      </c>
      <c r="C21" s="842" t="s">
        <v>1121</v>
      </c>
      <c r="D21" s="842"/>
      <c r="E21" s="842"/>
      <c r="F21" s="842"/>
      <c r="G21" s="842"/>
      <c r="H21" s="842"/>
      <c r="I21" s="1089">
        <v>3171538</v>
      </c>
      <c r="K21" s="3"/>
    </row>
    <row r="22" spans="1:11" ht="18">
      <c r="A22" s="2" t="s">
        <v>628</v>
      </c>
      <c r="C22" s="842" t="s">
        <v>1136</v>
      </c>
      <c r="D22" s="842"/>
      <c r="E22" s="842"/>
      <c r="F22" s="842"/>
      <c r="G22" s="842"/>
      <c r="H22" s="842"/>
      <c r="I22" s="1091">
        <v>266000</v>
      </c>
      <c r="K22" s="3"/>
    </row>
    <row r="23" spans="1:11" ht="15.75">
      <c r="A23" s="2" t="s">
        <v>635</v>
      </c>
      <c r="C23" s="2" t="s">
        <v>1087</v>
      </c>
      <c r="I23" s="1090">
        <f>SUM(I21:I22)</f>
        <v>3437538</v>
      </c>
      <c r="K23" s="3"/>
    </row>
    <row r="29" spans="2:2" ht="15.75">
      <c r="B29" s="2" t="s">
        <v>1076</v>
      </c>
    </row>
  </sheetData>
  <pageMargins left="0.7" right="0.7" top="0.75" bottom="0.75" header="0.3" footer="0.3"/>
  <pageSetup orientation="portrait" scale="6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28</vt:i4>
      </vt:variant>
    </vt:vector>
  </HeadingPairs>
  <TitlesOfParts>
    <vt:vector size="28"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2020-05-31T13:33:50Z</cp:lastPrinted>
  <dcterms:created xsi:type="dcterms:W3CDTF">2008-03-20T17:17:42Z</dcterms:created>
  <dcterms:modified xsi:type="dcterms:W3CDTF">2022-06-01T20:22:34Z</dcterms:modified>
  <cp:category/>
</cp:coreProperties>
</file>