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U:\Corp\Rates\Akr\Rates\FERC Transmission\AYE\Annual Rate Filings\2022 ATRR\Final Filing\"/>
    </mc:Choice>
  </mc:AlternateContent>
  <xr:revisionPtr revIDLastSave="0" documentId="13_ncr:1_{4590492B-8B22-42E4-8652-A9D5755CD6CB}" xr6:coauthVersionLast="47" xr6:coauthVersionMax="47" xr10:uidLastSave="{00000000-0000-0000-0000-000000000000}"/>
  <bookViews>
    <workbookView xWindow="28680" yWindow="-120" windowWidth="38640" windowHeight="21240" tabRatio="928" xr2:uid="{135325AD-9D60-4B89-9B0A-73862FE208B8}"/>
  </bookViews>
  <sheets>
    <sheet name="Attachment H-11A " sheetId="1" r:id="rId1"/>
    <sheet name="Attachment 1 - Sched 1A" sheetId="2" r:id="rId2"/>
    <sheet name="Attachment 2 - ROE Calcs" sheetId="31" r:id="rId3"/>
    <sheet name="Attach 2a - Scaled ROE Adder" sheetId="59" r:id="rId4"/>
    <sheet name="Attach 2b - Incent ROE NITS" sheetId="60" r:id="rId5"/>
    <sheet name="Attachment 3 - Gross Plant" sheetId="13" r:id="rId6"/>
    <sheet name="Attachment 4 - Accum Depr" sheetId="64" r:id="rId7"/>
    <sheet name="Attachment 5 - ADIT Summary" sheetId="40" r:id="rId8"/>
    <sheet name="Attachment 5a - ADIT Detail" sheetId="38" r:id="rId9"/>
    <sheet name="Attachment 5b - ADIT Norm PTRR" sheetId="47" r:id="rId10"/>
    <sheet name="Attachment 5c - ADIT Norm ATRR"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NITS True-Up" sheetId="68" r:id="rId20"/>
    <sheet name="Attachment 13a - TEC True-Up" sheetId="69" r:id="rId21"/>
    <sheet name="Attachment 13b - PJM Billings" sheetId="58" r:id="rId22"/>
    <sheet name="Attachment 14 - Other RB" sheetId="66" r:id="rId23"/>
    <sheet name="Attach 15 - Excess_Def ADIT" sheetId="61" r:id="rId24"/>
    <sheet name="Attachment 16 - Abandoned Plant" sheetId="63" r:id="rId25"/>
    <sheet name="Attachment 17 - CWIP in RB" sheetId="62" r:id="rId26"/>
    <sheet name="Attachment 18 - Tax Rates" sheetId="27" r:id="rId27"/>
    <sheet name="Attachment 19 - Reg Asset" sheetId="65" r:id="rId28"/>
    <sheet name="Attachment 20 - O&amp;M and A&amp;G" sheetId="67" r:id="rId29"/>
  </sheets>
  <externalReferences>
    <externalReference r:id="rId30"/>
    <externalReference r:id="rId31"/>
    <externalReference r:id="rId32"/>
    <externalReference r:id="rId33"/>
    <externalReference r:id="rId34"/>
  </externalReferences>
  <definedNames>
    <definedName name="___OFF2">'[1]DPLG-APRIL2001-TRANSCHECKOUT'!$AC$2:$AC$10</definedName>
    <definedName name="___PPP1">'[1]DPLG-APRIL2001-TRANSCHECKOUT'!$A$1:$D$27</definedName>
    <definedName name="__123Graph_A" hidden="1">'[2]AL2 151'!#REF!</definedName>
    <definedName name="__123Graph_B" hidden="1">'[2]AL2 151'!#REF!</definedName>
    <definedName name="__123Graph_C" hidden="1">'[2]AL2 151'!#REF!</definedName>
    <definedName name="__123Graph_D" hidden="1">'[2]AL2 151'!#REF!</definedName>
    <definedName name="__123Graph_E" hidden="1">'[2]AL2 151'!#REF!</definedName>
    <definedName name="__123Graph_F" hidden="1">'[2]AL2 151'!#REF!</definedName>
    <definedName name="__123Graph_X" hidden="1">'[2]AL2 151'!#REF!</definedName>
    <definedName name="_Key1" hidden="1">#REF!</definedName>
    <definedName name="_OFF2">'[1]DPLG-APRIL2001-TRANSCHECKOUT'!$AC$2:$AC$10</definedName>
    <definedName name="_Order1" hidden="1">255</definedName>
    <definedName name="_p.choice" localSheetId="14">#REF!</definedName>
    <definedName name="_p.choice" localSheetId="15">#REF!</definedName>
    <definedName name="_p.choice" localSheetId="26">#REF!</definedName>
    <definedName name="_p.choice" localSheetId="2">#REF!</definedName>
    <definedName name="_p.choice" localSheetId="7">#REF!</definedName>
    <definedName name="_p.choice" localSheetId="8">#REF!</definedName>
    <definedName name="_p.choice">#REF!</definedName>
    <definedName name="_PPP1">'[1]DPLG-APRIL2001-TRANSCHECKOUT'!$A$1:$D$27</definedName>
    <definedName name="_Sort" hidden="1">#REF!</definedName>
    <definedName name="AA.print" localSheetId="14">#REF!</definedName>
    <definedName name="AA.print" localSheetId="15">#REF!</definedName>
    <definedName name="AA.print" localSheetId="26">#REF!</definedName>
    <definedName name="AA.print" localSheetId="2">#REF!</definedName>
    <definedName name="AA.print" localSheetId="7">#REF!</definedName>
    <definedName name="AA.print" localSheetId="8">#REF!</definedName>
    <definedName name="AA.print">#REF!</definedName>
    <definedName name="AB.print" localSheetId="15">#REF!</definedName>
    <definedName name="AB.print" localSheetId="26">#REF!</definedName>
    <definedName name="AB.print" localSheetId="2">#REF!</definedName>
    <definedName name="AB.print" localSheetId="7">#REF!</definedName>
    <definedName name="AB.print" localSheetId="8">#REF!</definedName>
    <definedName name="AB.print">#REF!</definedName>
    <definedName name="above">OFFSET(!A1,-1,0)</definedName>
    <definedName name="Allocator.gross.plant">'[3]Appendix A'!$H$29</definedName>
    <definedName name="Allocator.net.plant">'[3]Appendix A'!$H$32</definedName>
    <definedName name="Allocator.wages.salary">'[3]Appendix A'!$H$17</definedName>
    <definedName name="AMHERST" localSheetId="26">#REF!</definedName>
    <definedName name="AMHERST" localSheetId="2">#REF!</definedName>
    <definedName name="AMHERST" localSheetId="7">#REF!</definedName>
    <definedName name="AMHERST">#REF!</definedName>
    <definedName name="AO.print" localSheetId="15">#REF!</definedName>
    <definedName name="AO.print" localSheetId="26">#REF!</definedName>
    <definedName name="AO.print" localSheetId="2">#REF!</definedName>
    <definedName name="AO.print" localSheetId="7">#REF!</definedName>
    <definedName name="AO.print" localSheetId="8">#REF!</definedName>
    <definedName name="AO.print">#REF!</definedName>
    <definedName name="AV.FM.1..adjusted..print" localSheetId="15">#REF!</definedName>
    <definedName name="AV.FM.1..adjusted..print" localSheetId="26">#REF!</definedName>
    <definedName name="AV.FM.1..adjusted..print" localSheetId="2">#REF!</definedName>
    <definedName name="AV.FM.1..adjusted..print" localSheetId="7">#REF!</definedName>
    <definedName name="AV.FM.1..adjusted..print" localSheetId="8">#REF!</definedName>
    <definedName name="AV.FM.1..adjusted..print">#REF!</definedName>
    <definedName name="AV.FM.1.print" localSheetId="15">#REF!</definedName>
    <definedName name="AV.FM.1.print" localSheetId="26">#REF!</definedName>
    <definedName name="AV.FM.1.print" localSheetId="2">#REF!</definedName>
    <definedName name="AV.FM.1.print" localSheetId="7">#REF!</definedName>
    <definedName name="AV.FM.1.print" localSheetId="8">#REF!</definedName>
    <definedName name="AV.FM.1.print">#REF!</definedName>
    <definedName name="BA.print" localSheetId="15">#REF!</definedName>
    <definedName name="BA.print" localSheetId="26">#REF!</definedName>
    <definedName name="BA.print" localSheetId="2">#REF!</definedName>
    <definedName name="BA.print" localSheetId="7">#REF!</definedName>
    <definedName name="BA.print" localSheetId="8">#REF!</definedName>
    <definedName name="BA.print">#REF!</definedName>
    <definedName name="BB.print" localSheetId="15">#REF!</definedName>
    <definedName name="BB.print" localSheetId="26">#REF!</definedName>
    <definedName name="BB.print" localSheetId="2">#REF!</definedName>
    <definedName name="BB.print" localSheetId="7">#REF!</definedName>
    <definedName name="BB.print" localSheetId="8">#REF!</definedName>
    <definedName name="BB.print">#REF!</definedName>
    <definedName name="BEACH_CITY" localSheetId="26">#REF!</definedName>
    <definedName name="BEACH_CITY" localSheetId="2">#REF!</definedName>
    <definedName name="BEACH_CITY" localSheetId="7">#REF!</definedName>
    <definedName name="BEACH_CITY">#REF!</definedName>
    <definedName name="below">OFFSET(!A1,1,0)</definedName>
    <definedName name="BG.print" localSheetId="15">#REF!</definedName>
    <definedName name="BG.print" localSheetId="26">#REF!</definedName>
    <definedName name="BG.print" localSheetId="2">#REF!</definedName>
    <definedName name="BG.print" localSheetId="7">#REF!</definedName>
    <definedName name="BG.print" localSheetId="8">#REF!</definedName>
    <definedName name="BG.print">#REF!</definedName>
    <definedName name="BILLCO" localSheetId="14">'[1]DPLG-APRIL2001-TRANSCHECKOUT'!$M:$P</definedName>
    <definedName name="BILLCO" localSheetId="26">'[1]DPLG-APRIL2001-TRANSCHECKOUT'!$M:$P</definedName>
    <definedName name="BILLCO">'[1]DPLG-APRIL2001-TRANSCHECKOUT'!$M$1:$P$65536</definedName>
    <definedName name="BK..FM1.Adjusted..print" localSheetId="14">#REF!</definedName>
    <definedName name="BK..FM1.Adjusted..print" localSheetId="15">#REF!</definedName>
    <definedName name="BK..FM1.Adjusted..print" localSheetId="26">#REF!</definedName>
    <definedName name="BK..FM1.Adjusted..print" localSheetId="2">#REF!</definedName>
    <definedName name="BK..FM1.Adjusted..print" localSheetId="7">#REF!</definedName>
    <definedName name="BK..FM1.Adjusted..print" localSheetId="8">#REF!</definedName>
    <definedName name="BK..FM1.Adjusted..print">#REF!</definedName>
    <definedName name="BK..FM1.ROR..print" localSheetId="15">#REF!</definedName>
    <definedName name="BK..FM1.ROR..print" localSheetId="26">#REF!</definedName>
    <definedName name="BK..FM1.ROR..print" localSheetId="2">#REF!</definedName>
    <definedName name="BK..FM1.ROR..print" localSheetId="7">#REF!</definedName>
    <definedName name="BK..FM1.ROR..print" localSheetId="8">#REF!</definedName>
    <definedName name="BK..FM1.ROR..print">#REF!</definedName>
    <definedName name="BowlingGreen" localSheetId="26">#REF!</definedName>
    <definedName name="BowlingGreen" localSheetId="2">#REF!</definedName>
    <definedName name="BowlingGreen" localSheetId="7">#REF!</definedName>
    <definedName name="BowlingGreen">#REF!</definedName>
    <definedName name="BowlingGreenWater" localSheetId="26">#REF!</definedName>
    <definedName name="BowlingGreenWater" localSheetId="2">#REF!</definedName>
    <definedName name="BowlingGreenWater" localSheetId="7">#REF!</definedName>
    <definedName name="BowlingGreenWater">#REF!</definedName>
    <definedName name="Bradner" localSheetId="26">#REF!</definedName>
    <definedName name="Bradner" localSheetId="2">#REF!</definedName>
    <definedName name="Bradner" localSheetId="7">#REF!</definedName>
    <definedName name="Bradner">#REF!</definedName>
    <definedName name="BREWSTER" localSheetId="26">#REF!</definedName>
    <definedName name="BREWSTER" localSheetId="2">#REF!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6">#REF!</definedName>
    <definedName name="CH_COS" localSheetId="2">#REF!</definedName>
    <definedName name="CH_COS" localSheetId="7">#REF!</definedName>
    <definedName name="CH_COS">#REF!</definedName>
    <definedName name="CUSTAR" localSheetId="26">#REF!</definedName>
    <definedName name="CUSTAR" localSheetId="2">#REF!</definedName>
    <definedName name="CUSTAR" localSheetId="7">#REF!</definedName>
    <definedName name="CUSTAR">#REF!</definedName>
    <definedName name="CUYAHOGA_FALLS" localSheetId="26">#REF!</definedName>
    <definedName name="CUYAHOGA_FALLS" localSheetId="2">#REF!</definedName>
    <definedName name="CUYAHOGA_FALLS" localSheetId="7">#REF!</definedName>
    <definedName name="CUYAHOGA_FALLS">#REF!</definedName>
    <definedName name="data_year">'[3]Appendix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UEDATE" localSheetId="14">'[1]DPLG-APRIL2001-TRANSCHECKOUT'!$Q:$R</definedName>
    <definedName name="DUEDATE" localSheetId="26">'[1]DPLG-APRIL2001-TRANSCHECKOUT'!$Q:$R</definedName>
    <definedName name="DUEDATE">'[1]DPLG-APRIL2001-TRANSCHECKOUT'!$Q$1:$R$65536</definedName>
    <definedName name="EDGERTON" localSheetId="26">#REF!</definedName>
    <definedName name="EDGERTON" localSheetId="2">#REF!</definedName>
    <definedName name="EDGERTON" localSheetId="7">#REF!</definedName>
    <definedName name="EDGERTON">#REF!</definedName>
    <definedName name="Ellwood_City" localSheetId="26">#REF!</definedName>
    <definedName name="Ellwood_City" localSheetId="2">#REF!</definedName>
    <definedName name="Ellwood_City" localSheetId="7">#REF!</definedName>
    <definedName name="Ellwood_City">#REF!</definedName>
    <definedName name="ELMORE" localSheetId="26">#REF!</definedName>
    <definedName name="ELMORE" localSheetId="2">#REF!</definedName>
    <definedName name="ELMORE" localSheetId="7">#REF!</definedName>
    <definedName name="ELMORE">#REF!</definedName>
    <definedName name="FF1_INPUT">'[3]FERC Form 1 data'!$B$7:$L$87</definedName>
    <definedName name="FF1_INPUT_columns">'[3]FERC Form 1 data'!$B$6:$L$6</definedName>
    <definedName name="GALION" localSheetId="26">#REF!</definedName>
    <definedName name="GALION" localSheetId="2">#REF!</definedName>
    <definedName name="GALION" localSheetId="7">#REF!</definedName>
    <definedName name="GALION">#REF!</definedName>
    <definedName name="GENOA" localSheetId="26">#REF!</definedName>
    <definedName name="GENOA" localSheetId="2">#REF!</definedName>
    <definedName name="GENOA" localSheetId="7">#REF!</definedName>
    <definedName name="GENOA">#REF!</definedName>
    <definedName name="GENOA_NORTH" localSheetId="26">#REF!</definedName>
    <definedName name="GENOA_NORTH" localSheetId="2">#REF!</definedName>
    <definedName name="GENOA_NORTH" localSheetId="7">#REF!</definedName>
    <definedName name="GENOA_NORTH">#REF!</definedName>
    <definedName name="GENOA_SOUTH" localSheetId="26">#REF!</definedName>
    <definedName name="GENOA_SOUTH" localSheetId="2">#REF!</definedName>
    <definedName name="GENOA_SOUTH" localSheetId="7">#REF!</definedName>
    <definedName name="GENOA_SOUTH">#REF!</definedName>
    <definedName name="GRAFTON" localSheetId="26">#REF!</definedName>
    <definedName name="GRAFTON" localSheetId="2">#REF!</definedName>
    <definedName name="GRAFTON" localSheetId="7">#REF!</definedName>
    <definedName name="GRAFTON">#REF!</definedName>
    <definedName name="Grove_City" localSheetId="26">#REF!</definedName>
    <definedName name="Grove_City" localSheetId="2">#REF!</definedName>
    <definedName name="Grove_City" localSheetId="7">#REF!</definedName>
    <definedName name="Grove_City">#REF!</definedName>
    <definedName name="HASKINS" localSheetId="26">#REF!</definedName>
    <definedName name="HASKINS" localSheetId="2">#REF!</definedName>
    <definedName name="HASKINS" localSheetId="7">#REF!</definedName>
    <definedName name="HASKINS">#REF!</definedName>
    <definedName name="hourending" localSheetId="26">#REF!</definedName>
    <definedName name="hourending" localSheetId="2">#REF!</definedName>
    <definedName name="hourending" localSheetId="7">#REF!</definedName>
    <definedName name="hourending">#REF!</definedName>
    <definedName name="HUBBARD" localSheetId="26">#REF!</definedName>
    <definedName name="HUBBARD" localSheetId="2">#REF!</definedName>
    <definedName name="HUBBARD" localSheetId="7">#REF!</definedName>
    <definedName name="HUBBARD">#REF!</definedName>
    <definedName name="Inputs_EndYrBal">[3]Inputs!$E$15:$E$72</definedName>
    <definedName name="Inputs_EndYrBal_prior">[3]Inputs!$D$15:$D$72</definedName>
    <definedName name="Inputs_FF1_Map">[3]Inputs!$F$15:$F$72</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15">#REF!</definedName>
    <definedName name="Levelized..FM1.ROR..print" localSheetId="26">#REF!</definedName>
    <definedName name="Levelized..FM1.ROR..print" localSheetId="2">#REF!</definedName>
    <definedName name="Levelized..FM1.ROR..print" localSheetId="7">#REF!</definedName>
    <definedName name="Levelized..FM1.ROR..print" localSheetId="8">#REF!</definedName>
    <definedName name="Levelized..FM1.ROR..print">#REF!</definedName>
    <definedName name="LODI" localSheetId="26">#REF!</definedName>
    <definedName name="LODI" localSheetId="2">#REF!</definedName>
    <definedName name="LODI" localSheetId="7">#REF!</definedName>
    <definedName name="LODI">#REF!</definedName>
    <definedName name="LUCAS" localSheetId="26">#REF!</definedName>
    <definedName name="LUCAS" localSheetId="2">#REF!</definedName>
    <definedName name="LUCAS" localSheetId="7">#REF!</definedName>
    <definedName name="LUCAS">#REF!</definedName>
    <definedName name="M21Laurie" localSheetId="14">'Attach 9 - Stated-value Inputs'!M21Laurie</definedName>
    <definedName name="M21Laurie" localSheetId="26">'Attachment 18 - Tax Rates'!M21Laurie</definedName>
    <definedName name="M21Laurie" localSheetId="2">#N/A</definedName>
    <definedName name="M21Laurie">'Attach 9 - Stated-value Inputs'!M21Laurie</definedName>
    <definedName name="MILAN" localSheetId="26">#REF!</definedName>
    <definedName name="MILAN" localSheetId="2">#REF!</definedName>
    <definedName name="MILAN" localSheetId="7">#REF!</definedName>
    <definedName name="MILAN">#REF!</definedName>
    <definedName name="MONROEVILLE" localSheetId="26">#REF!</definedName>
    <definedName name="MONROEVILLE" localSheetId="2">#REF!</definedName>
    <definedName name="MONROEVILLE" localSheetId="7">#REF!</definedName>
    <definedName name="MONROEVILLE">#REF!</definedName>
    <definedName name="NAPOLEON" localSheetId="26">#REF!</definedName>
    <definedName name="NAPOLEON" localSheetId="2">#REF!</definedName>
    <definedName name="NAPOLEON" localSheetId="7">#REF!</definedName>
    <definedName name="NAPOLEON">#REF!</definedName>
    <definedName name="NEASG" localSheetId="26">#REF!</definedName>
    <definedName name="NEASG" localSheetId="2">#REF!</definedName>
    <definedName name="NEASG" localSheetId="7">#REF!</definedName>
    <definedName name="NEASG">#REF!</definedName>
    <definedName name="New_Wilmington" localSheetId="26">#REF!</definedName>
    <definedName name="New_Wilmington" localSheetId="2">#REF!</definedName>
    <definedName name="New_Wilmington" localSheetId="7">#REF!</definedName>
    <definedName name="New_Wilmington">#REF!</definedName>
    <definedName name="NEWTON_FALLS" localSheetId="26">#REF!</definedName>
    <definedName name="NEWTON_FALLS" localSheetId="2">#REF!</definedName>
    <definedName name="NEWTON_FALLS" localSheetId="7">#REF!</definedName>
    <definedName name="NEWTON_FALLS">#REF!</definedName>
    <definedName name="NILES" localSheetId="26">#REF!</definedName>
    <definedName name="NILES" localSheetId="2">#REF!</definedName>
    <definedName name="NILES" localSheetId="7">#REF!</definedName>
    <definedName name="NILES">#REF!</definedName>
    <definedName name="NSP_COS" localSheetId="26">#REF!</definedName>
    <definedName name="NSP_COS" localSheetId="2">#REF!</definedName>
    <definedName name="NSP_COS" localSheetId="7">#REF!</definedName>
    <definedName name="NSP_COS">#REF!</definedName>
    <definedName name="NWASG" localSheetId="26">#REF!</definedName>
    <definedName name="NWASG" localSheetId="2">#REF!</definedName>
    <definedName name="NWASG" localSheetId="7">#REF!</definedName>
    <definedName name="NWASG">#REF!</definedName>
    <definedName name="OAK_HARBOR" localSheetId="26">#REF!</definedName>
    <definedName name="OAK_HARBOR" localSheetId="2">#REF!</definedName>
    <definedName name="OAK_HARBOR" localSheetId="7">#REF!</definedName>
    <definedName name="OAK_HARBOR">#REF!</definedName>
    <definedName name="OBERLIN" localSheetId="26">#REF!</definedName>
    <definedName name="OBERLIN" localSheetId="2">#REF!</definedName>
    <definedName name="OBERLIN" localSheetId="7">#REF!</definedName>
    <definedName name="OBERLIN">#REF!</definedName>
    <definedName name="OFF">'[1]DPLG-APRIL2001-TRANSCHECKOUT'!$F$2:$L$10</definedName>
    <definedName name="ON">'[1]DPLG-APRIL2001-TRANSCHECKOUT'!$M$2:$AC$10</definedName>
    <definedName name="PEMBERVILLE" localSheetId="26">#REF!</definedName>
    <definedName name="PEMBERVILLE" localSheetId="2">#REF!</definedName>
    <definedName name="PEMBERVILLE" localSheetId="7">#REF!</definedName>
    <definedName name="PEMBERVILLE">#REF!</definedName>
    <definedName name="PIONEER" localSheetId="26">#REF!</definedName>
    <definedName name="PIONEER" localSheetId="2">#REF!</definedName>
    <definedName name="PIONEER" localSheetId="7">#REF!</definedName>
    <definedName name="PIONEER">#REF!</definedName>
    <definedName name="pPRINT">'[1]DPLG-APRIL2001-TRANSCHECKOUT'!$A$1:$I$49</definedName>
    <definedName name="PRINT">'[1]DPLG-APRIL2001-TRANSCHECKOUT'!$A$2:$K$55</definedName>
    <definedName name="Print.selection.print" localSheetId="14">#REF!</definedName>
    <definedName name="Print.selection.print" localSheetId="15">#REF!</definedName>
    <definedName name="Print.selection.print" localSheetId="26">#REF!</definedName>
    <definedName name="Print.selection.print" localSheetId="2">#REF!</definedName>
    <definedName name="Print.selection.print" localSheetId="7">#REF!</definedName>
    <definedName name="Print.selection.print" localSheetId="8">#REF!</definedName>
    <definedName name="Print.selection.print">#REF!</definedName>
    <definedName name="_xlnm.Print_Area" localSheetId="17">'Attach 11a - TEC Cost Support'!$A$1:$AI$27</definedName>
    <definedName name="_xlnm.Print_Area" localSheetId="3">'Attach 2a - Scaled ROE Adder'!$A$1:$L$71</definedName>
    <definedName name="_xlnm.Print_Area" localSheetId="4">'Attach 2b - Incent ROE NITS'!$A$1:$AM$35</definedName>
    <definedName name="_xlnm.Print_Area" localSheetId="14">'Attach 9 - Stated-value Inputs'!$A$1:$I$90</definedName>
    <definedName name="_xlnm.Print_Area" localSheetId="1">'Attachment 1 - Sched 1A'!$A$1:$J$18</definedName>
    <definedName name="_xlnm.Print_Area" localSheetId="15">'Attachment 10 - Debt Cost'!$A$1:$AA$59</definedName>
    <definedName name="_xlnm.Print_Area" localSheetId="16">'Attachment 11 - TEC'!$A$1:$T$90</definedName>
    <definedName name="_xlnm.Print_Area" localSheetId="18">'Attachment 12 - TEC True-up'!$A$1:$M$39</definedName>
    <definedName name="_xlnm.Print_Area" localSheetId="26">'Attachment 18 - Tax Rates'!$A$1:$K$31</definedName>
    <definedName name="_xlnm.Print_Area" localSheetId="27">'Attachment 19 - Reg Asset'!$A$1:$AB$36</definedName>
    <definedName name="_xlnm.Print_Area" localSheetId="2">'Attachment 2 - ROE Calcs'!$A$1:$L$67</definedName>
    <definedName name="_xlnm.Print_Area" localSheetId="5">'Attachment 3 - Gross Plant'!$A$1:$M$70</definedName>
    <definedName name="_xlnm.Print_Area" localSheetId="7">'Attachment 5 - ADIT Summary'!$A$1:$M$36</definedName>
    <definedName name="_xlnm.Print_Area" localSheetId="8">'Attachment 5a - ADIT Detail'!$A$1:$K$224</definedName>
    <definedName name="_xlnm.Print_Area" localSheetId="9">'Attachment 5b - ADIT Norm PTRR'!$A$1:$M$52</definedName>
    <definedName name="_xlnm.Print_Area" localSheetId="13">'Attachment 8 - Cap Structure'!$A$1:$O$29</definedName>
    <definedName name="_xlnm.Print_Area" localSheetId="0">'Attachment H-11A '!$A$1:$K$319</definedName>
    <definedName name="_xlnm.Print_Area">#REF!</definedName>
    <definedName name="_xlnm.Print_Titles" localSheetId="16">'Attachment 11 - TEC'!$C:$D</definedName>
    <definedName name="_xlnm.Print_Titles" localSheetId="18">'Attachment 12 - TEC True-up'!$C:$D</definedName>
    <definedName name="Print1" localSheetId="26">#REF!</definedName>
    <definedName name="Print1" localSheetId="2">#REF!</definedName>
    <definedName name="Print1" localSheetId="7">#REF!</definedName>
    <definedName name="Print1">#REF!</definedName>
    <definedName name="Print3" localSheetId="26">#REF!</definedName>
    <definedName name="Print3" localSheetId="2">#REF!</definedName>
    <definedName name="Print3" localSheetId="7">#REF!</definedName>
    <definedName name="Print3">#REF!</definedName>
    <definedName name="Print4" localSheetId="26">#REF!</definedName>
    <definedName name="Print4" localSheetId="2">#REF!</definedName>
    <definedName name="Print4" localSheetId="7">#REF!</definedName>
    <definedName name="Print4">#REF!</definedName>
    <definedName name="Print5" localSheetId="26">#REF!</definedName>
    <definedName name="Print5" localSheetId="2">#REF!</definedName>
    <definedName name="Print5" localSheetId="7">#REF!</definedName>
    <definedName name="Print5">#REF!</definedName>
    <definedName name="Proj_PIS">'[4]Final Summary Sheet'!$AB$132:$AM$141</definedName>
    <definedName name="Projection">"Projection"</definedName>
    <definedName name="ProjIDList" localSheetId="26">#REF!</definedName>
    <definedName name="ProjIDList" localSheetId="2">#REF!</definedName>
    <definedName name="ProjIDList" localSheetId="7">#REF!</definedName>
    <definedName name="ProjIDList">#REF!</definedName>
    <definedName name="PROSPECT" localSheetId="26">#REF!</definedName>
    <definedName name="PROSPECT" localSheetId="2">#REF!</definedName>
    <definedName name="PROSPECT" localSheetId="7">#REF!</definedName>
    <definedName name="PROSPECT">#REF!</definedName>
    <definedName name="PSCo_COS" localSheetId="26">#REF!</definedName>
    <definedName name="PSCo_COS" localSheetId="2">#REF!</definedName>
    <definedName name="PSCo_COS" localSheetId="7">#REF!</definedName>
    <definedName name="PSCo_COS">#REF!</definedName>
    <definedName name="q_MTEP06_App_AB_Facility" localSheetId="26">#REF!</definedName>
    <definedName name="q_MTEP06_App_AB_Facility" localSheetId="2">#REF!</definedName>
    <definedName name="q_MTEP06_App_AB_Facility" localSheetId="7">#REF!</definedName>
    <definedName name="q_MTEP06_App_AB_Facility">#REF!</definedName>
    <definedName name="q_MTEP06_App_AB_Projects" localSheetId="26">#REF!</definedName>
    <definedName name="q_MTEP06_App_AB_Projects" localSheetId="2">#REF!</definedName>
    <definedName name="q_MTEP06_App_AB_Projects" localSheetId="7">#REF!</definedName>
    <definedName name="q_MTEP06_App_AB_Projec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6">#REF!</definedName>
    <definedName name="revreq" localSheetId="2">#REF!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6">#REF!</definedName>
    <definedName name="SEVILLE" localSheetId="2">#REF!</definedName>
    <definedName name="SEVILLE" localSheetId="7">#REF!</definedName>
    <definedName name="SEVILLE">#REF!</definedName>
    <definedName name="shit" hidden="1">{"PRINT",#N/A,TRUE,"APPA";"PRINT",#N/A,TRUE,"APS";"PRINT",#N/A,TRUE,"BHPL";"PRINT",#N/A,TRUE,"BHPL2";"PRINT",#N/A,TRUE,"CDWR";"PRINT",#N/A,TRUE,"EWEB";"PRINT",#N/A,TRUE,"LADWP";"PRINT",#N/A,TRUE,"NEVBASE"}</definedName>
    <definedName name="SOUTH_VIENNA" localSheetId="26">#REF!</definedName>
    <definedName name="SOUTH_VIENNA" localSheetId="2">#REF!</definedName>
    <definedName name="SOUTH_VIENNA" localSheetId="7">#REF!</definedName>
    <definedName name="SOUTH_VIENNA">#REF!</definedName>
    <definedName name="SPS_COS" localSheetId="26">#REF!</definedName>
    <definedName name="SPS_COS" localSheetId="2">#REF!</definedName>
    <definedName name="SPS_COS" localSheetId="7">#REF!</definedName>
    <definedName name="SPS_COS">#REF!</definedName>
    <definedName name="TEST0">#REF!</definedName>
    <definedName name="TESTHKEY">#REF!</definedName>
    <definedName name="TESTKEYS">#REF!</definedName>
    <definedName name="TESTVKEY">#REF!</definedName>
    <definedName name="Toggle">Projection</definedName>
    <definedName name="Toggle.list">'[3]Appendix A'!$P$5:$P$6</definedName>
    <definedName name="TOTAL_COLUMBIANA" localSheetId="26">#REF!</definedName>
    <definedName name="TOTAL_COLUMBIANA" localSheetId="2">#REF!</definedName>
    <definedName name="TOTAL_COLUMBIANA" localSheetId="7">#REF!</definedName>
    <definedName name="TOTAL_COLUMBIANA">#REF!</definedName>
    <definedName name="Total_Grove_City" localSheetId="26">#REF!</definedName>
    <definedName name="Total_Grove_City" localSheetId="2">#REF!</definedName>
    <definedName name="Total_Grove_City" localSheetId="7">#REF!</definedName>
    <definedName name="Total_Grove_City">#REF!</definedName>
    <definedName name="TOTAL_HUDSON" localSheetId="26">#REF!</definedName>
    <definedName name="TOTAL_HUDSON" localSheetId="2">#REF!</definedName>
    <definedName name="TOTAL_HUDSON" localSheetId="7">#REF!</definedName>
    <definedName name="TOTAL_HUDSON">#REF!</definedName>
    <definedName name="TOTAL_MONTPELIER" localSheetId="26">#REF!</definedName>
    <definedName name="TOTAL_MONTPELIER" localSheetId="2">#REF!</definedName>
    <definedName name="TOTAL_MONTPELIER" localSheetId="7">#REF!</definedName>
    <definedName name="TOTAL_MONTPELIER">#REF!</definedName>
    <definedName name="TOTAL_WOODVILLE" localSheetId="26">#REF!</definedName>
    <definedName name="TOTAL_WOODVILLE" localSheetId="2">#REF!</definedName>
    <definedName name="TOTAL_WOODVILLE" localSheetId="7">#REF!</definedName>
    <definedName name="TOTAL_WOODVILLE">#REF!</definedName>
    <definedName name="transmission.fixed.charge.rate">0.1525</definedName>
    <definedName name="True_up">'[3]Appendix A'!$P$6</definedName>
    <definedName name="WADSWORTH" localSheetId="26">#REF!</definedName>
    <definedName name="WADSWORTH" localSheetId="2">#REF!</definedName>
    <definedName name="WADSWORTH" localSheetId="7">#REF!</definedName>
    <definedName name="WADSWORTH">#REF!</definedName>
    <definedName name="WELLINGTON" localSheetId="26">#REF!</definedName>
    <definedName name="WELLINGTON" localSheetId="2">#REF!</definedName>
    <definedName name="WELLINGTON" localSheetId="7">#REF!</definedName>
    <definedName name="WELLINGTON">#REF!</definedName>
    <definedName name="wrn.All._.Pages." hidden="1">{#N/A,#N/A,FALSE,"Cover";#N/A,#N/A,FALSE,"Lead Sheet";#N/A,#N/A,FALSE,"T-Accounts";#N/A,#N/A,FALSE,"Ins &amp; Prem ActualEstimates"}</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Xcel" localSheetId="14">'[5]Data Entry and Forecaster'!#REF!</definedName>
    <definedName name="Xcel" localSheetId="18">'[5]Data Entry and Forecaster'!#REF!</definedName>
    <definedName name="Xcel" localSheetId="26">'[5]Data Entry and Forecaster'!#REF!</definedName>
    <definedName name="Xcel" localSheetId="7">'[5]Data Entry and Forecaster'!#REF!</definedName>
    <definedName name="Xcel" localSheetId="12">'[5]Data Entry and Forecaster'!#REF!</definedName>
    <definedName name="Xcel" localSheetId="13">'[5]Data Entry and Forecaster'!#REF!</definedName>
    <definedName name="Xcel">'[5]Data Entry and Forecaster'!#REF!</definedName>
    <definedName name="Xcel_COS" localSheetId="26">#REF!</definedName>
    <definedName name="Xcel_COS" localSheetId="2">#REF!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'Attachment 5a - ADIT Detail'!$G:$G</definedName>
    <definedName name="Z_28948E05_8F34_4F1E_96FB_A80A6A844600_.wvu.PrintArea" localSheetId="8" hidden="1">'Attachment 5a - ADIT Detail'!$B$1:$K$145</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ROE Calcs'!#REF!,'Attachment 2 - ROE Calcs'!#REF!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ROE Calcs'!#REF!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ROE Calcs'!#REF!</definedName>
    <definedName name="Z_63011E91_4609_4523_98FE_FD252E915668_.wvu.Cols" localSheetId="8" hidden="1">'Attachment 5a - ADIT Detail'!$G:$G</definedName>
    <definedName name="Z_63011E91_4609_4523_98FE_FD252E915668_.wvu.PrintArea" localSheetId="8" hidden="1">'Attachment 5a - ADIT Detail'!$B$1:$K$145</definedName>
    <definedName name="Z_6928E596_79BD_4CEC_9F0D_07E62D69B2A5_.wvu.Cols" localSheetId="8" hidden="1">'Attachment 5a - ADIT Detail'!$G:$G</definedName>
    <definedName name="Z_6928E596_79BD_4CEC_9F0D_07E62D69B2A5_.wvu.PrintArea" localSheetId="8" hidden="1">'Attachment 5a - ADIT Detail'!$B$1:$K$145</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'Attachment 5a - ADIT Detail'!$G:$G</definedName>
    <definedName name="Z_71B42B22_A376_44B5_B0C1_23FC1AA3DBA2_.wvu.PrintArea" localSheetId="8" hidden="1">'Attachment 5a - ADIT Detail'!$B$1:$K$145</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ROE Calcs'!#REF!,'Attachment 2 - ROE Calcs'!#REF!</definedName>
    <definedName name="Z_8FBB4DC9_2D51_4AB9_80D8_F8474B404C29_.wvu.Cols" localSheetId="8" hidden="1">'Attachment 5a - ADIT Detail'!$G:$G</definedName>
    <definedName name="Z_8FBB4DC9_2D51_4AB9_80D8_F8474B404C29_.wvu.PrintArea" localSheetId="8" hidden="1">'Attachment 5a - ADIT Detail'!$B$1:$K$145</definedName>
    <definedName name="Z_B647CB7F_C846_4278_B6B1_1EF7F3C004F5_.wvu.Cols" localSheetId="8" hidden="1">'Attachment 5a - ADIT Detail'!$G:$G</definedName>
    <definedName name="Z_B647CB7F_C846_4278_B6B1_1EF7F3C004F5_.wvu.PrintArea" localSheetId="8" hidden="1">'Attachment 5a - ADIT Detail'!$B$1:$K$145</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ROE Calcs'!#REF!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'Attachment 5a - ADIT Detail'!$G:$G</definedName>
    <definedName name="Z_DC91DEF3_837B_4BB9_A81E_3B78C5914E6C_.wvu.PrintArea" localSheetId="8" hidden="1">'Attachment 5a - ADIT Detail'!$B$1:$K$145</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ROE Calcs'!#REF!</definedName>
    <definedName name="Z_E1861F40_EBD5_44AE_868B_FDE0ED504D72_.wvu.PrintArea" localSheetId="1" hidden="1">'Attachment 1 - Sched 1A'!$B$1:$I$18</definedName>
    <definedName name="Z_E1861F40_EBD5_44AE_868B_FDE0ED504D72_.wvu.PrintArea" localSheetId="16" hidden="1">'Attachment 11 - TEC'!$A$1:$O$87</definedName>
    <definedName name="Z_E1861F40_EBD5_44AE_868B_FDE0ED504D72_.wvu.PrintArea" localSheetId="18" hidden="1">'Attachment 12 - TEC True-up'!$A$1:$L$39</definedName>
    <definedName name="Z_E1861F40_EBD5_44AE_868B_FDE0ED504D72_.wvu.PrintArea" localSheetId="0" hidden="1">'Attachment H-11A '!$A$1:$K$320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ROE Calcs'!#REF!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'Attachment 5a - ADIT Detail'!$G:$G</definedName>
    <definedName name="Z_FAAD9AAC_1337_43AB_BF1F_CCF9DFCF5B78_.wvu.PrintArea" localSheetId="8" hidden="1">'Attachment 5a - ADIT Detail'!$B$1:$K$145</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ROE Calcs'!#REF!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0" i="38" l="1"/>
  <c r="I32" i="40" l="1"/>
  <c r="H32" i="40"/>
  <c r="G32" i="40"/>
  <c r="G28" i="40"/>
  <c r="H24" i="40"/>
  <c r="C137" i="38"/>
  <c r="C138" i="38"/>
  <c r="C139" i="38"/>
  <c r="C141" i="38"/>
  <c r="C136" i="38"/>
  <c r="C98" i="38"/>
  <c r="C99" i="38"/>
  <c r="C100" i="38"/>
  <c r="C101" i="38"/>
  <c r="C102" i="38"/>
  <c r="C103" i="38"/>
  <c r="C104" i="38"/>
  <c r="C105" i="38"/>
  <c r="C106" i="38"/>
  <c r="C107" i="38"/>
  <c r="C108" i="38"/>
  <c r="C109" i="38"/>
  <c r="C110" i="38"/>
  <c r="C97" i="38"/>
  <c r="C66" i="38"/>
  <c r="C67" i="38"/>
  <c r="C68" i="38"/>
  <c r="C69" i="38"/>
  <c r="C55" i="38"/>
  <c r="C56" i="38"/>
  <c r="C57" i="38"/>
  <c r="C58" i="38"/>
  <c r="C59" i="38"/>
  <c r="C60" i="38"/>
  <c r="C61" i="38"/>
  <c r="C62" i="38"/>
  <c r="C63" i="38"/>
  <c r="C64" i="38"/>
  <c r="C65" i="38"/>
  <c r="C54" i="38"/>
  <c r="H92" i="61" l="1"/>
  <c r="I82" i="61" l="1"/>
  <c r="I83" i="61"/>
  <c r="I84" i="61"/>
  <c r="I85" i="61"/>
  <c r="I86" i="61"/>
  <c r="I87" i="61"/>
  <c r="H88" i="61" l="1"/>
  <c r="E88" i="61"/>
  <c r="D88" i="61"/>
  <c r="I71" i="61"/>
  <c r="I72" i="61"/>
  <c r="I70" i="61"/>
  <c r="I40" i="61"/>
  <c r="I41" i="61"/>
  <c r="I42" i="61"/>
  <c r="I43" i="61"/>
  <c r="I44" i="61"/>
  <c r="I45" i="61"/>
  <c r="I46" i="61"/>
  <c r="I47" i="61"/>
  <c r="I48" i="61"/>
  <c r="I49" i="61"/>
  <c r="I50" i="61"/>
  <c r="I51" i="61"/>
  <c r="I52" i="61"/>
  <c r="I53" i="61"/>
  <c r="I54" i="61"/>
  <c r="I55" i="61"/>
  <c r="I56" i="61"/>
  <c r="I39" i="61"/>
  <c r="I64" i="61" l="1"/>
  <c r="I65" i="61"/>
  <c r="I66" i="61"/>
  <c r="I67" i="61"/>
  <c r="I14" i="61"/>
  <c r="I15" i="61"/>
  <c r="I16" i="61"/>
  <c r="I17" i="61"/>
  <c r="I18" i="61"/>
  <c r="I19" i="61"/>
  <c r="I20" i="61"/>
  <c r="I21" i="61"/>
  <c r="I22" i="61"/>
  <c r="I23" i="61"/>
  <c r="I24" i="61"/>
  <c r="I25" i="61"/>
  <c r="I26" i="61"/>
  <c r="I27" i="61"/>
  <c r="I28" i="61"/>
  <c r="I29" i="61"/>
  <c r="I30" i="61"/>
  <c r="I31" i="61"/>
  <c r="I32" i="61"/>
  <c r="I33" i="61"/>
  <c r="I34" i="61"/>
  <c r="I35" i="61"/>
  <c r="G20" i="6" l="1"/>
  <c r="G21" i="6"/>
  <c r="G22" i="6"/>
  <c r="E64" i="5"/>
  <c r="H64" i="5"/>
  <c r="E65" i="5"/>
  <c r="H65" i="5"/>
  <c r="E66" i="5"/>
  <c r="H66" i="5"/>
  <c r="E67" i="5"/>
  <c r="H67" i="5"/>
  <c r="T12" i="39"/>
  <c r="T13" i="39"/>
  <c r="T14" i="39"/>
  <c r="T15" i="39"/>
  <c r="A12" i="39"/>
  <c r="C12" i="39"/>
  <c r="D12" i="39"/>
  <c r="E12" i="39"/>
  <c r="AI12" i="39" s="1"/>
  <c r="A13" i="39"/>
  <c r="C13" i="39"/>
  <c r="D13" i="39"/>
  <c r="E13" i="39"/>
  <c r="AI13" i="39" s="1"/>
  <c r="A14" i="39"/>
  <c r="C14" i="39"/>
  <c r="D14" i="39"/>
  <c r="E14" i="39"/>
  <c r="AI14" i="39" s="1"/>
  <c r="A15" i="39"/>
  <c r="C15" i="39"/>
  <c r="D15" i="39"/>
  <c r="E15" i="39"/>
  <c r="AI15" i="39" s="1"/>
  <c r="W27" i="42" l="1"/>
  <c r="K20" i="42"/>
  <c r="K21" i="42"/>
  <c r="K22" i="42"/>
  <c r="K23" i="42"/>
  <c r="K24" i="42"/>
  <c r="K25" i="42"/>
  <c r="K26" i="42"/>
  <c r="K19" i="42"/>
  <c r="I20" i="42"/>
  <c r="I21" i="42"/>
  <c r="I22" i="42"/>
  <c r="I23" i="42"/>
  <c r="I24" i="42"/>
  <c r="I25" i="42"/>
  <c r="I26" i="42"/>
  <c r="I19" i="42"/>
  <c r="Y56" i="42"/>
  <c r="S56" i="42"/>
  <c r="M56" i="42"/>
  <c r="I56" i="42"/>
  <c r="S49" i="42" l="1"/>
  <c r="S50" i="42"/>
  <c r="S51" i="42"/>
  <c r="S52" i="42"/>
  <c r="S53" i="42"/>
  <c r="S54" i="42"/>
  <c r="Y48" i="42"/>
  <c r="S48" i="42"/>
  <c r="U48" i="42" s="1"/>
  <c r="AA48" i="42" s="1"/>
  <c r="A49" i="42"/>
  <c r="A50" i="42"/>
  <c r="A51" i="42"/>
  <c r="A52" i="42"/>
  <c r="A53" i="42"/>
  <c r="A54" i="42"/>
  <c r="A55" i="42"/>
  <c r="B49" i="42"/>
  <c r="B50" i="42"/>
  <c r="B51" i="42"/>
  <c r="B52" i="42"/>
  <c r="B53" i="42"/>
  <c r="B54" i="42"/>
  <c r="B55" i="42"/>
  <c r="A48" i="42"/>
  <c r="B48" i="42"/>
  <c r="Q24" i="42" l="1"/>
  <c r="D212" i="1" l="1"/>
  <c r="C61" i="66" l="1"/>
  <c r="I271" i="1" l="1"/>
  <c r="I59" i="61"/>
  <c r="I201" i="1" l="1"/>
  <c r="F17" i="69" l="1"/>
  <c r="F17" i="68"/>
  <c r="H76" i="61" l="1"/>
  <c r="E76" i="61"/>
  <c r="D76" i="61"/>
  <c r="D16" i="27"/>
  <c r="M52" i="67" l="1"/>
  <c r="K52" i="67"/>
  <c r="I52" i="67"/>
  <c r="I32" i="67"/>
  <c r="I200" i="1" s="1"/>
  <c r="AA26" i="65"/>
  <c r="Y49" i="42" l="1"/>
  <c r="J1" i="69" l="1"/>
  <c r="A71" i="69"/>
  <c r="A70" i="69"/>
  <c r="A69" i="69"/>
  <c r="A65" i="69"/>
  <c r="A63" i="69"/>
  <c r="A50" i="69"/>
  <c r="A46" i="69"/>
  <c r="A44" i="69"/>
  <c r="A31" i="69"/>
  <c r="A29" i="69"/>
  <c r="D18" i="69"/>
  <c r="B18" i="69"/>
  <c r="B19" i="69" s="1"/>
  <c r="B20" i="69" s="1"/>
  <c r="B21" i="69" s="1"/>
  <c r="B22" i="69" s="1"/>
  <c r="B23" i="69" s="1"/>
  <c r="B24" i="69" s="1"/>
  <c r="B25" i="69" s="1"/>
  <c r="B26" i="69" s="1"/>
  <c r="B27" i="69" s="1"/>
  <c r="B28" i="69" s="1"/>
  <c r="B32" i="69" s="1"/>
  <c r="B33" i="69" s="1"/>
  <c r="B34" i="69" s="1"/>
  <c r="B35" i="69" s="1"/>
  <c r="B36" i="69" s="1"/>
  <c r="B37" i="69" s="1"/>
  <c r="B38" i="69" s="1"/>
  <c r="B39" i="69" s="1"/>
  <c r="B40" i="69" s="1"/>
  <c r="B41" i="69" s="1"/>
  <c r="B42" i="69" s="1"/>
  <c r="B43" i="69" s="1"/>
  <c r="B51" i="69" s="1"/>
  <c r="B52" i="69" s="1"/>
  <c r="B53" i="69" s="1"/>
  <c r="B54" i="69" s="1"/>
  <c r="B55" i="69" s="1"/>
  <c r="B56" i="69" s="1"/>
  <c r="B57" i="69" s="1"/>
  <c r="B58" i="69" s="1"/>
  <c r="B59" i="69" s="1"/>
  <c r="B60" i="69" s="1"/>
  <c r="B61" i="69" s="1"/>
  <c r="B62" i="69" s="1"/>
  <c r="G17" i="69"/>
  <c r="G18" i="69" s="1"/>
  <c r="A18" i="69" s="1"/>
  <c r="H17" i="69"/>
  <c r="E10" i="69"/>
  <c r="C10" i="69"/>
  <c r="J3" i="69"/>
  <c r="D19" i="69" l="1"/>
  <c r="F19" i="69" s="1"/>
  <c r="F18" i="69"/>
  <c r="D20" i="69"/>
  <c r="F20" i="69" s="1"/>
  <c r="G19" i="69"/>
  <c r="H18" i="69"/>
  <c r="D21" i="69" l="1"/>
  <c r="F21" i="69" s="1"/>
  <c r="A19" i="69"/>
  <c r="H19" i="69"/>
  <c r="I19" i="69" s="1"/>
  <c r="G20" i="69" s="1"/>
  <c r="A20" i="69" l="1"/>
  <c r="G21" i="69"/>
  <c r="H20" i="69"/>
  <c r="D22" i="69"/>
  <c r="F22" i="69" s="1"/>
  <c r="H21" i="69" l="1"/>
  <c r="D23" i="69"/>
  <c r="F23" i="69" s="1"/>
  <c r="A21" i="69"/>
  <c r="G22" i="69"/>
  <c r="H22" i="69" l="1"/>
  <c r="I22" i="69" s="1"/>
  <c r="G23" i="69" s="1"/>
  <c r="A22" i="69"/>
  <c r="D24" i="69"/>
  <c r="F24" i="69" s="1"/>
  <c r="H23" i="69" l="1"/>
  <c r="G24" i="69"/>
  <c r="H24" i="69" s="1"/>
  <c r="A23" i="69"/>
  <c r="D25" i="69"/>
  <c r="F25" i="69" s="1"/>
  <c r="D26" i="69" l="1"/>
  <c r="F26" i="69" s="1"/>
  <c r="A24" i="69"/>
  <c r="G25" i="69"/>
  <c r="H25" i="69" l="1"/>
  <c r="I25" i="69" s="1"/>
  <c r="G26" i="69" s="1"/>
  <c r="A25" i="69"/>
  <c r="D27" i="69"/>
  <c r="F27" i="69" s="1"/>
  <c r="H26" i="69" l="1"/>
  <c r="D28" i="69"/>
  <c r="F28" i="69" s="1"/>
  <c r="G27" i="69"/>
  <c r="A26" i="69"/>
  <c r="H27" i="69" l="1"/>
  <c r="A27" i="69"/>
  <c r="G28" i="69"/>
  <c r="D32" i="69"/>
  <c r="F32" i="69" s="1"/>
  <c r="H28" i="69" l="1"/>
  <c r="I28" i="69" s="1"/>
  <c r="D33" i="69"/>
  <c r="F33" i="69" s="1"/>
  <c r="G30" i="69"/>
  <c r="A28" i="69"/>
  <c r="G32" i="69" l="1"/>
  <c r="H32" i="69" s="1"/>
  <c r="A30" i="69"/>
  <c r="D34" i="69"/>
  <c r="F34" i="69" s="1"/>
  <c r="D35" i="69" l="1"/>
  <c r="F35" i="69" s="1"/>
  <c r="G33" i="69"/>
  <c r="A32" i="69"/>
  <c r="D36" i="69" l="1"/>
  <c r="F36" i="69" s="1"/>
  <c r="G34" i="69"/>
  <c r="A33" i="69"/>
  <c r="H33" i="69"/>
  <c r="A34" i="69" l="1"/>
  <c r="D37" i="69"/>
  <c r="F37" i="69" s="1"/>
  <c r="H34" i="69"/>
  <c r="I34" i="69" s="1"/>
  <c r="G35" i="69" s="1"/>
  <c r="G36" i="69" l="1"/>
  <c r="H36" i="69" s="1"/>
  <c r="A35" i="69"/>
  <c r="H35" i="69"/>
  <c r="D38" i="69"/>
  <c r="F38" i="69" s="1"/>
  <c r="D39" i="69" l="1"/>
  <c r="F39" i="69" s="1"/>
  <c r="G37" i="69"/>
  <c r="A36" i="69"/>
  <c r="A37" i="69" l="1"/>
  <c r="H37" i="69"/>
  <c r="I37" i="69" s="1"/>
  <c r="G38" i="69" s="1"/>
  <c r="D40" i="69"/>
  <c r="F40" i="69" s="1"/>
  <c r="G39" i="69" l="1"/>
  <c r="H39" i="69" s="1"/>
  <c r="A38" i="69"/>
  <c r="H38" i="69"/>
  <c r="D41" i="69"/>
  <c r="F41" i="69" s="1"/>
  <c r="D42" i="69" l="1"/>
  <c r="F42" i="69" s="1"/>
  <c r="D51" i="69"/>
  <c r="F51" i="69" s="1"/>
  <c r="A39" i="69"/>
  <c r="G40" i="69"/>
  <c r="A40" i="69" l="1"/>
  <c r="D52" i="69"/>
  <c r="F52" i="69" s="1"/>
  <c r="D43" i="69"/>
  <c r="F43" i="69" s="1"/>
  <c r="H40" i="69"/>
  <c r="I40" i="69" s="1"/>
  <c r="G41" i="69" s="1"/>
  <c r="A41" i="69" l="1"/>
  <c r="G42" i="69"/>
  <c r="H42" i="69" s="1"/>
  <c r="H41" i="69"/>
  <c r="D53" i="69"/>
  <c r="F53" i="69" s="1"/>
  <c r="D54" i="69" l="1"/>
  <c r="F54" i="69" s="1"/>
  <c r="G43" i="69"/>
  <c r="A42" i="69"/>
  <c r="A43" i="69" l="1"/>
  <c r="H43" i="69"/>
  <c r="I43" i="69" s="1"/>
  <c r="G45" i="69" s="1"/>
  <c r="D55" i="69"/>
  <c r="F55" i="69" s="1"/>
  <c r="G47" i="69" l="1"/>
  <c r="A45" i="69"/>
  <c r="D56" i="69"/>
  <c r="F56" i="69" s="1"/>
  <c r="D57" i="69" l="1"/>
  <c r="F57" i="69" s="1"/>
  <c r="G49" i="69"/>
  <c r="A47" i="69"/>
  <c r="A48" i="69" s="1"/>
  <c r="G66" i="69" l="1"/>
  <c r="A49" i="69"/>
  <c r="G51" i="69"/>
  <c r="D58" i="69"/>
  <c r="F58" i="69" s="1"/>
  <c r="G52" i="69" l="1"/>
  <c r="A51" i="69"/>
  <c r="H51" i="69"/>
  <c r="D59" i="69"/>
  <c r="F59" i="69" s="1"/>
  <c r="G68" i="69"/>
  <c r="D60" i="69" l="1"/>
  <c r="F60" i="69" s="1"/>
  <c r="A52" i="69"/>
  <c r="G53" i="69"/>
  <c r="H52" i="69"/>
  <c r="A53" i="69" l="1"/>
  <c r="H53" i="69"/>
  <c r="I53" i="69" s="1"/>
  <c r="G54" i="69" s="1"/>
  <c r="D61" i="69"/>
  <c r="F61" i="69" s="1"/>
  <c r="A54" i="69" l="1"/>
  <c r="G55" i="69"/>
  <c r="H54" i="69"/>
  <c r="D62" i="69"/>
  <c r="F62" i="69" s="1"/>
  <c r="G56" i="69" l="1"/>
  <c r="A55" i="69"/>
  <c r="H55" i="69"/>
  <c r="A56" i="69" l="1"/>
  <c r="H56" i="69"/>
  <c r="I56" i="69" s="1"/>
  <c r="G57" i="69" s="1"/>
  <c r="A57" i="69" l="1"/>
  <c r="G58" i="69"/>
  <c r="H57" i="69"/>
  <c r="A58" i="69" l="1"/>
  <c r="G59" i="69"/>
  <c r="H58" i="69"/>
  <c r="A59" i="69" l="1"/>
  <c r="H59" i="69"/>
  <c r="I59" i="69" s="1"/>
  <c r="G60" i="69" s="1"/>
  <c r="A60" i="69" l="1"/>
  <c r="G61" i="69"/>
  <c r="H60" i="69"/>
  <c r="A61" i="69" l="1"/>
  <c r="G62" i="69"/>
  <c r="H61" i="69"/>
  <c r="A62" i="69" l="1"/>
  <c r="H62" i="69"/>
  <c r="I62" i="69" s="1"/>
  <c r="G64" i="69" s="1"/>
  <c r="A64" i="69" s="1"/>
  <c r="A66" i="69" s="1"/>
  <c r="A67" i="69" s="1"/>
  <c r="A68" i="69" s="1"/>
  <c r="A69" i="68" l="1"/>
  <c r="A70" i="68"/>
  <c r="A71" i="68"/>
  <c r="A65" i="68"/>
  <c r="A50" i="68"/>
  <c r="A63" i="68"/>
  <c r="A44" i="68"/>
  <c r="A46" i="68"/>
  <c r="A29" i="68"/>
  <c r="A31" i="68"/>
  <c r="G17" i="68"/>
  <c r="G18" i="68" s="1"/>
  <c r="A18" i="68" s="1"/>
  <c r="H17" i="68"/>
  <c r="D18" i="68"/>
  <c r="B18" i="68"/>
  <c r="B19" i="68" s="1"/>
  <c r="B20" i="68" s="1"/>
  <c r="B21" i="68" s="1"/>
  <c r="B22" i="68" s="1"/>
  <c r="B23" i="68" s="1"/>
  <c r="B24" i="68" s="1"/>
  <c r="B25" i="68" s="1"/>
  <c r="B26" i="68" s="1"/>
  <c r="B27" i="68" s="1"/>
  <c r="B28" i="68" s="1"/>
  <c r="B32" i="68" s="1"/>
  <c r="E10" i="68"/>
  <c r="C10" i="68"/>
  <c r="J3" i="68"/>
  <c r="J1" i="68"/>
  <c r="D19" i="68" l="1"/>
  <c r="F18" i="68"/>
  <c r="B33" i="68"/>
  <c r="H18" i="68"/>
  <c r="G19" i="68"/>
  <c r="A19" i="68" s="1"/>
  <c r="D20" i="68" l="1"/>
  <c r="F19" i="68"/>
  <c r="B34" i="68"/>
  <c r="H19" i="68"/>
  <c r="I19" i="68" s="1"/>
  <c r="G20" i="68" s="1"/>
  <c r="D21" i="68" l="1"/>
  <c r="F20" i="68"/>
  <c r="H20" i="68" s="1"/>
  <c r="B35" i="68"/>
  <c r="G21" i="68"/>
  <c r="A20" i="68"/>
  <c r="F21" i="68" l="1"/>
  <c r="D22" i="68"/>
  <c r="B36" i="68"/>
  <c r="A21" i="68"/>
  <c r="G22" i="68"/>
  <c r="H21" i="68"/>
  <c r="F22" i="68" l="1"/>
  <c r="D23" i="68"/>
  <c r="B37" i="68"/>
  <c r="A22" i="68"/>
  <c r="H22" i="68"/>
  <c r="I22" i="68" s="1"/>
  <c r="G23" i="68" s="1"/>
  <c r="F23" i="68" l="1"/>
  <c r="D24" i="68"/>
  <c r="B38" i="68"/>
  <c r="H23" i="68"/>
  <c r="A23" i="68"/>
  <c r="G24" i="68"/>
  <c r="F24" i="68" l="1"/>
  <c r="H24" i="68" s="1"/>
  <c r="D25" i="68"/>
  <c r="B39" i="68"/>
  <c r="A24" i="68"/>
  <c r="G25" i="68"/>
  <c r="F25" i="68" l="1"/>
  <c r="D26" i="68"/>
  <c r="B40" i="68"/>
  <c r="A25" i="68"/>
  <c r="H25" i="68"/>
  <c r="I25" i="68" s="1"/>
  <c r="G26" i="68" s="1"/>
  <c r="F26" i="68" l="1"/>
  <c r="D27" i="68"/>
  <c r="B41" i="68"/>
  <c r="H26" i="68"/>
  <c r="A26" i="68"/>
  <c r="G27" i="68"/>
  <c r="F27" i="68" l="1"/>
  <c r="D28" i="68"/>
  <c r="B42" i="68"/>
  <c r="A27" i="68"/>
  <c r="G28" i="68"/>
  <c r="H27" i="68"/>
  <c r="F28" i="68" l="1"/>
  <c r="D32" i="68"/>
  <c r="B43" i="68"/>
  <c r="H28" i="68"/>
  <c r="I28" i="68" s="1"/>
  <c r="G30" i="68" s="1"/>
  <c r="A28" i="68"/>
  <c r="F32" i="68" l="1"/>
  <c r="D33" i="68"/>
  <c r="B51" i="68"/>
  <c r="G32" i="68"/>
  <c r="A30" i="68"/>
  <c r="F33" i="68" l="1"/>
  <c r="D34" i="68"/>
  <c r="B52" i="68"/>
  <c r="G33" i="68"/>
  <c r="A32" i="68"/>
  <c r="H32" i="68"/>
  <c r="F34" i="68" l="1"/>
  <c r="D35" i="68"/>
  <c r="B53" i="68"/>
  <c r="G34" i="68"/>
  <c r="A33" i="68"/>
  <c r="H33" i="68"/>
  <c r="F35" i="68" l="1"/>
  <c r="D36" i="68"/>
  <c r="B54" i="68"/>
  <c r="H34" i="68"/>
  <c r="I34" i="68" s="1"/>
  <c r="G35" i="68" s="1"/>
  <c r="A34" i="68"/>
  <c r="F36" i="68" l="1"/>
  <c r="D37" i="68"/>
  <c r="B55" i="68"/>
  <c r="G36" i="68"/>
  <c r="A35" i="68"/>
  <c r="H35" i="68"/>
  <c r="F37" i="68" l="1"/>
  <c r="D38" i="68"/>
  <c r="B56" i="68"/>
  <c r="G37" i="68"/>
  <c r="H37" i="68" s="1"/>
  <c r="A36" i="68"/>
  <c r="A37" i="68" s="1"/>
  <c r="H36" i="68"/>
  <c r="F38" i="68" l="1"/>
  <c r="D39" i="68"/>
  <c r="B57" i="68"/>
  <c r="I37" i="68"/>
  <c r="G38" i="68" s="1"/>
  <c r="F39" i="68" l="1"/>
  <c r="D40" i="68"/>
  <c r="B58" i="68"/>
  <c r="A38" i="68"/>
  <c r="G39" i="68"/>
  <c r="H38" i="68"/>
  <c r="F40" i="68" l="1"/>
  <c r="D41" i="68"/>
  <c r="B59" i="68"/>
  <c r="A39" i="68"/>
  <c r="G40" i="68"/>
  <c r="H40" i="68" s="1"/>
  <c r="H39" i="68"/>
  <c r="F41" i="68" l="1"/>
  <c r="D42" i="68"/>
  <c r="D51" i="68"/>
  <c r="B60" i="68"/>
  <c r="A40" i="68"/>
  <c r="I40" i="68"/>
  <c r="G41" i="68" s="1"/>
  <c r="F51" i="68" l="1"/>
  <c r="D52" i="68"/>
  <c r="F42" i="68"/>
  <c r="D43" i="68"/>
  <c r="F43" i="68" s="1"/>
  <c r="B61" i="68"/>
  <c r="A41" i="68"/>
  <c r="G42" i="68"/>
  <c r="H41" i="68"/>
  <c r="F52" i="68" l="1"/>
  <c r="D53" i="68"/>
  <c r="B62" i="68"/>
  <c r="A42" i="68"/>
  <c r="G43" i="68"/>
  <c r="H42" i="68"/>
  <c r="F53" i="68" l="1"/>
  <c r="D54" i="68"/>
  <c r="A43" i="68"/>
  <c r="H43" i="68"/>
  <c r="I43" i="68" s="1"/>
  <c r="G45" i="68" s="1"/>
  <c r="F54" i="68" l="1"/>
  <c r="D55" i="68"/>
  <c r="G47" i="68"/>
  <c r="A45" i="68"/>
  <c r="F55" i="68" l="1"/>
  <c r="D56" i="68"/>
  <c r="A47" i="68"/>
  <c r="A48" i="68" s="1"/>
  <c r="G49" i="68"/>
  <c r="G66" i="68" s="1"/>
  <c r="F56" i="68" l="1"/>
  <c r="D57" i="68"/>
  <c r="G68" i="68"/>
  <c r="A49" i="68"/>
  <c r="G51" i="68"/>
  <c r="F57" i="68" l="1"/>
  <c r="D58" i="68"/>
  <c r="A51" i="68"/>
  <c r="H51" i="68"/>
  <c r="G52" i="68"/>
  <c r="F58" i="68" l="1"/>
  <c r="D59" i="68"/>
  <c r="G53" i="68"/>
  <c r="H52" i="68"/>
  <c r="A52" i="68"/>
  <c r="F59" i="68" l="1"/>
  <c r="D60" i="68"/>
  <c r="H53" i="68"/>
  <c r="I53" i="68" s="1"/>
  <c r="G54" i="68" s="1"/>
  <c r="A53" i="68"/>
  <c r="F60" i="68" l="1"/>
  <c r="D61" i="68"/>
  <c r="G55" i="68"/>
  <c r="H54" i="68"/>
  <c r="A54" i="68"/>
  <c r="F61" i="68" l="1"/>
  <c r="D62" i="68"/>
  <c r="F62" i="68" s="1"/>
  <c r="A55" i="68"/>
  <c r="H55" i="68"/>
  <c r="G56" i="68"/>
  <c r="H56" i="68" l="1"/>
  <c r="I56" i="68" s="1"/>
  <c r="G57" i="68" s="1"/>
  <c r="A56" i="68"/>
  <c r="H57" i="68" l="1"/>
  <c r="A57" i="68"/>
  <c r="G58" i="68"/>
  <c r="H58" i="68" l="1"/>
  <c r="A58" i="68"/>
  <c r="G59" i="68"/>
  <c r="H59" i="68" l="1"/>
  <c r="I59" i="68" s="1"/>
  <c r="G60" i="68" s="1"/>
  <c r="A59" i="68"/>
  <c r="H60" i="68" l="1"/>
  <c r="A60" i="68"/>
  <c r="G61" i="68"/>
  <c r="H61" i="68" l="1"/>
  <c r="A61" i="68"/>
  <c r="G62" i="68"/>
  <c r="A62" i="68" l="1"/>
  <c r="H62" i="68"/>
  <c r="I62" i="68" s="1"/>
  <c r="G64" i="68" s="1"/>
  <c r="A64" i="68" l="1"/>
  <c r="A66" i="68" s="1"/>
  <c r="A67" i="68" s="1"/>
  <c r="A68" i="68" s="1"/>
  <c r="U3" i="67" l="1"/>
  <c r="U1" i="67"/>
  <c r="J67" i="51" l="1"/>
  <c r="J65" i="51"/>
  <c r="J69" i="51" l="1"/>
  <c r="I261" i="1" l="1"/>
  <c r="O45" i="67" l="1"/>
  <c r="O46" i="67"/>
  <c r="S46" i="67" s="1"/>
  <c r="O47" i="67"/>
  <c r="O48" i="67"/>
  <c r="O49" i="67"/>
  <c r="O50" i="67"/>
  <c r="O51" i="67"/>
  <c r="O38" i="67"/>
  <c r="O39" i="67"/>
  <c r="O40" i="67"/>
  <c r="O41" i="67"/>
  <c r="O42" i="67"/>
  <c r="O43" i="67"/>
  <c r="O44" i="67"/>
  <c r="O52" i="67" l="1"/>
  <c r="W46" i="67"/>
  <c r="J5" i="58"/>
  <c r="D17" i="1"/>
  <c r="D118" i="1" l="1"/>
  <c r="A8" i="67"/>
  <c r="G5" i="67"/>
  <c r="I5" i="67" s="1"/>
  <c r="K5" i="67" s="1"/>
  <c r="M5" i="67" s="1"/>
  <c r="O5" i="67" s="1"/>
  <c r="Q5" i="67" s="1"/>
  <c r="S5" i="67" s="1"/>
  <c r="U5" i="67" s="1"/>
  <c r="W5" i="67" s="1"/>
  <c r="A9" i="67" l="1"/>
  <c r="A10" i="67" s="1"/>
  <c r="A11" i="67" l="1"/>
  <c r="A12" i="67" l="1"/>
  <c r="A13" i="67" l="1"/>
  <c r="A14" i="67" l="1"/>
  <c r="A15" i="67" l="1"/>
  <c r="A16" i="67" l="1"/>
  <c r="A17" i="67" l="1"/>
  <c r="A18" i="67" l="1"/>
  <c r="A19" i="67" s="1"/>
  <c r="A20" i="67" s="1"/>
  <c r="A21" i="67" s="1"/>
  <c r="A22" i="67" s="1"/>
  <c r="A23" i="67" s="1"/>
  <c r="A24" i="67" s="1"/>
  <c r="A25" i="67" s="1"/>
  <c r="A26" i="67" s="1"/>
  <c r="A27" i="67" s="1"/>
  <c r="A28" i="67" s="1"/>
  <c r="A29" i="67" s="1"/>
  <c r="A30" i="67" s="1"/>
  <c r="A31" i="67" s="1"/>
  <c r="E32" i="67" l="1"/>
  <c r="A32" i="67"/>
  <c r="A38" i="67" l="1"/>
  <c r="A39" i="67" l="1"/>
  <c r="A40" i="67" s="1"/>
  <c r="A41" i="67" s="1"/>
  <c r="A42" i="67" s="1"/>
  <c r="A43" i="67" s="1"/>
  <c r="A44" i="67" s="1"/>
  <c r="A45" i="67" s="1"/>
  <c r="A46" i="67" s="1"/>
  <c r="A47" i="67" s="1"/>
  <c r="A48" i="67" s="1"/>
  <c r="A49" i="67" s="1"/>
  <c r="A50" i="67" s="1"/>
  <c r="A51" i="67" s="1"/>
  <c r="A52" i="67" s="1"/>
  <c r="A54" i="67" l="1"/>
  <c r="W54" i="67"/>
  <c r="E52" i="67"/>
  <c r="AD59" i="66" l="1"/>
  <c r="AB59" i="66"/>
  <c r="Z59" i="66"/>
  <c r="X59" i="66"/>
  <c r="V59" i="66"/>
  <c r="T59" i="66"/>
  <c r="R59" i="66"/>
  <c r="P59" i="66"/>
  <c r="N59" i="66"/>
  <c r="L59" i="66"/>
  <c r="J59" i="66"/>
  <c r="H59" i="66"/>
  <c r="F59" i="66"/>
  <c r="AF58" i="66"/>
  <c r="AF57" i="66"/>
  <c r="AF52" i="66"/>
  <c r="AD47" i="66"/>
  <c r="AB47" i="66"/>
  <c r="Z47" i="66"/>
  <c r="X47" i="66"/>
  <c r="V47" i="66"/>
  <c r="T47" i="66"/>
  <c r="R47" i="66"/>
  <c r="P47" i="66"/>
  <c r="N47" i="66"/>
  <c r="L47" i="66"/>
  <c r="J47" i="66"/>
  <c r="H47" i="66"/>
  <c r="F47" i="66"/>
  <c r="AF46" i="66"/>
  <c r="AF45" i="66"/>
  <c r="AF47" i="66" s="1"/>
  <c r="AD41" i="66"/>
  <c r="AB41" i="66"/>
  <c r="Z41" i="66"/>
  <c r="X41" i="66"/>
  <c r="V41" i="66"/>
  <c r="T41" i="66"/>
  <c r="R41" i="66"/>
  <c r="P41" i="66"/>
  <c r="N41" i="66"/>
  <c r="L41" i="66"/>
  <c r="J41" i="66"/>
  <c r="H41" i="66"/>
  <c r="F41" i="66"/>
  <c r="AF40" i="66"/>
  <c r="AF39" i="66"/>
  <c r="AF41" i="66" s="1"/>
  <c r="AD35" i="66"/>
  <c r="AB35" i="66"/>
  <c r="Z35" i="66"/>
  <c r="X35" i="66"/>
  <c r="V35" i="66"/>
  <c r="T35" i="66"/>
  <c r="R35" i="66"/>
  <c r="P35" i="66"/>
  <c r="N35" i="66"/>
  <c r="L35" i="66"/>
  <c r="J35" i="66"/>
  <c r="H35" i="66"/>
  <c r="F35" i="66"/>
  <c r="AF34" i="66"/>
  <c r="AF33" i="66"/>
  <c r="A29" i="66"/>
  <c r="A31" i="66" s="1"/>
  <c r="A27" i="66"/>
  <c r="AF20" i="66"/>
  <c r="D77" i="1" s="1"/>
  <c r="AF17" i="66"/>
  <c r="D81" i="1" s="1"/>
  <c r="C14" i="66"/>
  <c r="A14" i="66"/>
  <c r="A17" i="66" s="1"/>
  <c r="A20" i="66" s="1"/>
  <c r="AF13" i="66"/>
  <c r="AD7" i="66"/>
  <c r="AB7" i="66"/>
  <c r="Z7" i="66"/>
  <c r="X7" i="66"/>
  <c r="V7" i="66"/>
  <c r="T7" i="66"/>
  <c r="R7" i="66"/>
  <c r="P7" i="66"/>
  <c r="N7" i="66"/>
  <c r="L7" i="66"/>
  <c r="J7" i="66"/>
  <c r="H7" i="66"/>
  <c r="D5" i="66"/>
  <c r="F5" i="66" s="1"/>
  <c r="H5" i="66" s="1"/>
  <c r="J5" i="66" s="1"/>
  <c r="L5" i="66" s="1"/>
  <c r="N5" i="66" s="1"/>
  <c r="P5" i="66" s="1"/>
  <c r="R5" i="66" s="1"/>
  <c r="T5" i="66" s="1"/>
  <c r="V5" i="66" s="1"/>
  <c r="X5" i="66" s="1"/>
  <c r="Z5" i="66" s="1"/>
  <c r="AB5" i="66" s="1"/>
  <c r="AD5" i="66" s="1"/>
  <c r="AF5" i="66" s="1"/>
  <c r="AF59" i="66" l="1"/>
  <c r="AF35" i="66"/>
  <c r="A33" i="66"/>
  <c r="A35" i="66"/>
  <c r="A37" i="66" s="1"/>
  <c r="A28" i="66"/>
  <c r="C29" i="66" s="1"/>
  <c r="A41" i="66" l="1"/>
  <c r="A39" i="66"/>
  <c r="A34" i="66"/>
  <c r="C35" i="66"/>
  <c r="A40" i="66" l="1"/>
  <c r="C41" i="66" s="1"/>
  <c r="A43" i="66"/>
  <c r="A47" i="66" l="1"/>
  <c r="A45" i="66"/>
  <c r="A49" i="66" l="1"/>
  <c r="A46" i="66"/>
  <c r="C47" i="66" s="1"/>
  <c r="A51" i="66" l="1"/>
  <c r="A53" i="66"/>
  <c r="A55" i="66" l="1"/>
  <c r="A52" i="66"/>
  <c r="C53" i="66" s="1"/>
  <c r="A59" i="66" l="1"/>
  <c r="A57" i="66"/>
  <c r="A58" i="66" l="1"/>
  <c r="C59" i="66"/>
  <c r="A61" i="66"/>
  <c r="I13" i="61"/>
  <c r="I63" i="61" l="1"/>
  <c r="Y53" i="42"/>
  <c r="Y54" i="42"/>
  <c r="Y55" i="42"/>
  <c r="U53" i="42"/>
  <c r="AA53" i="42" s="1"/>
  <c r="U23" i="42" s="1"/>
  <c r="S55" i="42"/>
  <c r="U55" i="42" s="1"/>
  <c r="Q23" i="42"/>
  <c r="Q25" i="42"/>
  <c r="U54" i="42" l="1"/>
  <c r="AA54" i="42" s="1"/>
  <c r="D31" i="19"/>
  <c r="D17" i="19"/>
  <c r="F15" i="47"/>
  <c r="F71" i="38"/>
  <c r="U25" i="42" l="1"/>
  <c r="U24" i="42"/>
  <c r="C71" i="38"/>
  <c r="L10" i="22"/>
  <c r="L11" i="22"/>
  <c r="L12" i="22"/>
  <c r="L13" i="22"/>
  <c r="L14" i="22"/>
  <c r="L15" i="22"/>
  <c r="L16" i="22"/>
  <c r="L17" i="22"/>
  <c r="L18" i="22"/>
  <c r="L19" i="22"/>
  <c r="L20" i="22"/>
  <c r="L21" i="22"/>
  <c r="L9" i="22"/>
  <c r="I23" i="22" l="1"/>
  <c r="F23" i="22"/>
  <c r="M7" i="63" l="1"/>
  <c r="N7" i="63" s="1"/>
  <c r="O7" i="63" s="1"/>
  <c r="P7" i="63" s="1"/>
  <c r="Q7" i="63" s="1"/>
  <c r="R7" i="63" s="1"/>
  <c r="S7" i="63" s="1"/>
  <c r="T7" i="63" s="1"/>
  <c r="U7" i="63" s="1"/>
  <c r="V7" i="63" s="1"/>
  <c r="W7" i="63" s="1"/>
  <c r="X7" i="63" s="1"/>
  <c r="Y7" i="63" s="1"/>
  <c r="Z7" i="63" s="1"/>
  <c r="AA7" i="63" s="1"/>
  <c r="AB7" i="63" s="1"/>
  <c r="AC7" i="63" s="1"/>
  <c r="J1" i="2" l="1"/>
  <c r="J1" i="31"/>
  <c r="J8" i="13" l="1"/>
  <c r="D9" i="65" l="1"/>
  <c r="E9" i="65" s="1"/>
  <c r="F9" i="65" s="1"/>
  <c r="G9" i="65" s="1"/>
  <c r="H9" i="65" s="1"/>
  <c r="J1" i="59" l="1"/>
  <c r="E16" i="27" l="1"/>
  <c r="F16" i="27"/>
  <c r="M3" i="64" l="1"/>
  <c r="M1" i="64"/>
  <c r="B10" i="22" l="1"/>
  <c r="B11" i="22"/>
  <c r="B12" i="22"/>
  <c r="B13" i="22"/>
  <c r="B14" i="22"/>
  <c r="B15" i="22"/>
  <c r="B16" i="22"/>
  <c r="B17" i="22"/>
  <c r="B18" i="22"/>
  <c r="B19" i="22"/>
  <c r="B20" i="22"/>
  <c r="B21" i="22"/>
  <c r="B9" i="22"/>
  <c r="I33" i="59"/>
  <c r="C9" i="22" l="1"/>
  <c r="C19" i="26"/>
  <c r="E10" i="33" s="1"/>
  <c r="E9" i="33"/>
  <c r="E8" i="33"/>
  <c r="D12" i="26"/>
  <c r="D130" i="1"/>
  <c r="I10" i="63"/>
  <c r="J10" i="63" s="1"/>
  <c r="N14" i="65"/>
  <c r="N15" i="65"/>
  <c r="N16" i="65"/>
  <c r="N17" i="65"/>
  <c r="N18" i="65"/>
  <c r="N19" i="65"/>
  <c r="N20" i="65"/>
  <c r="N21" i="65"/>
  <c r="N22" i="65"/>
  <c r="N23" i="65"/>
  <c r="N13" i="65"/>
  <c r="J21" i="65"/>
  <c r="K21" i="65" s="1"/>
  <c r="J23" i="65"/>
  <c r="K23" i="65" s="1"/>
  <c r="J20" i="65"/>
  <c r="K20" i="65" s="1"/>
  <c r="J15" i="65"/>
  <c r="K15" i="65" s="1"/>
  <c r="J13" i="65"/>
  <c r="K13" i="65" s="1"/>
  <c r="M10" i="63"/>
  <c r="AB3" i="65"/>
  <c r="AB5" i="65"/>
  <c r="N11" i="65" s="1"/>
  <c r="W11" i="65" s="1"/>
  <c r="J22" i="65"/>
  <c r="K22" i="65" s="1"/>
  <c r="J19" i="65"/>
  <c r="K19" i="65" s="1"/>
  <c r="J18" i="65"/>
  <c r="K18" i="65" s="1"/>
  <c r="J17" i="65"/>
  <c r="K17" i="65" s="1"/>
  <c r="J16" i="65"/>
  <c r="K16" i="65" s="1"/>
  <c r="A15" i="65"/>
  <c r="A16" i="65" s="1"/>
  <c r="A17" i="65" s="1"/>
  <c r="A18" i="65" s="1"/>
  <c r="A19" i="65" s="1"/>
  <c r="A20" i="65" s="1"/>
  <c r="A21" i="65" s="1"/>
  <c r="A22" i="65" s="1"/>
  <c r="A23" i="65" s="1"/>
  <c r="J14" i="65"/>
  <c r="I9" i="65"/>
  <c r="J9" i="65" s="1"/>
  <c r="K9" i="65" s="1"/>
  <c r="L9" i="65" s="1"/>
  <c r="M9" i="65" s="1"/>
  <c r="N9" i="65" s="1"/>
  <c r="O9" i="65" s="1"/>
  <c r="P9" i="65" s="1"/>
  <c r="Q9" i="65" s="1"/>
  <c r="R9" i="65" s="1"/>
  <c r="S9" i="65" s="1"/>
  <c r="T9" i="65" s="1"/>
  <c r="U9" i="65" s="1"/>
  <c r="V9" i="65" s="1"/>
  <c r="W9" i="65" s="1"/>
  <c r="X9" i="65" s="1"/>
  <c r="Y9" i="65" s="1"/>
  <c r="Z9" i="65" s="1"/>
  <c r="AA9" i="65" s="1"/>
  <c r="G9" i="13"/>
  <c r="H9" i="13"/>
  <c r="J42" i="64"/>
  <c r="M31" i="64"/>
  <c r="M37" i="64"/>
  <c r="M34" i="64"/>
  <c r="H15" i="64"/>
  <c r="H9" i="64"/>
  <c r="H10" i="64"/>
  <c r="H11" i="64"/>
  <c r="H12" i="64"/>
  <c r="H13" i="64"/>
  <c r="H14" i="64"/>
  <c r="H16" i="64"/>
  <c r="H17" i="64"/>
  <c r="H18" i="64"/>
  <c r="H19" i="64"/>
  <c r="H20" i="64"/>
  <c r="H8" i="64"/>
  <c r="G8" i="64"/>
  <c r="J63" i="64"/>
  <c r="I63" i="64"/>
  <c r="H63" i="64"/>
  <c r="G63" i="64"/>
  <c r="F63" i="64"/>
  <c r="E63" i="64"/>
  <c r="C49" i="64"/>
  <c r="C50" i="64" s="1"/>
  <c r="C51" i="64" s="1"/>
  <c r="C52" i="64" s="1"/>
  <c r="C53" i="64" s="1"/>
  <c r="C54" i="64" s="1"/>
  <c r="C55" i="64" s="1"/>
  <c r="C56" i="64" s="1"/>
  <c r="C57" i="64" s="1"/>
  <c r="C58" i="64" s="1"/>
  <c r="C59" i="64" s="1"/>
  <c r="C60" i="64" s="1"/>
  <c r="C61" i="64" s="1"/>
  <c r="I42" i="64"/>
  <c r="H42" i="64"/>
  <c r="G42" i="64"/>
  <c r="F42" i="64"/>
  <c r="E42" i="64"/>
  <c r="M40" i="64"/>
  <c r="M39" i="64"/>
  <c r="M38" i="64"/>
  <c r="M36" i="64"/>
  <c r="M35" i="64"/>
  <c r="M33" i="64"/>
  <c r="M32" i="64"/>
  <c r="M30" i="64"/>
  <c r="M29" i="64"/>
  <c r="M28" i="64"/>
  <c r="C28" i="64"/>
  <c r="C29" i="64" s="1"/>
  <c r="C30" i="64" s="1"/>
  <c r="C31" i="64" s="1"/>
  <c r="C32" i="64" s="1"/>
  <c r="C33" i="64" s="1"/>
  <c r="C34" i="64" s="1"/>
  <c r="C35" i="64" s="1"/>
  <c r="C36" i="64" s="1"/>
  <c r="C37" i="64" s="1"/>
  <c r="C38" i="64" s="1"/>
  <c r="C39" i="64" s="1"/>
  <c r="C40" i="64" s="1"/>
  <c r="F22" i="64"/>
  <c r="K20" i="64"/>
  <c r="J20" i="64"/>
  <c r="I20" i="64"/>
  <c r="G20" i="64"/>
  <c r="E20" i="64"/>
  <c r="K19" i="64"/>
  <c r="J19" i="64"/>
  <c r="I19" i="64"/>
  <c r="G19" i="64"/>
  <c r="E19" i="64"/>
  <c r="K18" i="64"/>
  <c r="J18" i="64"/>
  <c r="I18" i="64"/>
  <c r="G18" i="64"/>
  <c r="E18" i="64"/>
  <c r="K17" i="64"/>
  <c r="J17" i="64"/>
  <c r="I17" i="64"/>
  <c r="G17" i="64"/>
  <c r="E17" i="64"/>
  <c r="K16" i="64"/>
  <c r="J16" i="64"/>
  <c r="I16" i="64"/>
  <c r="G16" i="64"/>
  <c r="E16" i="64"/>
  <c r="K15" i="64"/>
  <c r="J15" i="64"/>
  <c r="I15" i="64"/>
  <c r="G15" i="64"/>
  <c r="E15" i="64"/>
  <c r="K14" i="64"/>
  <c r="J14" i="64"/>
  <c r="I14" i="64"/>
  <c r="G14" i="64"/>
  <c r="E14" i="64"/>
  <c r="K13" i="64"/>
  <c r="J13" i="64"/>
  <c r="I13" i="64"/>
  <c r="G13" i="64"/>
  <c r="E13" i="64"/>
  <c r="K12" i="64"/>
  <c r="J12" i="64"/>
  <c r="I12" i="64"/>
  <c r="G12" i="64"/>
  <c r="E12" i="64"/>
  <c r="K11" i="64"/>
  <c r="J11" i="64"/>
  <c r="I11" i="64"/>
  <c r="G11" i="64"/>
  <c r="E11" i="64"/>
  <c r="K10" i="64"/>
  <c r="J10" i="64"/>
  <c r="I10" i="64"/>
  <c r="G10" i="64"/>
  <c r="E10" i="64"/>
  <c r="K9" i="64"/>
  <c r="J9" i="64"/>
  <c r="I9" i="64"/>
  <c r="G9" i="64"/>
  <c r="E9" i="64"/>
  <c r="C9" i="64"/>
  <c r="C10" i="64" s="1"/>
  <c r="C11" i="64" s="1"/>
  <c r="C12" i="64" s="1"/>
  <c r="C13" i="64" s="1"/>
  <c r="C14" i="64" s="1"/>
  <c r="C15" i="64" s="1"/>
  <c r="C16" i="64" s="1"/>
  <c r="C17" i="64" s="1"/>
  <c r="C18" i="64" s="1"/>
  <c r="C19" i="64" s="1"/>
  <c r="C20" i="64" s="1"/>
  <c r="K8" i="64"/>
  <c r="J8" i="64"/>
  <c r="I8" i="64"/>
  <c r="E8" i="64"/>
  <c r="M11" i="64" l="1"/>
  <c r="M19" i="64"/>
  <c r="M15" i="64"/>
  <c r="M42" i="64"/>
  <c r="J22" i="64"/>
  <c r="M12" i="64"/>
  <c r="M13" i="64"/>
  <c r="M17" i="64"/>
  <c r="M16" i="64"/>
  <c r="M20" i="64"/>
  <c r="M9" i="64"/>
  <c r="G22" i="64"/>
  <c r="D51" i="1" s="1"/>
  <c r="M10" i="64"/>
  <c r="M14" i="64"/>
  <c r="M18" i="64"/>
  <c r="H22" i="64"/>
  <c r="D52" i="1" s="1"/>
  <c r="I22" i="64"/>
  <c r="E22" i="64"/>
  <c r="D50" i="1" s="1"/>
  <c r="K22" i="64"/>
  <c r="D54" i="1" s="1"/>
  <c r="M8" i="64"/>
  <c r="S11" i="65"/>
  <c r="P11" i="65"/>
  <c r="X11" i="65"/>
  <c r="Q11" i="65"/>
  <c r="Z11" i="65"/>
  <c r="T11" i="65"/>
  <c r="R11" i="65"/>
  <c r="V11" i="65"/>
  <c r="Y11" i="65"/>
  <c r="U11" i="65"/>
  <c r="O11" i="65"/>
  <c r="L13" i="65"/>
  <c r="M13" i="65" s="1"/>
  <c r="K14" i="65"/>
  <c r="L14" i="65" s="1"/>
  <c r="O14" i="65" s="1"/>
  <c r="P14" i="65" s="1"/>
  <c r="Q14" i="65" s="1"/>
  <c r="R14" i="65" s="1"/>
  <c r="S14" i="65" s="1"/>
  <c r="T14" i="65" s="1"/>
  <c r="U14" i="65" s="1"/>
  <c r="V14" i="65" s="1"/>
  <c r="W14" i="65" s="1"/>
  <c r="X14" i="65" s="1"/>
  <c r="Y14" i="65" s="1"/>
  <c r="Z14" i="65" s="1"/>
  <c r="D53" i="1" l="1"/>
  <c r="O13" i="65"/>
  <c r="M14" i="65"/>
  <c r="P13" i="65"/>
  <c r="Q13" i="65" s="1"/>
  <c r="R13" i="65" s="1"/>
  <c r="S13" i="65" s="1"/>
  <c r="T13" i="65" s="1"/>
  <c r="U13" i="65" s="1"/>
  <c r="V13" i="65" s="1"/>
  <c r="W13" i="65" s="1"/>
  <c r="X13" i="65" s="1"/>
  <c r="Y13" i="65" s="1"/>
  <c r="Z13" i="65" s="1"/>
  <c r="L15" i="65"/>
  <c r="M15" i="65" s="1"/>
  <c r="M22" i="64"/>
  <c r="O15" i="65" l="1"/>
  <c r="P15" i="65" l="1"/>
  <c r="Q15" i="65" s="1"/>
  <c r="R15" i="65" s="1"/>
  <c r="S15" i="65" s="1"/>
  <c r="T15" i="65" s="1"/>
  <c r="U15" i="65" s="1"/>
  <c r="V15" i="65" s="1"/>
  <c r="W15" i="65" s="1"/>
  <c r="X15" i="65" s="1"/>
  <c r="Y15" i="65" s="1"/>
  <c r="Z15" i="65" s="1"/>
  <c r="L16" i="65" l="1"/>
  <c r="M16" i="65" s="1"/>
  <c r="H8" i="13"/>
  <c r="G8" i="13"/>
  <c r="O16" i="65" l="1"/>
  <c r="P16" i="65" s="1"/>
  <c r="Q16" i="65" s="1"/>
  <c r="R16" i="65" s="1"/>
  <c r="S16" i="65" s="1"/>
  <c r="T16" i="65" s="1"/>
  <c r="U16" i="65" s="1"/>
  <c r="V16" i="65" s="1"/>
  <c r="W16" i="65" s="1"/>
  <c r="X16" i="65" s="1"/>
  <c r="Y16" i="65" s="1"/>
  <c r="Z16" i="65" s="1"/>
  <c r="L17" i="65" l="1"/>
  <c r="M17" i="65" s="1"/>
  <c r="O17" i="65" l="1"/>
  <c r="P17" i="65" s="1"/>
  <c r="Q17" i="65" s="1"/>
  <c r="R17" i="65" s="1"/>
  <c r="S17" i="65" s="1"/>
  <c r="T17" i="65" s="1"/>
  <c r="U17" i="65" s="1"/>
  <c r="V17" i="65" s="1"/>
  <c r="W17" i="65" s="1"/>
  <c r="X17" i="65" s="1"/>
  <c r="Y17" i="65" s="1"/>
  <c r="Z17" i="65" s="1"/>
  <c r="L18" i="65" l="1"/>
  <c r="M18" i="65" s="1"/>
  <c r="O18" i="65" l="1"/>
  <c r="P18" i="65" s="1"/>
  <c r="Q18" i="65" s="1"/>
  <c r="R18" i="65" s="1"/>
  <c r="S18" i="65" s="1"/>
  <c r="T18" i="65" s="1"/>
  <c r="U18" i="65" s="1"/>
  <c r="V18" i="65" s="1"/>
  <c r="W18" i="65" s="1"/>
  <c r="X18" i="65" s="1"/>
  <c r="Y18" i="65" s="1"/>
  <c r="Z18" i="65" s="1"/>
  <c r="L19" i="65" l="1"/>
  <c r="M19" i="65" s="1"/>
  <c r="O19" i="65" l="1"/>
  <c r="P19" i="65" s="1"/>
  <c r="Q19" i="65" s="1"/>
  <c r="R19" i="65" s="1"/>
  <c r="S19" i="65" s="1"/>
  <c r="T19" i="65" s="1"/>
  <c r="U19" i="65" s="1"/>
  <c r="V19" i="65" s="1"/>
  <c r="W19" i="65" s="1"/>
  <c r="X19" i="65" s="1"/>
  <c r="Y19" i="65" s="1"/>
  <c r="Z19" i="65" s="1"/>
  <c r="L20" i="65" l="1"/>
  <c r="M20" i="65" s="1"/>
  <c r="O20" i="65" l="1"/>
  <c r="P20" i="65" s="1"/>
  <c r="Q20" i="65" s="1"/>
  <c r="R20" i="65" s="1"/>
  <c r="S20" i="65" s="1"/>
  <c r="T20" i="65" s="1"/>
  <c r="U20" i="65" s="1"/>
  <c r="V20" i="65" s="1"/>
  <c r="W20" i="65" s="1"/>
  <c r="X20" i="65" s="1"/>
  <c r="Y20" i="65" s="1"/>
  <c r="Z20" i="65" s="1"/>
  <c r="L21" i="65" l="1"/>
  <c r="M21" i="65" s="1"/>
  <c r="O21" i="65" l="1"/>
  <c r="P21" i="65" s="1"/>
  <c r="Q21" i="65" s="1"/>
  <c r="R21" i="65" s="1"/>
  <c r="S21" i="65" s="1"/>
  <c r="T21" i="65" s="1"/>
  <c r="U21" i="65" s="1"/>
  <c r="V21" i="65" s="1"/>
  <c r="W21" i="65" s="1"/>
  <c r="X21" i="65" s="1"/>
  <c r="Y21" i="65" s="1"/>
  <c r="Z21" i="65" s="1"/>
  <c r="L22" i="65" l="1"/>
  <c r="M22" i="65" s="1"/>
  <c r="O22" i="65" l="1"/>
  <c r="P22" i="65" s="1"/>
  <c r="Q22" i="65" s="1"/>
  <c r="R22" i="65" s="1"/>
  <c r="S22" i="65" s="1"/>
  <c r="T22" i="65" s="1"/>
  <c r="U22" i="65" s="1"/>
  <c r="V22" i="65" s="1"/>
  <c r="W22" i="65" s="1"/>
  <c r="X22" i="65" s="1"/>
  <c r="Y22" i="65" s="1"/>
  <c r="Z22" i="65" s="1"/>
  <c r="L23" i="65" l="1"/>
  <c r="M23" i="65" s="1"/>
  <c r="M26" i="65" s="1"/>
  <c r="D122" i="1" s="1"/>
  <c r="O23" i="65" l="1"/>
  <c r="P23" i="65" s="1"/>
  <c r="Q23" i="65" s="1"/>
  <c r="R23" i="65" s="1"/>
  <c r="S23" i="65" s="1"/>
  <c r="T23" i="65" s="1"/>
  <c r="U23" i="65" s="1"/>
  <c r="V23" i="65" s="1"/>
  <c r="W23" i="65" s="1"/>
  <c r="X23" i="65" s="1"/>
  <c r="Y23" i="65" s="1"/>
  <c r="Z23" i="65" s="1"/>
  <c r="D74" i="1" l="1"/>
  <c r="M3" i="6" l="1"/>
  <c r="S3" i="39"/>
  <c r="T49" i="5"/>
  <c r="AA3" i="42"/>
  <c r="C9" i="42" s="1"/>
  <c r="I3" i="26"/>
  <c r="O3" i="22"/>
  <c r="D3" i="19"/>
  <c r="D6" i="19" s="1"/>
  <c r="H3" i="33"/>
  <c r="M37" i="51"/>
  <c r="M3" i="51"/>
  <c r="M3" i="40"/>
  <c r="C10" i="40" s="1"/>
  <c r="M3" i="13"/>
  <c r="S3" i="60"/>
  <c r="AM3" i="60"/>
  <c r="J3" i="59"/>
  <c r="J3" i="31"/>
  <c r="K3" i="27"/>
  <c r="AH3" i="62"/>
  <c r="AC4" i="63"/>
  <c r="M8" i="63" s="1"/>
  <c r="J3" i="61"/>
  <c r="A12" i="63"/>
  <c r="A13" i="63" s="1"/>
  <c r="A14" i="63" s="1"/>
  <c r="A15" i="63" s="1"/>
  <c r="A16" i="63" s="1"/>
  <c r="A17" i="63" s="1"/>
  <c r="A18" i="63" s="1"/>
  <c r="A19" i="63" s="1"/>
  <c r="A20" i="63" s="1"/>
  <c r="J1" i="61"/>
  <c r="G59" i="51" l="1"/>
  <c r="E6" i="51"/>
  <c r="S1" i="60"/>
  <c r="K10" i="63" l="1"/>
  <c r="I11" i="63"/>
  <c r="J11" i="63" s="1"/>
  <c r="I20" i="63"/>
  <c r="J20" i="63" s="1"/>
  <c r="I19" i="63"/>
  <c r="J19" i="63" s="1"/>
  <c r="I18" i="63"/>
  <c r="J18" i="63" s="1"/>
  <c r="I17" i="63"/>
  <c r="J17" i="63" s="1"/>
  <c r="I16" i="63"/>
  <c r="J16" i="63" s="1"/>
  <c r="I15" i="63"/>
  <c r="J15" i="63" s="1"/>
  <c r="I14" i="63"/>
  <c r="J14" i="63" s="1"/>
  <c r="I13" i="63"/>
  <c r="J13" i="63" s="1"/>
  <c r="I12" i="63"/>
  <c r="J12" i="63" s="1"/>
  <c r="M11" i="63"/>
  <c r="K11" i="63" l="1"/>
  <c r="L10" i="63"/>
  <c r="N10" i="63"/>
  <c r="O10" i="63" l="1"/>
  <c r="P10" i="63" s="1"/>
  <c r="Q10" i="63" s="1"/>
  <c r="R10" i="63" s="1"/>
  <c r="I33" i="31"/>
  <c r="S10" i="63" l="1"/>
  <c r="N11" i="63"/>
  <c r="AC2" i="63"/>
  <c r="T10" i="63" l="1"/>
  <c r="U10" i="63" s="1"/>
  <c r="V10" i="63" s="1"/>
  <c r="W10" i="63" s="1"/>
  <c r="X10" i="63" s="1"/>
  <c r="Y10" i="63" s="1"/>
  <c r="O11" i="63"/>
  <c r="Z10" i="63" l="1"/>
  <c r="P11" i="63"/>
  <c r="Q11" i="63" s="1"/>
  <c r="R11" i="63" s="1"/>
  <c r="S11" i="63" s="1"/>
  <c r="T11" i="63" s="1"/>
  <c r="U11" i="63" s="1"/>
  <c r="V11" i="63" s="1"/>
  <c r="W11" i="63" s="1"/>
  <c r="X11" i="63" s="1"/>
  <c r="Y11" i="63" s="1"/>
  <c r="Z11" i="63" l="1"/>
  <c r="Y8" i="63"/>
  <c r="X8" i="63"/>
  <c r="W8" i="63"/>
  <c r="V8" i="63"/>
  <c r="U8" i="63"/>
  <c r="T8" i="63"/>
  <c r="S8" i="63"/>
  <c r="R8" i="63"/>
  <c r="Q8" i="63"/>
  <c r="P8" i="63"/>
  <c r="O8" i="63"/>
  <c r="N8" i="63"/>
  <c r="AH1" i="62" l="1"/>
  <c r="L3" i="58"/>
  <c r="I43" i="47" l="1"/>
  <c r="I41" i="47"/>
  <c r="I39" i="47"/>
  <c r="F22" i="13" l="1"/>
  <c r="I128" i="1" l="1"/>
  <c r="H10" i="13" l="1"/>
  <c r="H11" i="13"/>
  <c r="H12" i="13"/>
  <c r="H13" i="13"/>
  <c r="H14" i="13"/>
  <c r="H15" i="13"/>
  <c r="H16" i="13"/>
  <c r="H17" i="13"/>
  <c r="H18" i="13"/>
  <c r="H19" i="13"/>
  <c r="H20" i="13"/>
  <c r="G10" i="13"/>
  <c r="G11" i="13"/>
  <c r="G12" i="13"/>
  <c r="G13" i="13"/>
  <c r="G14" i="13"/>
  <c r="G15" i="13"/>
  <c r="G16" i="13"/>
  <c r="G17" i="13"/>
  <c r="G18" i="13"/>
  <c r="G19" i="13"/>
  <c r="G20" i="13"/>
  <c r="AE14" i="62" l="1"/>
  <c r="AC14" i="62"/>
  <c r="AA14" i="62"/>
  <c r="Y14" i="62"/>
  <c r="W14" i="62"/>
  <c r="U14" i="62"/>
  <c r="S14" i="62"/>
  <c r="Q14" i="62"/>
  <c r="O14" i="62"/>
  <c r="M14" i="62"/>
  <c r="K14" i="62"/>
  <c r="I14" i="62"/>
  <c r="G14" i="62"/>
  <c r="AG13" i="62"/>
  <c r="AG12" i="62"/>
  <c r="S7" i="62"/>
  <c r="E5" i="62"/>
  <c r="G5" i="62" l="1"/>
  <c r="I5" i="62" s="1"/>
  <c r="K5" i="62" s="1"/>
  <c r="M5" i="62" s="1"/>
  <c r="AG14" i="62"/>
  <c r="D73" i="1" s="1"/>
  <c r="W7" i="62"/>
  <c r="I7" i="62"/>
  <c r="Y7" i="62"/>
  <c r="K7" i="62"/>
  <c r="AA7" i="62"/>
  <c r="M7" i="62"/>
  <c r="AC7" i="62"/>
  <c r="O7" i="62"/>
  <c r="Q7" i="62"/>
  <c r="U7" i="62"/>
  <c r="AE7" i="62"/>
  <c r="O5" i="62" l="1"/>
  <c r="Q5" i="62" s="1"/>
  <c r="S5" i="62" s="1"/>
  <c r="U5" i="62" s="1"/>
  <c r="W5" i="62" s="1"/>
  <c r="Y5" i="62" s="1"/>
  <c r="AA5" i="62" s="1"/>
  <c r="AC5" i="62" s="1"/>
  <c r="AE5" i="62" s="1"/>
  <c r="AG5" i="62" s="1"/>
  <c r="D151" i="1" l="1"/>
  <c r="I81" i="61"/>
  <c r="I80" i="61"/>
  <c r="A80" i="61"/>
  <c r="I62" i="61"/>
  <c r="I88" i="61" l="1"/>
  <c r="T17" i="60"/>
  <c r="E17" i="60"/>
  <c r="T16" i="60"/>
  <c r="E16" i="60"/>
  <c r="T15" i="60"/>
  <c r="E15" i="60"/>
  <c r="T14" i="60"/>
  <c r="E14" i="60"/>
  <c r="T13" i="60"/>
  <c r="E13" i="60"/>
  <c r="T12" i="60"/>
  <c r="E12" i="60"/>
  <c r="U8" i="60"/>
  <c r="G8" i="60"/>
  <c r="H8" i="60" s="1"/>
  <c r="T1" i="60"/>
  <c r="AM1" i="60"/>
  <c r="I50" i="59"/>
  <c r="I11" i="59"/>
  <c r="A11" i="59"/>
  <c r="A14" i="59" s="1"/>
  <c r="A15" i="59" s="1"/>
  <c r="A16" i="59" s="1"/>
  <c r="A17" i="59" s="1"/>
  <c r="A18" i="59" s="1"/>
  <c r="A22" i="59" s="1"/>
  <c r="A23" i="59" s="1"/>
  <c r="A24" i="59" s="1"/>
  <c r="A25" i="59" s="1"/>
  <c r="A27" i="59" s="1"/>
  <c r="A28" i="59" s="1"/>
  <c r="A29" i="59" s="1"/>
  <c r="A31" i="59" s="1"/>
  <c r="A32" i="59" s="1"/>
  <c r="A33" i="59" s="1"/>
  <c r="A35" i="59" s="1"/>
  <c r="AI13" i="60" l="1"/>
  <c r="AI12" i="60"/>
  <c r="AI14" i="60"/>
  <c r="AI15" i="60"/>
  <c r="AI17" i="60"/>
  <c r="AI16" i="60"/>
  <c r="I8" i="60"/>
  <c r="W8" i="60"/>
  <c r="V8" i="60"/>
  <c r="A36" i="59"/>
  <c r="A37" i="59" s="1"/>
  <c r="A38" i="59" s="1"/>
  <c r="G38" i="59" l="1"/>
  <c r="J8" i="60"/>
  <c r="X8" i="60"/>
  <c r="G40" i="59"/>
  <c r="A40" i="59"/>
  <c r="A45" i="59" s="1"/>
  <c r="A46" i="59" s="1"/>
  <c r="Y8" i="60" l="1"/>
  <c r="K8" i="60"/>
  <c r="Z8" i="60" l="1"/>
  <c r="L8" i="60"/>
  <c r="AA8" i="60" l="1"/>
  <c r="M8" i="60"/>
  <c r="AB8" i="60" l="1"/>
  <c r="N8" i="60"/>
  <c r="AC8" i="60" l="1"/>
  <c r="O8" i="60"/>
  <c r="P8" i="60" l="1"/>
  <c r="AD8" i="60"/>
  <c r="Q8" i="60" l="1"/>
  <c r="AE8" i="60"/>
  <c r="R8" i="60" l="1"/>
  <c r="AG8" i="60" s="1"/>
  <c r="AF8" i="60"/>
  <c r="L1" i="58" l="1"/>
  <c r="F37" i="58"/>
  <c r="L37" i="58" s="1"/>
  <c r="E15" i="6" s="1"/>
  <c r="L36" i="58"/>
  <c r="L35" i="58"/>
  <c r="L34" i="58"/>
  <c r="L33" i="58"/>
  <c r="L32" i="58"/>
  <c r="L31" i="58"/>
  <c r="L30" i="58"/>
  <c r="L29" i="58"/>
  <c r="L28" i="58"/>
  <c r="L27" i="58"/>
  <c r="L26" i="58"/>
  <c r="L25" i="58"/>
  <c r="F20" i="58"/>
  <c r="L20" i="58" s="1"/>
  <c r="D10" i="68" s="1"/>
  <c r="F10" i="68" s="1"/>
  <c r="G72" i="68" s="1"/>
  <c r="L19" i="58"/>
  <c r="L18" i="58"/>
  <c r="L17" i="58"/>
  <c r="L16" i="58"/>
  <c r="L15" i="58"/>
  <c r="L14" i="58"/>
  <c r="L13" i="58"/>
  <c r="L12" i="58"/>
  <c r="L11" i="58"/>
  <c r="L10" i="58"/>
  <c r="L9" i="58"/>
  <c r="B9" i="58"/>
  <c r="L8" i="58"/>
  <c r="F5" i="58"/>
  <c r="H5" i="58" s="1"/>
  <c r="L5" i="58" s="1"/>
  <c r="K1" i="27"/>
  <c r="M1" i="6"/>
  <c r="S1" i="39"/>
  <c r="T1" i="5"/>
  <c r="AA1" i="42"/>
  <c r="I1" i="26"/>
  <c r="O1" i="22"/>
  <c r="D1" i="19"/>
  <c r="H1" i="33"/>
  <c r="M35" i="51"/>
  <c r="M1" i="51"/>
  <c r="M1" i="47"/>
  <c r="K1" i="38"/>
  <c r="G73" i="68" l="1"/>
  <c r="G74" i="68"/>
  <c r="A72" i="68"/>
  <c r="A73" i="68" s="1"/>
  <c r="A74" i="68" s="1"/>
  <c r="D10" i="69"/>
  <c r="H21" i="6"/>
  <c r="H22" i="6"/>
  <c r="H20" i="6"/>
  <c r="K158" i="38"/>
  <c r="K192" i="38"/>
  <c r="K45" i="38"/>
  <c r="K87" i="38"/>
  <c r="K126" i="38"/>
  <c r="B10" i="58"/>
  <c r="B11" i="58" s="1"/>
  <c r="M1" i="40"/>
  <c r="M1" i="13"/>
  <c r="B12" i="58" l="1"/>
  <c r="B13" i="58" l="1"/>
  <c r="B14" i="58" l="1"/>
  <c r="B15" i="58" s="1"/>
  <c r="B16" i="58" l="1"/>
  <c r="B17" i="58" s="1"/>
  <c r="B18" i="58" s="1"/>
  <c r="B19" i="58" s="1"/>
  <c r="B20" i="58" s="1"/>
  <c r="B25" i="58" s="1"/>
  <c r="B26" i="58" s="1"/>
  <c r="B27" i="58" s="1"/>
  <c r="B28" i="58" s="1"/>
  <c r="B29" i="58" s="1"/>
  <c r="B30" i="58" s="1"/>
  <c r="B31" i="58" s="1"/>
  <c r="B32" i="58" s="1"/>
  <c r="B33" i="58" s="1"/>
  <c r="B34" i="58" s="1"/>
  <c r="B35" i="58" s="1"/>
  <c r="B36" i="58" s="1"/>
  <c r="B37" i="58" s="1"/>
  <c r="T11" i="39" l="1"/>
  <c r="T10" i="39"/>
  <c r="E11" i="39"/>
  <c r="E10" i="39"/>
  <c r="M29" i="13" l="1"/>
  <c r="Q19" i="42" l="1"/>
  <c r="D23" i="19"/>
  <c r="D37" i="19"/>
  <c r="D211" i="38"/>
  <c r="E211" i="38"/>
  <c r="G211" i="38"/>
  <c r="H211" i="38"/>
  <c r="G176" i="38"/>
  <c r="H176" i="38"/>
  <c r="C176" i="38"/>
  <c r="D176" i="38"/>
  <c r="E176" i="38"/>
  <c r="D143" i="38"/>
  <c r="E143" i="38"/>
  <c r="F143" i="38"/>
  <c r="G143" i="38"/>
  <c r="H143" i="38"/>
  <c r="C143" i="38"/>
  <c r="D71" i="38"/>
  <c r="M33" i="13"/>
  <c r="G212" i="1"/>
  <c r="G211" i="1"/>
  <c r="G209" i="1"/>
  <c r="G6" i="39" l="1"/>
  <c r="H6" i="39" s="1"/>
  <c r="I6" i="39" s="1"/>
  <c r="J6" i="39" s="1"/>
  <c r="C41" i="42"/>
  <c r="C15" i="40"/>
  <c r="E24" i="40"/>
  <c r="E28" i="40" s="1"/>
  <c r="E32" i="40" s="1"/>
  <c r="D220" i="1"/>
  <c r="F112" i="38" l="1"/>
  <c r="C10" i="38" s="1"/>
  <c r="F43" i="47" l="1"/>
  <c r="F41" i="47"/>
  <c r="F39" i="47"/>
  <c r="E12" i="33" l="1"/>
  <c r="K12" i="47" l="1"/>
  <c r="K194" i="38" l="1"/>
  <c r="K160" i="38"/>
  <c r="K128" i="38"/>
  <c r="K89" i="38"/>
  <c r="K47" i="38"/>
  <c r="K3" i="38"/>
  <c r="D32" i="38" l="1"/>
  <c r="D31" i="38"/>
  <c r="D29" i="38"/>
  <c r="C29" i="38"/>
  <c r="H112" i="38"/>
  <c r="D28" i="38" s="1"/>
  <c r="G112" i="38"/>
  <c r="C28" i="38" s="1"/>
  <c r="E28" i="38" s="1"/>
  <c r="D112" i="38"/>
  <c r="E112" i="38"/>
  <c r="H71" i="38"/>
  <c r="D30" i="38" s="1"/>
  <c r="G71" i="38"/>
  <c r="C30" i="38" s="1"/>
  <c r="C32" i="38"/>
  <c r="C31" i="38"/>
  <c r="A29" i="38"/>
  <c r="A30" i="38" s="1"/>
  <c r="F176" i="38" l="1"/>
  <c r="C13" i="38" s="1"/>
  <c r="E29" i="38"/>
  <c r="E30" i="38"/>
  <c r="C112" i="38"/>
  <c r="E71" i="38"/>
  <c r="E32" i="38"/>
  <c r="D33" i="38"/>
  <c r="E31" i="38"/>
  <c r="I45" i="47" l="1"/>
  <c r="C33" i="38"/>
  <c r="E33" i="38" s="1"/>
  <c r="I122" i="1" l="1"/>
  <c r="I74" i="1" l="1"/>
  <c r="D70" i="1" l="1"/>
  <c r="F65" i="51" l="1"/>
  <c r="F48" i="51"/>
  <c r="E12" i="47"/>
  <c r="C12" i="47"/>
  <c r="F54" i="1" l="1"/>
  <c r="F69" i="51" l="1"/>
  <c r="F67" i="51"/>
  <c r="E54" i="51"/>
  <c r="F52" i="51"/>
  <c r="F50" i="51"/>
  <c r="K30" i="51"/>
  <c r="I30" i="51"/>
  <c r="G30" i="51"/>
  <c r="E30" i="51"/>
  <c r="C30" i="51"/>
  <c r="K29" i="51"/>
  <c r="I29" i="51"/>
  <c r="G29" i="51"/>
  <c r="E29" i="51"/>
  <c r="C29" i="51"/>
  <c r="F26" i="51"/>
  <c r="H26" i="51" s="1"/>
  <c r="J26" i="51" s="1"/>
  <c r="L26" i="51" s="1"/>
  <c r="F25" i="51"/>
  <c r="H25" i="51" s="1"/>
  <c r="J25" i="51" s="1"/>
  <c r="L25" i="51" s="1"/>
  <c r="K22" i="51"/>
  <c r="I22" i="51"/>
  <c r="G22" i="51"/>
  <c r="E22" i="51"/>
  <c r="C22" i="51"/>
  <c r="K21" i="51"/>
  <c r="I21" i="51"/>
  <c r="G21" i="51"/>
  <c r="E21" i="51"/>
  <c r="C21" i="51"/>
  <c r="C20" i="51"/>
  <c r="F18" i="51"/>
  <c r="H18" i="51" s="1"/>
  <c r="J18" i="51" s="1"/>
  <c r="L18" i="51" s="1"/>
  <c r="F17" i="51"/>
  <c r="H17" i="51" s="1"/>
  <c r="J17" i="51" s="1"/>
  <c r="L17" i="51" s="1"/>
  <c r="K14" i="51"/>
  <c r="I14" i="51"/>
  <c r="G14" i="51"/>
  <c r="E14" i="51"/>
  <c r="C14" i="51"/>
  <c r="K13" i="51"/>
  <c r="I13" i="51"/>
  <c r="G13" i="51"/>
  <c r="E13" i="51"/>
  <c r="C13" i="51"/>
  <c r="C12" i="51"/>
  <c r="F10" i="51"/>
  <c r="H10" i="51" s="1"/>
  <c r="J10" i="51" s="1"/>
  <c r="L10" i="51" s="1"/>
  <c r="F9" i="51"/>
  <c r="H9" i="51" s="1"/>
  <c r="J9" i="51" s="1"/>
  <c r="L9" i="51" s="1"/>
  <c r="F45" i="47"/>
  <c r="K24" i="47"/>
  <c r="I24" i="47"/>
  <c r="G24" i="47"/>
  <c r="E24" i="47"/>
  <c r="C24" i="47"/>
  <c r="F21" i="47"/>
  <c r="H21" i="47" s="1"/>
  <c r="J21" i="47" s="1"/>
  <c r="L21" i="47" s="1"/>
  <c r="K18" i="47"/>
  <c r="I18" i="47"/>
  <c r="G18" i="47"/>
  <c r="E18" i="47"/>
  <c r="C18" i="47"/>
  <c r="C17" i="47"/>
  <c r="H15" i="47"/>
  <c r="J15" i="47" s="1"/>
  <c r="L15" i="47" s="1"/>
  <c r="I12" i="47"/>
  <c r="G12" i="47"/>
  <c r="C11" i="47"/>
  <c r="F9" i="47"/>
  <c r="H9" i="47" s="1"/>
  <c r="J9" i="47" s="1"/>
  <c r="L9" i="47" s="1"/>
  <c r="G39" i="47" l="1"/>
  <c r="G43" i="47"/>
  <c r="G41" i="47"/>
  <c r="G52" i="51"/>
  <c r="H52" i="51" s="1"/>
  <c r="J52" i="51" s="1"/>
  <c r="K52" i="51" s="1"/>
  <c r="F54" i="51"/>
  <c r="G69" i="51"/>
  <c r="F71" i="51"/>
  <c r="G50" i="51"/>
  <c r="H50" i="51" s="1"/>
  <c r="J50" i="51" s="1"/>
  <c r="K50" i="51" s="1"/>
  <c r="G67" i="51"/>
  <c r="G65" i="51"/>
  <c r="G48" i="51"/>
  <c r="H48" i="51" s="1"/>
  <c r="I54" i="51"/>
  <c r="K65" i="51"/>
  <c r="K67" i="51"/>
  <c r="K69" i="51"/>
  <c r="J71" i="51"/>
  <c r="G45" i="47" l="1"/>
  <c r="G71" i="51"/>
  <c r="G54" i="51"/>
  <c r="K71" i="51"/>
  <c r="H54" i="51"/>
  <c r="J48" i="51"/>
  <c r="K48" i="51" s="1"/>
  <c r="K54" i="51" s="1"/>
  <c r="J54" i="51" l="1"/>
  <c r="U49" i="42" l="1"/>
  <c r="U50" i="42" l="1"/>
  <c r="AA49" i="42"/>
  <c r="U19" i="42" s="1"/>
  <c r="Y52" i="42"/>
  <c r="Y50" i="42"/>
  <c r="Q26" i="42"/>
  <c r="I62" i="13" l="1"/>
  <c r="F62" i="13"/>
  <c r="G62" i="13"/>
  <c r="I41" i="13"/>
  <c r="E41" i="13"/>
  <c r="F41" i="13"/>
  <c r="H41" i="13"/>
  <c r="F52" i="1"/>
  <c r="A11" i="39" l="1"/>
  <c r="C11" i="39"/>
  <c r="D11" i="39"/>
  <c r="D10" i="39"/>
  <c r="C10" i="39"/>
  <c r="A10" i="39"/>
  <c r="K20" i="13" l="1"/>
  <c r="K19" i="13"/>
  <c r="K18" i="13"/>
  <c r="K17" i="13"/>
  <c r="K16" i="13"/>
  <c r="K15" i="13"/>
  <c r="K14" i="13"/>
  <c r="K13" i="13"/>
  <c r="K12" i="13"/>
  <c r="K11" i="13"/>
  <c r="K10" i="13"/>
  <c r="K9" i="13"/>
  <c r="K8" i="13"/>
  <c r="J20" i="13"/>
  <c r="J19" i="13"/>
  <c r="J18" i="13"/>
  <c r="J17" i="13"/>
  <c r="J16" i="13"/>
  <c r="J15" i="13"/>
  <c r="J14" i="13"/>
  <c r="J13" i="13"/>
  <c r="J12" i="13"/>
  <c r="J11" i="13"/>
  <c r="J10" i="13"/>
  <c r="J9" i="13"/>
  <c r="I20" i="13"/>
  <c r="I19" i="13"/>
  <c r="I18" i="13"/>
  <c r="I17" i="13"/>
  <c r="I16" i="13"/>
  <c r="I15" i="13"/>
  <c r="I14" i="13"/>
  <c r="I13" i="13"/>
  <c r="I12" i="13"/>
  <c r="I11" i="13"/>
  <c r="I10" i="13"/>
  <c r="I9" i="13"/>
  <c r="I8" i="13"/>
  <c r="E20" i="13"/>
  <c r="M20" i="13" s="1"/>
  <c r="E19" i="13"/>
  <c r="E18" i="13"/>
  <c r="E17" i="13"/>
  <c r="E16" i="13"/>
  <c r="E15" i="13"/>
  <c r="E14" i="13"/>
  <c r="E13" i="13"/>
  <c r="E12" i="13"/>
  <c r="E11" i="13"/>
  <c r="E10" i="13"/>
  <c r="E9" i="13"/>
  <c r="E8" i="13"/>
  <c r="J62" i="13"/>
  <c r="H62" i="13"/>
  <c r="E62" i="13"/>
  <c r="M12" i="13" l="1"/>
  <c r="M16" i="13"/>
  <c r="M8" i="13"/>
  <c r="M9" i="13"/>
  <c r="M13" i="13"/>
  <c r="M17" i="13"/>
  <c r="M10" i="13"/>
  <c r="M14" i="13"/>
  <c r="M18" i="13"/>
  <c r="M11" i="13"/>
  <c r="M15" i="13"/>
  <c r="M19" i="13"/>
  <c r="I22" i="13"/>
  <c r="E22" i="13"/>
  <c r="I50" i="31" l="1"/>
  <c r="M27" i="42" l="1"/>
  <c r="Q20" i="42"/>
  <c r="Q21" i="42"/>
  <c r="Q22" i="42"/>
  <c r="Y51" i="42"/>
  <c r="AA55" i="42"/>
  <c r="U26" i="42" s="1"/>
  <c r="U52" i="42" l="1"/>
  <c r="AA52" i="42" s="1"/>
  <c r="U22" i="42" s="1"/>
  <c r="U51" i="42"/>
  <c r="AA51" i="42" s="1"/>
  <c r="U21" i="42" s="1"/>
  <c r="AA50" i="42"/>
  <c r="U20" i="42" s="1"/>
  <c r="K30" i="1" l="1"/>
  <c r="K104" i="1" s="1"/>
  <c r="K182" i="1" s="1"/>
  <c r="K275" i="1" s="1"/>
  <c r="AI1" i="39"/>
  <c r="K23" i="22" l="1"/>
  <c r="D14" i="1" l="1"/>
  <c r="C48" i="13" l="1"/>
  <c r="C27" i="13"/>
  <c r="U6" i="39"/>
  <c r="J23" i="22"/>
  <c r="I16" i="31" l="1"/>
  <c r="I16" i="59"/>
  <c r="V6" i="39"/>
  <c r="W6" i="39"/>
  <c r="X6" i="39" l="1"/>
  <c r="K6" i="39" l="1"/>
  <c r="Y6" i="39"/>
  <c r="L6" i="39" l="1"/>
  <c r="Z6" i="39"/>
  <c r="M6" i="39" l="1"/>
  <c r="AA6" i="39"/>
  <c r="N6" i="39" l="1"/>
  <c r="AB6" i="39"/>
  <c r="O6" i="39" l="1"/>
  <c r="AC6" i="39"/>
  <c r="P6" i="39" l="1"/>
  <c r="AD6" i="39"/>
  <c r="Q6" i="39" l="1"/>
  <c r="R6" i="39" s="1"/>
  <c r="AE6" i="39"/>
  <c r="AG6" i="39" l="1"/>
  <c r="AF6" i="39"/>
  <c r="O56" i="42" l="1"/>
  <c r="K56" i="42"/>
  <c r="I27" i="42"/>
  <c r="C17" i="42"/>
  <c r="Q27" i="42" l="1"/>
  <c r="S24" i="42" s="1"/>
  <c r="W24" i="42" s="1"/>
  <c r="S25" i="42" l="1"/>
  <c r="W25" i="42" s="1"/>
  <c r="S23" i="42"/>
  <c r="W23" i="42" s="1"/>
  <c r="S26" i="42"/>
  <c r="W26" i="42" s="1"/>
  <c r="S22" i="42"/>
  <c r="W22" i="42" s="1"/>
  <c r="S19" i="42"/>
  <c r="S21" i="42"/>
  <c r="W21" i="42" s="1"/>
  <c r="S20" i="42"/>
  <c r="W20" i="42" s="1"/>
  <c r="W19" i="42" l="1"/>
  <c r="S27" i="42"/>
  <c r="G245" i="1" l="1"/>
  <c r="I31" i="59" s="1"/>
  <c r="T1" i="39"/>
  <c r="T47" i="5"/>
  <c r="T3" i="5"/>
  <c r="E62" i="5"/>
  <c r="E63" i="5"/>
  <c r="AI11" i="39" l="1"/>
  <c r="H63" i="5" s="1"/>
  <c r="AI10" i="39"/>
  <c r="H62" i="5" s="1"/>
  <c r="AI3" i="39" l="1"/>
  <c r="H22" i="13" l="1"/>
  <c r="D44" i="1" s="1"/>
  <c r="C9" i="13"/>
  <c r="C10" i="13" s="1"/>
  <c r="C11" i="13" s="1"/>
  <c r="C12" i="13" s="1"/>
  <c r="C13" i="13" s="1"/>
  <c r="C14" i="13" s="1"/>
  <c r="C15" i="13" s="1"/>
  <c r="C16" i="13" s="1"/>
  <c r="C17" i="13" s="1"/>
  <c r="C18" i="13" s="1"/>
  <c r="C19" i="13" s="1"/>
  <c r="C20" i="13" s="1"/>
  <c r="G22" i="13" l="1"/>
  <c r="D43" i="1" s="1"/>
  <c r="I192" i="1" s="1"/>
  <c r="I195" i="1" s="1"/>
  <c r="D42" i="1"/>
  <c r="J22" i="13"/>
  <c r="K22" i="13"/>
  <c r="D46" i="1" s="1"/>
  <c r="I52" i="59"/>
  <c r="M22" i="13" l="1"/>
  <c r="D45" i="1"/>
  <c r="A7" i="33"/>
  <c r="A8" i="33" s="1"/>
  <c r="A9" i="33" l="1"/>
  <c r="A10" i="33" s="1"/>
  <c r="A11" i="33" s="1"/>
  <c r="A12" i="33" s="1"/>
  <c r="A14" i="33" s="1"/>
  <c r="A15" i="33" s="1"/>
  <c r="I52" i="31" l="1"/>
  <c r="I11" i="31"/>
  <c r="A11" i="31" l="1"/>
  <c r="A14" i="31" l="1"/>
  <c r="A15" i="31" s="1"/>
  <c r="A16" i="31" s="1"/>
  <c r="A17" i="31" s="1"/>
  <c r="A18" i="31" s="1"/>
  <c r="A22" i="31" s="1"/>
  <c r="A23" i="31" s="1"/>
  <c r="A24" i="31" s="1"/>
  <c r="A25" i="31" s="1"/>
  <c r="A27" i="31" s="1"/>
  <c r="A28" i="31" s="1"/>
  <c r="A29" i="31" l="1"/>
  <c r="A31" i="31" l="1"/>
  <c r="A32" i="31" l="1"/>
  <c r="A33" i="31" l="1"/>
  <c r="A35" i="31" l="1"/>
  <c r="A36" i="31" l="1"/>
  <c r="A37" i="31" s="1"/>
  <c r="A38" i="31" s="1"/>
  <c r="G38" i="31" l="1"/>
  <c r="A40" i="31"/>
  <c r="G40" i="31"/>
  <c r="A45" i="31" l="1"/>
  <c r="A46" i="31" s="1"/>
  <c r="D297" i="1" l="1"/>
  <c r="D140" i="1"/>
  <c r="H23" i="22"/>
  <c r="G23" i="22"/>
  <c r="I15" i="59" s="1"/>
  <c r="E23" i="22"/>
  <c r="C10" i="22"/>
  <c r="C11" i="22" s="1"/>
  <c r="C12" i="22" s="1"/>
  <c r="C13" i="22" s="1"/>
  <c r="C14" i="22" s="1"/>
  <c r="C15" i="22" s="1"/>
  <c r="C16" i="22" s="1"/>
  <c r="C17" i="22" s="1"/>
  <c r="C18" i="22" s="1"/>
  <c r="C19" i="22" s="1"/>
  <c r="C20" i="22" s="1"/>
  <c r="C21" i="22" s="1"/>
  <c r="D15" i="1"/>
  <c r="F34" i="6"/>
  <c r="I196" i="1"/>
  <c r="G270" i="1" s="1"/>
  <c r="I270" i="1" s="1"/>
  <c r="C49" i="13"/>
  <c r="C50" i="13" s="1"/>
  <c r="C51" i="13" s="1"/>
  <c r="C52" i="13" s="1"/>
  <c r="C53" i="13" s="1"/>
  <c r="C54" i="13" s="1"/>
  <c r="C55" i="13" s="1"/>
  <c r="C56" i="13" s="1"/>
  <c r="C57" i="13" s="1"/>
  <c r="C58" i="13" s="1"/>
  <c r="C59" i="13" s="1"/>
  <c r="C60" i="13" s="1"/>
  <c r="D16" i="1"/>
  <c r="D139" i="1"/>
  <c r="D138" i="1"/>
  <c r="D12" i="19"/>
  <c r="D41" i="19" s="1"/>
  <c r="M28" i="13"/>
  <c r="M30" i="13"/>
  <c r="M31" i="13"/>
  <c r="M32" i="13"/>
  <c r="M34" i="13"/>
  <c r="M35" i="13"/>
  <c r="M36" i="13"/>
  <c r="M37" i="13"/>
  <c r="M38" i="13"/>
  <c r="M39" i="13"/>
  <c r="M27" i="13"/>
  <c r="G41" i="13"/>
  <c r="J41" i="13"/>
  <c r="C28" i="13"/>
  <c r="C29" i="13" s="1"/>
  <c r="C30" i="13" s="1"/>
  <c r="C31" i="13" s="1"/>
  <c r="C32" i="13" s="1"/>
  <c r="C33" i="13" s="1"/>
  <c r="C34" i="13" s="1"/>
  <c r="C35" i="13" s="1"/>
  <c r="C36" i="13" s="1"/>
  <c r="C37" i="13" s="1"/>
  <c r="C38" i="13" s="1"/>
  <c r="C39" i="13" s="1"/>
  <c r="A55" i="5"/>
  <c r="A54" i="5"/>
  <c r="J3" i="2"/>
  <c r="K185" i="1"/>
  <c r="K278" i="1"/>
  <c r="K107" i="1"/>
  <c r="K33" i="1"/>
  <c r="D36" i="1"/>
  <c r="B50" i="1"/>
  <c r="B58" i="1" s="1"/>
  <c r="F50" i="1"/>
  <c r="F66" i="1" s="1"/>
  <c r="F138" i="1" s="1"/>
  <c r="G50" i="1"/>
  <c r="B51" i="1"/>
  <c r="B59" i="1" s="1"/>
  <c r="F51" i="1"/>
  <c r="F77" i="1" s="1"/>
  <c r="B52" i="1"/>
  <c r="B60" i="1" s="1"/>
  <c r="G52" i="1"/>
  <c r="B53" i="1"/>
  <c r="B61" i="1" s="1"/>
  <c r="B54" i="1"/>
  <c r="B62" i="1" s="1"/>
  <c r="D110" i="1"/>
  <c r="B129" i="1"/>
  <c r="F135" i="1"/>
  <c r="F139" i="1"/>
  <c r="D188" i="1"/>
  <c r="I216" i="1"/>
  <c r="D281" i="1"/>
  <c r="I255" i="1"/>
  <c r="G218" i="1"/>
  <c r="D213" i="1"/>
  <c r="M23" i="22"/>
  <c r="D245" i="1" s="1"/>
  <c r="D137" i="1"/>
  <c r="L23" i="22"/>
  <c r="I18" i="59" s="1"/>
  <c r="G17" i="1" l="1"/>
  <c r="I17" i="1" s="1"/>
  <c r="I17" i="59"/>
  <c r="I17" i="31"/>
  <c r="G16" i="27"/>
  <c r="D298" i="1" s="1"/>
  <c r="D144" i="1" s="1"/>
  <c r="D150" i="1" s="1"/>
  <c r="I14" i="31"/>
  <c r="I14" i="59"/>
  <c r="G77" i="1"/>
  <c r="G16" i="1"/>
  <c r="G126" i="1"/>
  <c r="G51" i="1"/>
  <c r="I22" i="31"/>
  <c r="I22" i="59"/>
  <c r="G43" i="1"/>
  <c r="E210" i="1"/>
  <c r="G210" i="1" s="1"/>
  <c r="D134" i="1"/>
  <c r="M3" i="47"/>
  <c r="D246" i="1"/>
  <c r="I15" i="31"/>
  <c r="D247" i="1"/>
  <c r="I18" i="31"/>
  <c r="G18" i="6"/>
  <c r="H18" i="6" s="1"/>
  <c r="G19" i="6"/>
  <c r="H19" i="6" s="1"/>
  <c r="G17" i="6"/>
  <c r="H17" i="6" s="1"/>
  <c r="G14" i="1"/>
  <c r="I14" i="1" s="1"/>
  <c r="D135" i="1"/>
  <c r="M41" i="13"/>
  <c r="D58" i="1"/>
  <c r="D61" i="1"/>
  <c r="D60" i="1"/>
  <c r="D59" i="1"/>
  <c r="I204" i="1"/>
  <c r="G15" i="1"/>
  <c r="I15" i="1" s="1"/>
  <c r="D47" i="1"/>
  <c r="D62" i="1"/>
  <c r="I31" i="31"/>
  <c r="D55" i="1"/>
  <c r="I51" i="59" l="1"/>
  <c r="I51" i="31"/>
  <c r="G33" i="47"/>
  <c r="G42" i="51" s="1"/>
  <c r="E6" i="47"/>
  <c r="D141" i="1"/>
  <c r="I43" i="1"/>
  <c r="D148" i="1"/>
  <c r="I45" i="59"/>
  <c r="I23" i="31"/>
  <c r="I23" i="59"/>
  <c r="I24" i="31"/>
  <c r="I24" i="59"/>
  <c r="G246" i="1"/>
  <c r="D63" i="1"/>
  <c r="G213" i="1"/>
  <c r="I213" i="1" s="1"/>
  <c r="I45" i="31"/>
  <c r="I16" i="1"/>
  <c r="AD28" i="66" l="1"/>
  <c r="F28" i="66"/>
  <c r="X28" i="66"/>
  <c r="V28" i="66"/>
  <c r="T28" i="66"/>
  <c r="R28" i="66"/>
  <c r="P28" i="66"/>
  <c r="N28" i="66"/>
  <c r="L28" i="66"/>
  <c r="H28" i="66"/>
  <c r="AB28" i="66"/>
  <c r="Z28" i="66"/>
  <c r="J28" i="66"/>
  <c r="AD51" i="66"/>
  <c r="AD53" i="66" s="1"/>
  <c r="F51" i="66"/>
  <c r="H27" i="66"/>
  <c r="AB27" i="66"/>
  <c r="V51" i="66"/>
  <c r="V53" i="66" s="1"/>
  <c r="T51" i="66"/>
  <c r="T53" i="66" s="1"/>
  <c r="T27" i="66"/>
  <c r="T29" i="66" s="1"/>
  <c r="P51" i="66"/>
  <c r="P53" i="66" s="1"/>
  <c r="P27" i="66"/>
  <c r="P29" i="66" s="1"/>
  <c r="N27" i="66"/>
  <c r="N29" i="66" s="1"/>
  <c r="J27" i="66"/>
  <c r="J29" i="66" s="1"/>
  <c r="AB51" i="66"/>
  <c r="AB53" i="66" s="1"/>
  <c r="AD27" i="66"/>
  <c r="AD29" i="66" s="1"/>
  <c r="F27" i="66"/>
  <c r="Z27" i="66"/>
  <c r="X27" i="66"/>
  <c r="X29" i="66" s="1"/>
  <c r="V27" i="66"/>
  <c r="V29" i="66" s="1"/>
  <c r="R27" i="66"/>
  <c r="R29" i="66" s="1"/>
  <c r="L51" i="66"/>
  <c r="L53" i="66" s="1"/>
  <c r="H51" i="66"/>
  <c r="H53" i="66" s="1"/>
  <c r="Z51" i="66"/>
  <c r="Z53" i="66" s="1"/>
  <c r="R51" i="66"/>
  <c r="R53" i="66" s="1"/>
  <c r="J51" i="66"/>
  <c r="J53" i="66" s="1"/>
  <c r="X51" i="66"/>
  <c r="X53" i="66" s="1"/>
  <c r="N51" i="66"/>
  <c r="N53" i="66" s="1"/>
  <c r="L27" i="66"/>
  <c r="G268" i="1"/>
  <c r="I268" i="1" s="1"/>
  <c r="D119" i="1"/>
  <c r="Q39" i="67"/>
  <c r="Q50" i="67"/>
  <c r="Q44" i="67"/>
  <c r="Q47" i="67"/>
  <c r="S47" i="67" s="1"/>
  <c r="W47" i="67" s="1"/>
  <c r="Q51" i="67"/>
  <c r="S51" i="67" s="1"/>
  <c r="W51" i="67" s="1"/>
  <c r="Q38" i="67"/>
  <c r="S38" i="67" s="1"/>
  <c r="Q42" i="67"/>
  <c r="S42" i="67" s="1"/>
  <c r="W42" i="67" s="1"/>
  <c r="Q45" i="67"/>
  <c r="S45" i="67" s="1"/>
  <c r="W45" i="67" s="1"/>
  <c r="Q48" i="67"/>
  <c r="Q40" i="67"/>
  <c r="S40" i="67" s="1"/>
  <c r="W40" i="67" s="1"/>
  <c r="Q49" i="67"/>
  <c r="Q43" i="67"/>
  <c r="S43" i="67" s="1"/>
  <c r="W43" i="67" s="1"/>
  <c r="Q41" i="67"/>
  <c r="I74" i="61"/>
  <c r="I76" i="61" s="1"/>
  <c r="I49" i="59"/>
  <c r="D155" i="1"/>
  <c r="I56" i="59" s="1"/>
  <c r="D154" i="1"/>
  <c r="D153" i="1"/>
  <c r="G127" i="1"/>
  <c r="G135" i="1"/>
  <c r="G53" i="1"/>
  <c r="I32" i="31"/>
  <c r="I32" i="59"/>
  <c r="E15" i="33"/>
  <c r="E16" i="33" s="1"/>
  <c r="E18" i="33" s="1"/>
  <c r="D120" i="1" s="1"/>
  <c r="G32" i="38"/>
  <c r="G28" i="38"/>
  <c r="G29" i="38"/>
  <c r="G30" i="38"/>
  <c r="G31" i="38"/>
  <c r="G45" i="1"/>
  <c r="I45" i="1" s="1"/>
  <c r="I218" i="1"/>
  <c r="K218" i="1" s="1"/>
  <c r="G134" i="1"/>
  <c r="I49" i="31"/>
  <c r="D248" i="1"/>
  <c r="E318" i="1" s="1"/>
  <c r="F318" i="1" s="1"/>
  <c r="G18" i="5"/>
  <c r="I51" i="1"/>
  <c r="S50" i="67" l="1"/>
  <c r="S39" i="67"/>
  <c r="AB29" i="66"/>
  <c r="S44" i="67"/>
  <c r="S41" i="67"/>
  <c r="Z29" i="66"/>
  <c r="H29" i="66"/>
  <c r="L29" i="66"/>
  <c r="S49" i="67"/>
  <c r="S48" i="67"/>
  <c r="AF28" i="66"/>
  <c r="AF27" i="66"/>
  <c r="AF29" i="66" s="1"/>
  <c r="F29" i="66"/>
  <c r="AF51" i="66"/>
  <c r="AF53" i="66" s="1"/>
  <c r="F53" i="66"/>
  <c r="W38" i="67"/>
  <c r="G46" i="1"/>
  <c r="I46" i="1" s="1"/>
  <c r="I47" i="1" s="1"/>
  <c r="G121" i="1"/>
  <c r="G129" i="1"/>
  <c r="G54" i="1"/>
  <c r="I54" i="1" s="1"/>
  <c r="I25" i="31"/>
  <c r="I25" i="59"/>
  <c r="I59" i="1"/>
  <c r="G19" i="5" s="1"/>
  <c r="I53" i="1"/>
  <c r="I61" i="1" s="1"/>
  <c r="I56" i="31"/>
  <c r="E247" i="1"/>
  <c r="E246" i="1"/>
  <c r="I28" i="59" s="1"/>
  <c r="I36" i="59" s="1"/>
  <c r="E245" i="1"/>
  <c r="I27" i="59" s="1"/>
  <c r="I35" i="59" s="1"/>
  <c r="I126" i="1"/>
  <c r="I77" i="1"/>
  <c r="S52" i="67" l="1"/>
  <c r="W39" i="67"/>
  <c r="W41" i="67"/>
  <c r="W44" i="67"/>
  <c r="U52" i="67"/>
  <c r="W49" i="67"/>
  <c r="W50" i="67"/>
  <c r="AF61" i="66"/>
  <c r="D71" i="1" s="1"/>
  <c r="W48" i="67"/>
  <c r="I247" i="1"/>
  <c r="I29" i="59"/>
  <c r="I37" i="59" s="1"/>
  <c r="I38" i="59" s="1"/>
  <c r="I46" i="59" s="1"/>
  <c r="I55" i="1"/>
  <c r="G47" i="1"/>
  <c r="I62" i="1"/>
  <c r="I63" i="1" s="1"/>
  <c r="I121" i="1"/>
  <c r="I29" i="31"/>
  <c r="I37" i="31" s="1"/>
  <c r="I245" i="1"/>
  <c r="I27" i="31"/>
  <c r="I35" i="31" s="1"/>
  <c r="I246" i="1"/>
  <c r="I28" i="31"/>
  <c r="I36" i="31" s="1"/>
  <c r="G269" i="1" l="1"/>
  <c r="I269" i="1" s="1"/>
  <c r="I267" i="1" s="1"/>
  <c r="D18" i="1" s="1"/>
  <c r="I18" i="1" s="1"/>
  <c r="AD12" i="66"/>
  <c r="AD14" i="66" s="1"/>
  <c r="F12" i="66"/>
  <c r="Z12" i="66"/>
  <c r="Z14" i="66" s="1"/>
  <c r="X12" i="66"/>
  <c r="X14" i="66" s="1"/>
  <c r="T12" i="66"/>
  <c r="T14" i="66" s="1"/>
  <c r="P12" i="66"/>
  <c r="P14" i="66" s="1"/>
  <c r="J12" i="66"/>
  <c r="J14" i="66" s="1"/>
  <c r="H12" i="66"/>
  <c r="H14" i="66" s="1"/>
  <c r="AB12" i="66"/>
  <c r="AB14" i="66" s="1"/>
  <c r="V12" i="66"/>
  <c r="V14" i="66" s="1"/>
  <c r="R12" i="66"/>
  <c r="R14" i="66" s="1"/>
  <c r="L12" i="66"/>
  <c r="L14" i="66" s="1"/>
  <c r="N12" i="66"/>
  <c r="N14" i="66" s="1"/>
  <c r="W52" i="67"/>
  <c r="D117" i="1" s="1"/>
  <c r="I117" i="1" s="1"/>
  <c r="G153" i="1"/>
  <c r="G140" i="1"/>
  <c r="G139" i="1"/>
  <c r="F31" i="38"/>
  <c r="H31" i="38" s="1"/>
  <c r="D13" i="38" s="1"/>
  <c r="E13" i="38" s="1"/>
  <c r="E15" i="40" s="1"/>
  <c r="F32" i="38"/>
  <c r="H32" i="38" s="1"/>
  <c r="D14" i="38" s="1"/>
  <c r="F30" i="38"/>
  <c r="H30" i="38" s="1"/>
  <c r="D12" i="38" s="1"/>
  <c r="F29" i="38"/>
  <c r="H29" i="38" s="1"/>
  <c r="D11" i="38" s="1"/>
  <c r="F28" i="38"/>
  <c r="H28" i="38" s="1"/>
  <c r="I129" i="1"/>
  <c r="I248" i="1"/>
  <c r="AA10" i="63" s="1"/>
  <c r="I38" i="31"/>
  <c r="I46" i="31" s="1"/>
  <c r="AF12" i="66" l="1"/>
  <c r="AF14" i="66" s="1"/>
  <c r="D82" i="1" s="1"/>
  <c r="F14" i="66"/>
  <c r="D145" i="1"/>
  <c r="AB10" i="63" s="1"/>
  <c r="AC10" i="63" s="1"/>
  <c r="D10" i="38"/>
  <c r="H33" i="38"/>
  <c r="E10" i="38" l="1"/>
  <c r="F15" i="40" s="1"/>
  <c r="E67" i="51" s="1"/>
  <c r="D15" i="38"/>
  <c r="H67" i="51" l="1"/>
  <c r="I67" i="51" s="1"/>
  <c r="L67" i="51" s="1"/>
  <c r="K24" i="40" s="1"/>
  <c r="E41" i="47"/>
  <c r="H41" i="47" s="1"/>
  <c r="J41" i="47" s="1"/>
  <c r="F10" i="40" l="1"/>
  <c r="M67" i="51"/>
  <c r="K41" i="47"/>
  <c r="G68" i="1" l="1"/>
  <c r="G69" i="1" s="1"/>
  <c r="I127" i="1"/>
  <c r="I130" i="1" s="1"/>
  <c r="G26" i="5" l="1"/>
  <c r="G73" i="1"/>
  <c r="I73" i="1" s="1"/>
  <c r="G70" i="1"/>
  <c r="G71" i="1" s="1"/>
  <c r="G27" i="5" l="1"/>
  <c r="I27" i="5" s="1"/>
  <c r="I71" i="1"/>
  <c r="I82" i="1"/>
  <c r="G137" i="1"/>
  <c r="I116" i="1" l="1"/>
  <c r="I140" i="1"/>
  <c r="I139" i="1"/>
  <c r="I137" i="1"/>
  <c r="I153" i="1"/>
  <c r="E10" i="40"/>
  <c r="D66" i="1" s="1"/>
  <c r="I154" i="1"/>
  <c r="I55" i="31" l="1"/>
  <c r="I55" i="59"/>
  <c r="I54" i="31"/>
  <c r="I54" i="59"/>
  <c r="G155" i="1"/>
  <c r="I155" i="1" s="1"/>
  <c r="I70" i="1" l="1"/>
  <c r="I120" i="1"/>
  <c r="I134" i="1" l="1"/>
  <c r="I135" i="1"/>
  <c r="I141" i="1" l="1"/>
  <c r="G30" i="5" l="1"/>
  <c r="G31" i="5" s="1"/>
  <c r="I31" i="5" s="1"/>
  <c r="D67" i="1" l="1"/>
  <c r="I67" i="1" l="1"/>
  <c r="C12" i="38" l="1"/>
  <c r="E12" i="38" l="1"/>
  <c r="H15" i="40" s="1"/>
  <c r="C11" i="38"/>
  <c r="E65" i="51" l="1"/>
  <c r="H65" i="51" s="1"/>
  <c r="E11" i="38"/>
  <c r="E39" i="47"/>
  <c r="I65" i="51" l="1"/>
  <c r="L65" i="51" s="1"/>
  <c r="H39" i="47"/>
  <c r="G15" i="40"/>
  <c r="E69" i="51" s="1"/>
  <c r="H69" i="51" l="1"/>
  <c r="E71" i="51"/>
  <c r="K32" i="40"/>
  <c r="M65" i="51"/>
  <c r="E43" i="47"/>
  <c r="J39" i="47"/>
  <c r="I69" i="51" l="1"/>
  <c r="H71" i="51"/>
  <c r="K39" i="47"/>
  <c r="H10" i="40"/>
  <c r="H43" i="47"/>
  <c r="E45" i="47"/>
  <c r="L69" i="51" l="1"/>
  <c r="I71" i="51"/>
  <c r="D69" i="1"/>
  <c r="J43" i="47"/>
  <c r="H45" i="47"/>
  <c r="I69" i="1" l="1"/>
  <c r="K28" i="40"/>
  <c r="M69" i="51"/>
  <c r="M71" i="51" s="1"/>
  <c r="L71" i="51"/>
  <c r="G10" i="40"/>
  <c r="L10" i="40" s="1"/>
  <c r="K43" i="47"/>
  <c r="K45" i="47" s="1"/>
  <c r="J45" i="47"/>
  <c r="D68" i="1" l="1"/>
  <c r="D75" i="1" s="1"/>
  <c r="I68" i="1" l="1"/>
  <c r="I75" i="1" l="1"/>
  <c r="F211" i="38" l="1"/>
  <c r="C14" i="38" s="1"/>
  <c r="C211" i="38"/>
  <c r="E14" i="38" l="1"/>
  <c r="C15" i="38"/>
  <c r="E15" i="38" l="1"/>
  <c r="I15" i="40"/>
  <c r="L15" i="40" s="1"/>
  <c r="M12" i="63" l="1"/>
  <c r="K12" i="63"/>
  <c r="L12" i="63" s="1"/>
  <c r="L11" i="63"/>
  <c r="N12" i="63" l="1"/>
  <c r="O12" i="63" s="1"/>
  <c r="P12" i="63" s="1"/>
  <c r="Q12" i="63" s="1"/>
  <c r="R12" i="63" s="1"/>
  <c r="S12" i="63" s="1"/>
  <c r="T12" i="63" s="1"/>
  <c r="U12" i="63" s="1"/>
  <c r="V12" i="63" s="1"/>
  <c r="W12" i="63" s="1"/>
  <c r="X12" i="63" s="1"/>
  <c r="Y12" i="63" s="1"/>
  <c r="AA11" i="63"/>
  <c r="Z12" i="63" l="1"/>
  <c r="AA12" i="63" s="1"/>
  <c r="AB12" i="63" s="1"/>
  <c r="AC12" i="63" s="1"/>
  <c r="M13" i="63"/>
  <c r="K13" i="63"/>
  <c r="L13" i="63" s="1"/>
  <c r="AB11" i="63"/>
  <c r="AC11" i="63" s="1"/>
  <c r="N13" i="63" l="1"/>
  <c r="O13" i="63" s="1"/>
  <c r="P13" i="63" s="1"/>
  <c r="Q13" i="63" s="1"/>
  <c r="R13" i="63" s="1"/>
  <c r="S13" i="63" s="1"/>
  <c r="T13" i="63" s="1"/>
  <c r="U13" i="63" s="1"/>
  <c r="V13" i="63" s="1"/>
  <c r="W13" i="63" s="1"/>
  <c r="X13" i="63" s="1"/>
  <c r="Y13" i="63" s="1"/>
  <c r="Z13" i="63" l="1"/>
  <c r="K14" i="63" l="1"/>
  <c r="L14" i="63" s="1"/>
  <c r="M14" i="63"/>
  <c r="AA13" i="63"/>
  <c r="N14" i="63" l="1"/>
  <c r="AB13" i="63"/>
  <c r="AC13" i="63" s="1"/>
  <c r="O14" i="63" l="1"/>
  <c r="P14" i="63" s="1"/>
  <c r="M15" i="63"/>
  <c r="K15" i="63"/>
  <c r="L15" i="63" s="1"/>
  <c r="Q14" i="63" l="1"/>
  <c r="R14" i="63" s="1"/>
  <c r="S14" i="63" s="1"/>
  <c r="T14" i="63" s="1"/>
  <c r="U14" i="63" s="1"/>
  <c r="V14" i="63" s="1"/>
  <c r="W14" i="63" s="1"/>
  <c r="X14" i="63" s="1"/>
  <c r="Y14" i="63" s="1"/>
  <c r="N15" i="63"/>
  <c r="O15" i="63" s="1"/>
  <c r="P15" i="63" s="1"/>
  <c r="Q15" i="63" s="1"/>
  <c r="R15" i="63" s="1"/>
  <c r="S15" i="63" s="1"/>
  <c r="T15" i="63" s="1"/>
  <c r="U15" i="63" s="1"/>
  <c r="V15" i="63" s="1"/>
  <c r="W15" i="63" s="1"/>
  <c r="X15" i="63" s="1"/>
  <c r="Y15" i="63" s="1"/>
  <c r="Z14" i="63" l="1"/>
  <c r="AA14" i="63" s="1"/>
  <c r="AB14" i="63" s="1"/>
  <c r="AC14" i="63" s="1"/>
  <c r="M16" i="63"/>
  <c r="K16" i="63"/>
  <c r="L16" i="63" s="1"/>
  <c r="Z15" i="63"/>
  <c r="AA15" i="63" s="1"/>
  <c r="AB15" i="63" s="1"/>
  <c r="AC15" i="63" s="1"/>
  <c r="N16" i="63" l="1"/>
  <c r="O16" i="63" s="1"/>
  <c r="P16" i="63" s="1"/>
  <c r="Q16" i="63" s="1"/>
  <c r="R16" i="63" s="1"/>
  <c r="S16" i="63" s="1"/>
  <c r="T16" i="63" s="1"/>
  <c r="U16" i="63" s="1"/>
  <c r="V16" i="63" s="1"/>
  <c r="W16" i="63" s="1"/>
  <c r="X16" i="63" s="1"/>
  <c r="Y16" i="63" s="1"/>
  <c r="M17" i="63" l="1"/>
  <c r="K17" i="63"/>
  <c r="L17" i="63" s="1"/>
  <c r="Z16" i="63"/>
  <c r="AA16" i="63" s="1"/>
  <c r="AB16" i="63" s="1"/>
  <c r="AC16" i="63" s="1"/>
  <c r="N17" i="63" l="1"/>
  <c r="O17" i="63" s="1"/>
  <c r="P17" i="63" s="1"/>
  <c r="Q17" i="63" s="1"/>
  <c r="R17" i="63" s="1"/>
  <c r="S17" i="63" s="1"/>
  <c r="T17" i="63" s="1"/>
  <c r="U17" i="63" s="1"/>
  <c r="V17" i="63" s="1"/>
  <c r="W17" i="63" s="1"/>
  <c r="X17" i="63" s="1"/>
  <c r="Y17" i="63" s="1"/>
  <c r="M18" i="63" l="1"/>
  <c r="K18" i="63"/>
  <c r="L18" i="63" s="1"/>
  <c r="Z17" i="63"/>
  <c r="AA17" i="63" s="1"/>
  <c r="AB17" i="63" s="1"/>
  <c r="AC17" i="63" s="1"/>
  <c r="N18" i="63" l="1"/>
  <c r="O18" i="63" s="1"/>
  <c r="P18" i="63" s="1"/>
  <c r="Q18" i="63" s="1"/>
  <c r="R18" i="63" l="1"/>
  <c r="S18" i="63" s="1"/>
  <c r="M19" i="63"/>
  <c r="K19" i="63"/>
  <c r="L19" i="63" s="1"/>
  <c r="T18" i="63" l="1"/>
  <c r="U18" i="63" s="1"/>
  <c r="N19" i="63"/>
  <c r="O19" i="63" s="1"/>
  <c r="P19" i="63" s="1"/>
  <c r="Q19" i="63" s="1"/>
  <c r="R19" i="63" s="1"/>
  <c r="S19" i="63" s="1"/>
  <c r="T19" i="63" s="1"/>
  <c r="U19" i="63" s="1"/>
  <c r="V19" i="63" s="1"/>
  <c r="W19" i="63" s="1"/>
  <c r="X19" i="63" s="1"/>
  <c r="Y19" i="63" s="1"/>
  <c r="V18" i="63" l="1"/>
  <c r="W18" i="63" s="1"/>
  <c r="X18" i="63" s="1"/>
  <c r="Y18" i="63" s="1"/>
  <c r="M20" i="63"/>
  <c r="K20" i="63"/>
  <c r="L20" i="63" s="1"/>
  <c r="Z19" i="63"/>
  <c r="AA19" i="63" s="1"/>
  <c r="AB19" i="63" s="1"/>
  <c r="AC19" i="63" s="1"/>
  <c r="Z18" i="63" l="1"/>
  <c r="AA18" i="63" s="1"/>
  <c r="AB18" i="63" s="1"/>
  <c r="AC18" i="63" s="1"/>
  <c r="N20" i="63"/>
  <c r="O20" i="63" s="1"/>
  <c r="P20" i="63" s="1"/>
  <c r="Q20" i="63" l="1"/>
  <c r="R20" i="63" l="1"/>
  <c r="S20" i="63" s="1"/>
  <c r="T20" i="63" s="1"/>
  <c r="U20" i="63" l="1"/>
  <c r="V20" i="63" s="1"/>
  <c r="W20" i="63" s="1"/>
  <c r="X20" i="63" l="1"/>
  <c r="Y20" i="63" s="1"/>
  <c r="Z20" i="63" s="1"/>
  <c r="AA20" i="63" s="1"/>
  <c r="AB20" i="63" s="1"/>
  <c r="AC20" i="63" s="1"/>
  <c r="AC24" i="63" s="1"/>
  <c r="I119" i="1" l="1"/>
  <c r="D8" i="2" l="1"/>
  <c r="D10" i="2"/>
  <c r="D13" i="2" s="1"/>
  <c r="I202" i="1"/>
  <c r="I203" i="1" s="1"/>
  <c r="I205" i="1" s="1"/>
  <c r="K10" i="67" l="1"/>
  <c r="M10" i="67" s="1"/>
  <c r="Q10" i="67" s="1"/>
  <c r="K26" i="67"/>
  <c r="M26" i="67" s="1"/>
  <c r="Q26" i="67" s="1"/>
  <c r="K22" i="67"/>
  <c r="M22" i="67" s="1"/>
  <c r="Q22" i="67" s="1"/>
  <c r="K31" i="67"/>
  <c r="M31" i="67" s="1"/>
  <c r="Q31" i="67" s="1"/>
  <c r="K18" i="67"/>
  <c r="M18" i="67" s="1"/>
  <c r="Q18" i="67" s="1"/>
  <c r="K27" i="67"/>
  <c r="M27" i="67" s="1"/>
  <c r="Q27" i="67" s="1"/>
  <c r="K23" i="67"/>
  <c r="M23" i="67" s="1"/>
  <c r="Q23" i="67" s="1"/>
  <c r="K19" i="67"/>
  <c r="M19" i="67" s="1"/>
  <c r="G81" i="1"/>
  <c r="I81" i="1" s="1"/>
  <c r="K24" i="67"/>
  <c r="M24" i="67" s="1"/>
  <c r="Q24" i="67" s="1"/>
  <c r="K16" i="67"/>
  <c r="M16" i="67" s="1"/>
  <c r="Q16" i="67" s="1"/>
  <c r="K12" i="67"/>
  <c r="M12" i="67" s="1"/>
  <c r="Q12" i="67" s="1"/>
  <c r="K13" i="67"/>
  <c r="M13" i="67" s="1"/>
  <c r="Q13" i="67" s="1"/>
  <c r="K28" i="67"/>
  <c r="M28" i="67" s="1"/>
  <c r="Q28" i="67" s="1"/>
  <c r="K20" i="67"/>
  <c r="M20" i="67" s="1"/>
  <c r="Q20" i="67" s="1"/>
  <c r="K21" i="67"/>
  <c r="M21" i="67" s="1"/>
  <c r="Q21" i="67" s="1"/>
  <c r="K14" i="67"/>
  <c r="M14" i="67" s="1"/>
  <c r="Q14" i="67" s="1"/>
  <c r="K11" i="67"/>
  <c r="M11" i="67" s="1"/>
  <c r="K29" i="67"/>
  <c r="M29" i="67" s="1"/>
  <c r="Q29" i="67" s="1"/>
  <c r="K25" i="67"/>
  <c r="M25" i="67" s="1"/>
  <c r="Q25" i="67" s="1"/>
  <c r="K8" i="67"/>
  <c r="M8" i="67" s="1"/>
  <c r="Q8" i="67" s="1"/>
  <c r="K15" i="67"/>
  <c r="M15" i="67" s="1"/>
  <c r="K9" i="67"/>
  <c r="M9" i="67" s="1"/>
  <c r="Q9" i="67" s="1"/>
  <c r="K30" i="67"/>
  <c r="M30" i="67" s="1"/>
  <c r="Q30" i="67" s="1"/>
  <c r="K17" i="67"/>
  <c r="M17" i="67" s="1"/>
  <c r="Q17" i="67" s="1"/>
  <c r="K7" i="67"/>
  <c r="M7" i="67" s="1"/>
  <c r="O19" i="67" l="1"/>
  <c r="Q19" i="67" s="1"/>
  <c r="O15" i="67"/>
  <c r="Q15" i="67" s="1"/>
  <c r="O11" i="67"/>
  <c r="M32" i="67"/>
  <c r="Q7" i="67"/>
  <c r="O32" i="67" l="1"/>
  <c r="Q11" i="67"/>
  <c r="Q32" i="67" s="1"/>
  <c r="Y54" i="67" l="1"/>
  <c r="D115" i="1"/>
  <c r="D123" i="1"/>
  <c r="I115" i="1"/>
  <c r="I123" i="1" s="1"/>
  <c r="D80" i="1" s="1"/>
  <c r="D83" i="1" l="1"/>
  <c r="D85" i="1" s="1"/>
  <c r="D158" i="1" s="1"/>
  <c r="D152" i="1" s="1"/>
  <c r="D156" i="1" s="1"/>
  <c r="D161" i="1" s="1"/>
  <c r="I80" i="1"/>
  <c r="I83" i="1" s="1"/>
  <c r="I85" i="1" s="1"/>
  <c r="G22" i="5"/>
  <c r="G23" i="5" s="1"/>
  <c r="I23" i="5" s="1"/>
  <c r="I33" i="5" s="1"/>
  <c r="F66" i="5" l="1"/>
  <c r="G66" i="5" s="1"/>
  <c r="F64" i="5"/>
  <c r="G64" i="5" s="1"/>
  <c r="F67" i="5"/>
  <c r="G67" i="5" s="1"/>
  <c r="F65" i="5"/>
  <c r="G65" i="5" s="1"/>
  <c r="I8" i="31"/>
  <c r="I40" i="31" s="1"/>
  <c r="I53" i="31" s="1"/>
  <c r="I57" i="31" s="1"/>
  <c r="I61" i="31" s="1"/>
  <c r="I8" i="59"/>
  <c r="I158" i="1"/>
  <c r="F63" i="5"/>
  <c r="G63" i="5" s="1"/>
  <c r="F62" i="5"/>
  <c r="G62" i="5" s="1"/>
  <c r="I63" i="31" l="1"/>
  <c r="I152" i="1"/>
  <c r="I156" i="1" s="1"/>
  <c r="I226" i="1"/>
  <c r="G40" i="5"/>
  <c r="G41" i="5" s="1"/>
  <c r="I41" i="5" s="1"/>
  <c r="I66" i="59"/>
  <c r="I40" i="59"/>
  <c r="I63" i="59" l="1"/>
  <c r="I231" i="1"/>
  <c r="I53" i="59"/>
  <c r="I57" i="59" s="1"/>
  <c r="I225" i="1"/>
  <c r="I227" i="1" s="1"/>
  <c r="I64" i="31"/>
  <c r="G36" i="5"/>
  <c r="G37" i="5" s="1"/>
  <c r="I37" i="5" s="1"/>
  <c r="I43" i="5" s="1"/>
  <c r="I161" i="1"/>
  <c r="I66" i="5" l="1"/>
  <c r="J66" i="5" s="1"/>
  <c r="L66" i="5" s="1"/>
  <c r="I64" i="5"/>
  <c r="J64" i="5" s="1"/>
  <c r="L64" i="5" s="1"/>
  <c r="I67" i="5"/>
  <c r="J67" i="5" s="1"/>
  <c r="L67" i="5" s="1"/>
  <c r="I65" i="5"/>
  <c r="J65" i="5" s="1"/>
  <c r="L65" i="5" s="1"/>
  <c r="I62" i="5"/>
  <c r="J62" i="5" s="1"/>
  <c r="L62" i="5" s="1"/>
  <c r="I63" i="5"/>
  <c r="J63" i="5" s="1"/>
  <c r="L63" i="5" s="1"/>
  <c r="I61" i="59"/>
  <c r="I65" i="59" s="1"/>
  <c r="I67" i="59" s="1"/>
  <c r="I64" i="59"/>
  <c r="I230" i="1"/>
  <c r="I232" i="1" s="1"/>
  <c r="I234" i="1" s="1"/>
  <c r="AK15" i="60"/>
  <c r="AK17" i="60"/>
  <c r="AK13" i="60"/>
  <c r="AK12" i="60"/>
  <c r="AK14" i="60"/>
  <c r="AK16" i="60"/>
  <c r="N64" i="5" l="1"/>
  <c r="O64" i="5" s="1"/>
  <c r="Q64" i="5" s="1"/>
  <c r="I22" i="6" s="1"/>
  <c r="J22" i="6" s="1"/>
  <c r="N65" i="5"/>
  <c r="O65" i="5" s="1"/>
  <c r="Q65" i="5" s="1"/>
  <c r="I20" i="6" s="1"/>
  <c r="J20" i="6" s="1"/>
  <c r="N66" i="5"/>
  <c r="O66" i="5" s="1"/>
  <c r="Q66" i="5" s="1"/>
  <c r="I21" i="6" s="1"/>
  <c r="J21" i="6" s="1"/>
  <c r="N67" i="5"/>
  <c r="O67" i="5" s="1"/>
  <c r="Q67" i="5" s="1"/>
  <c r="I19" i="6" s="1"/>
  <c r="J19" i="6" s="1"/>
  <c r="AL13" i="60"/>
  <c r="AM13" i="60" s="1"/>
  <c r="AL15" i="60"/>
  <c r="AM15" i="60" s="1"/>
  <c r="AL12" i="60"/>
  <c r="AM12" i="60" s="1"/>
  <c r="N63" i="5"/>
  <c r="O63" i="5" s="1"/>
  <c r="Q63" i="5" s="1"/>
  <c r="I18" i="6" s="1"/>
  <c r="J18" i="6" s="1"/>
  <c r="AL17" i="60"/>
  <c r="AM17" i="60" s="1"/>
  <c r="AL14" i="60"/>
  <c r="AM14" i="60" s="1"/>
  <c r="AL16" i="60"/>
  <c r="AM16" i="60" s="1"/>
  <c r="N62" i="5"/>
  <c r="N79" i="5" l="1"/>
  <c r="D164" i="1" s="1"/>
  <c r="I164" i="1" s="1"/>
  <c r="AM31" i="60"/>
  <c r="D163" i="1" s="1"/>
  <c r="I163" i="1" s="1"/>
  <c r="O62" i="5"/>
  <c r="O78" i="5" s="1"/>
  <c r="D19" i="1" s="1"/>
  <c r="I167" i="1" l="1"/>
  <c r="I11" i="1" s="1"/>
  <c r="D167" i="1"/>
  <c r="Q62" i="5"/>
  <c r="I17" i="6" s="1"/>
  <c r="I19" i="1"/>
  <c r="I20" i="1" s="1"/>
  <c r="I23" i="1" s="1"/>
  <c r="D20" i="1"/>
  <c r="I34" i="6" l="1"/>
  <c r="B10" i="69" s="1"/>
  <c r="F10" i="69" s="1"/>
  <c r="G72" i="69" s="1"/>
  <c r="J17" i="6"/>
  <c r="J34" i="6" l="1"/>
  <c r="G73" i="69"/>
  <c r="L36" i="6" s="1"/>
  <c r="A72" i="69"/>
  <c r="A73" i="69" s="1"/>
  <c r="K17" i="6" l="1"/>
  <c r="L17" i="6" s="1"/>
  <c r="G74" i="69"/>
  <c r="A74" i="69" s="1"/>
  <c r="K19" i="6"/>
  <c r="L19" i="6" s="1"/>
  <c r="K20" i="6"/>
  <c r="L20" i="6" s="1"/>
  <c r="K22" i="6"/>
  <c r="L22" i="6" s="1"/>
  <c r="K21" i="6"/>
  <c r="L21" i="6" s="1"/>
  <c r="K18" i="6"/>
  <c r="L18" i="6" s="1"/>
  <c r="L34" i="6" l="1"/>
</calcChain>
</file>

<file path=xl/sharedStrings.xml><?xml version="1.0" encoding="utf-8"?>
<sst xmlns="http://schemas.openxmlformats.org/spreadsheetml/2006/main" count="2752" uniqueCount="1478">
  <si>
    <t>page 1 of 5</t>
  </si>
  <si>
    <t xml:space="preserve">Formula Rate - Non-Levelized </t>
  </si>
  <si>
    <t xml:space="preserve">     Rate Formula Template</t>
  </si>
  <si>
    <t xml:space="preserve"> </t>
  </si>
  <si>
    <t xml:space="preserve"> Utilizing FERC Form 1 Data</t>
  </si>
  <si>
    <t>Line</t>
  </si>
  <si>
    <t>Allocated</t>
  </si>
  <si>
    <t>No.</t>
  </si>
  <si>
    <t>Amount</t>
  </si>
  <si>
    <t>Total</t>
  </si>
  <si>
    <t>Allocator</t>
  </si>
  <si>
    <t xml:space="preserve">  Account No. 454</t>
  </si>
  <si>
    <t>TP</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</si>
  <si>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</si>
  <si>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</si>
  <si>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</si>
  <si>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</si>
  <si>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</si>
  <si>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</si>
  <si>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</si>
  <si>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</si>
  <si>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</si>
  <si>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</si>
  <si>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</si>
  <si>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</si>
  <si>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</si>
  <si>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</si>
  <si>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</si>
  <si>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</si>
  <si>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</si>
  <si>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</si>
  <si>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</si>
  <si>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</si>
  <si>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</si>
  <si>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</si>
  <si>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</si>
  <si>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</si>
  <si>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</si>
  <si>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GP=</t>
  </si>
  <si>
    <t>ACCUMULATED DEPRECIATION</t>
  </si>
  <si>
    <t>219.20-24.c</t>
  </si>
  <si>
    <t>219.26.c</t>
  </si>
  <si>
    <t>NET PLANT IN SERVICE</t>
  </si>
  <si>
    <t xml:space="preserve">  Account No. 281 (enter negative)</t>
  </si>
  <si>
    <t xml:space="preserve">  Account No. 282 (enter negative)</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</si>
  <si>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</si>
  <si>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</si>
  <si>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</si>
  <si>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</si>
  <si>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</si>
  <si>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</si>
  <si>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</si>
  <si>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</si>
  <si>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LABOR RELATED</t>
  </si>
  <si>
    <t xml:space="preserve">          Payroll</t>
  </si>
  <si>
    <t>263.i</t>
  </si>
  <si>
    <t xml:space="preserve">          Highway and vehicle</t>
  </si>
  <si>
    <t xml:space="preserve">  PLANT RELATED</t>
  </si>
  <si>
    <t xml:space="preserve">         Property</t>
  </si>
  <si>
    <t xml:space="preserve">         Other</t>
  </si>
  <si>
    <t xml:space="preserve">         Payments in lieu of taxes</t>
  </si>
  <si>
    <t xml:space="preserve">INCOME TAXES          </t>
  </si>
  <si>
    <t xml:space="preserve">     T=1 - {[(1 - SIT) * (1 - FIT)] / (1 - SIT * FIT * p)} =</t>
  </si>
  <si>
    <t xml:space="preserve">       and FIT, SIT &amp; p are as given in footnote K.</t>
  </si>
  <si>
    <t>Total Income Taxes</t>
  </si>
  <si>
    <t xml:space="preserve">RETURN </t>
  </si>
  <si>
    <t xml:space="preserve">                SUPPORTING CALCULATIONS AND NOTES</t>
  </si>
  <si>
    <t>TRANSMISSION PLANT INCLUDED IN ISO RATES</t>
  </si>
  <si>
    <t>TP=</t>
  </si>
  <si>
    <t xml:space="preserve">TRANSMISSION EXPENSES </t>
  </si>
  <si>
    <t>TE=</t>
  </si>
  <si>
    <t>WAGES &amp; SALARY ALLOCATOR   (W&amp;S)</t>
  </si>
  <si>
    <t>Form 1 Reference</t>
  </si>
  <si>
    <t>$</t>
  </si>
  <si>
    <t>Allocation</t>
  </si>
  <si>
    <t>W&amp;S Allocator</t>
  </si>
  <si>
    <t xml:space="preserve">  Other</t>
  </si>
  <si>
    <t>($ / Allocation)</t>
  </si>
  <si>
    <t>=</t>
  </si>
  <si>
    <t>% Electric</t>
  </si>
  <si>
    <t xml:space="preserve">  Electric</t>
  </si>
  <si>
    <t>200.3.c</t>
  </si>
  <si>
    <t xml:space="preserve">  Gas</t>
  </si>
  <si>
    <t>201.3.d</t>
  </si>
  <si>
    <t>*</t>
  </si>
  <si>
    <t xml:space="preserve">  Water</t>
  </si>
  <si>
    <t>201.3.e</t>
  </si>
  <si>
    <t>RETURN (R)</t>
  </si>
  <si>
    <t>Common Stock</t>
  </si>
  <si>
    <t>Cost</t>
  </si>
  <si>
    <t>%</t>
  </si>
  <si>
    <t>(Note P)</t>
  </si>
  <si>
    <t>Weighted</t>
  </si>
  <si>
    <t>=WCLTD</t>
  </si>
  <si>
    <t>=R</t>
  </si>
  <si>
    <t>REVENUE CREDITS</t>
  </si>
  <si>
    <t>ACCOUNT 447 (SALES FOR RESALE)</t>
  </si>
  <si>
    <t xml:space="preserve">  Total of (a)-(b)</t>
  </si>
  <si>
    <t>page 5 of 5</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</si>
  <si>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</si>
  <si>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</si>
  <si>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</si>
  <si>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</si>
  <si>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</si>
  <si>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</si>
  <si>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</si>
  <si>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</si>
  <si>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</si>
  <si>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</si>
  <si>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</si>
  <si>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</si>
  <si>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</si>
  <si>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</si>
  <si>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</si>
  <si>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</si>
  <si>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</si>
  <si>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</si>
  <si>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</si>
  <si>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</si>
  <si>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</si>
  <si>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</si>
  <si>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</si>
  <si>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Includes income related only to transmission facilities, such as pole attachments, rentals and special use.</t>
  </si>
  <si>
    <t>W</t>
  </si>
  <si>
    <t>205.46.g</t>
  </si>
  <si>
    <t>207.75.g</t>
  </si>
  <si>
    <t>354.20.b</t>
  </si>
  <si>
    <t>354.21.b</t>
  </si>
  <si>
    <t>354.23.b</t>
  </si>
  <si>
    <t>page 3 of 5</t>
  </si>
  <si>
    <t>page 4 of 5</t>
  </si>
  <si>
    <t>(Note E)</t>
  </si>
  <si>
    <t>= WS</t>
  </si>
  <si>
    <t>Preferred Dividends  (118.29c) (positive number)</t>
  </si>
  <si>
    <t>Inputs Required:</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</si>
  <si>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</si>
  <si>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</si>
  <si>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</si>
  <si>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</si>
  <si>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</si>
  <si>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</si>
  <si>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</si>
  <si>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</si>
  <si>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</si>
  <si>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</si>
  <si>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</si>
  <si>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</si>
  <si>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</si>
  <si>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</si>
  <si>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</si>
  <si>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</si>
  <si>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</si>
  <si>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</si>
  <si>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</si>
  <si>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</si>
  <si>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</si>
  <si>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</si>
  <si>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</si>
  <si>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</si>
  <si>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</si>
  <si>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</si>
  <si>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</si>
  <si>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</si>
  <si>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</si>
  <si>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</si>
  <si>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</si>
  <si>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</si>
  <si>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</si>
  <si>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</si>
  <si>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</si>
  <si>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</si>
  <si>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</si>
  <si>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</si>
  <si>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</si>
  <si>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</si>
  <si>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</si>
  <si>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</si>
  <si>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</si>
  <si>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</si>
  <si>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</si>
  <si>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</si>
  <si>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</si>
  <si>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</si>
  <si>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</si>
  <si>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</si>
  <si>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</si>
  <si>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</si>
  <si>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</si>
  <si>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</si>
  <si>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</si>
  <si>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</si>
  <si>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</si>
  <si>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</si>
  <si>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</si>
  <si>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</si>
  <si>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</si>
  <si>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</si>
  <si>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</si>
  <si>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</si>
  <si>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</si>
  <si>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</si>
  <si>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</si>
  <si>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</si>
  <si>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</si>
  <si>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</si>
  <si>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</si>
  <si>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</si>
  <si>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</si>
  <si>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</si>
  <si>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</si>
  <si>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</si>
  <si>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</si>
  <si>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</si>
  <si>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</si>
  <si>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</si>
  <si>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</si>
  <si>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December 31</t>
  </si>
  <si>
    <t>(enter negative)</t>
  </si>
  <si>
    <t>[B]</t>
  </si>
  <si>
    <t>Property Taxes</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</si>
  <si>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</si>
  <si>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</si>
  <si>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</si>
  <si>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</si>
  <si>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</si>
  <si>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</si>
  <si>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</si>
  <si>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</si>
  <si>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</si>
  <si>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</si>
  <si>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</si>
  <si>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</si>
  <si>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</si>
  <si>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</si>
  <si>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</si>
  <si>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</si>
  <si>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</si>
  <si>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</si>
  <si>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</si>
  <si>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</si>
  <si>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</si>
  <si>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</si>
  <si>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</si>
  <si>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</si>
  <si>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</si>
  <si>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</si>
  <si>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</si>
  <si>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</si>
  <si>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Amortized Investment Tax Credit (266.8.f) (enter negative)</t>
  </si>
  <si>
    <t xml:space="preserve">  a. Bundled Non-RQ Sales for Resale (311.x.h)</t>
  </si>
  <si>
    <t>(State Income Tax Rate or Composite SIT)</t>
  </si>
  <si>
    <t>(percent of federal income tax deductible for state purposes)</t>
  </si>
  <si>
    <t>True-up Adjustment - Over (Under) Recovery</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</si>
  <si>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</si>
  <si>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</si>
  <si>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</si>
  <si>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</si>
  <si>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</si>
  <si>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</si>
  <si>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</si>
  <si>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</si>
  <si>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FERC Account</t>
  </si>
  <si>
    <t>Excludes revenues unrelated to transmission services.</t>
  </si>
  <si>
    <t>FAS 143 - ARO</t>
  </si>
  <si>
    <t>FAS 106</t>
  </si>
  <si>
    <t>FAS 109</t>
  </si>
  <si>
    <t>FERC Account No. 283  is adjusted for the following items.</t>
  </si>
  <si>
    <t>[D]</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</si>
  <si>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</si>
  <si>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</si>
  <si>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</si>
  <si>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</si>
  <si>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</si>
  <si>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</si>
  <si>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</si>
  <si>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</si>
  <si>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</si>
  <si>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</si>
  <si>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</si>
  <si>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</si>
  <si>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</si>
  <si>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</si>
  <si>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</si>
  <si>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</si>
  <si>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</si>
  <si>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</si>
  <si>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</si>
  <si>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</si>
  <si>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</si>
  <si>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</si>
  <si>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</si>
  <si>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</si>
  <si>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Calculation of PBOP Expenses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</si>
  <si>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</si>
  <si>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</si>
  <si>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</si>
  <si>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</si>
  <si>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</si>
  <si>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</si>
  <si>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DA</t>
  </si>
  <si>
    <t>company records</t>
  </si>
  <si>
    <t>(Line 12 * Line 15)</t>
  </si>
  <si>
    <t>(Line 13 * Line 16)</t>
  </si>
  <si>
    <t>(Line 14 * Line 17)</t>
  </si>
  <si>
    <t>Sum lines 29 to 32</t>
  </si>
  <si>
    <t>(line 22 * line 24)</t>
  </si>
  <si>
    <t>(Line 22 + Line 33)</t>
  </si>
  <si>
    <t>Line 1</t>
  </si>
  <si>
    <t xml:space="preserve">Rate Base </t>
  </si>
  <si>
    <t>(Note G)</t>
  </si>
  <si>
    <t>Retail</t>
  </si>
  <si>
    <t xml:space="preserve">Plant </t>
  </si>
  <si>
    <t>Labor</t>
  </si>
  <si>
    <t>Related</t>
  </si>
  <si>
    <t>ADIT</t>
  </si>
  <si>
    <t>ADIT-283 From Account Total Below</t>
  </si>
  <si>
    <t>ADIT-190 From Account Total Below</t>
  </si>
  <si>
    <t>ADIT-190</t>
  </si>
  <si>
    <t xml:space="preserve">End of Year  </t>
  </si>
  <si>
    <t>Gas, Prod</t>
  </si>
  <si>
    <t>Only</t>
  </si>
  <si>
    <t>Balance</t>
  </si>
  <si>
    <t>Or Other</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</si>
  <si>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</si>
  <si>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</si>
  <si>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</si>
  <si>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</si>
  <si>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</si>
  <si>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</si>
  <si>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</si>
  <si>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</si>
  <si>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</si>
  <si>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p275.9.k</t>
  </si>
  <si>
    <t>Instructions for Account 282:</t>
  </si>
  <si>
    <t>ADIT-283</t>
  </si>
  <si>
    <t>p277.19.k</t>
  </si>
  <si>
    <t>Instructions for Account 283:</t>
  </si>
  <si>
    <t>ADIT-281</t>
  </si>
  <si>
    <t>p273.8.k</t>
  </si>
  <si>
    <t>ADIT-281 From Account Total Below</t>
  </si>
  <si>
    <t>ADIT-255 From Account Total Below</t>
  </si>
  <si>
    <t>Instructions for Account 281:</t>
  </si>
  <si>
    <t>ADIT-255</t>
  </si>
  <si>
    <t>Instructions for Account 255:</t>
  </si>
  <si>
    <t>p267.h</t>
  </si>
  <si>
    <t>Accumulated Depreciation</t>
  </si>
  <si>
    <t>Project Net Plant</t>
  </si>
  <si>
    <t>Net Plant Detail</t>
  </si>
  <si>
    <t>Based on a 13-month average</t>
  </si>
  <si>
    <t>(line 12 divided by line 2, col. 3)</t>
  </si>
  <si>
    <t xml:space="preserve">Gross Plant </t>
  </si>
  <si>
    <t>Plant &amp; Labor</t>
  </si>
  <si>
    <t>Wages &amp; Salary</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</si>
  <si>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</si>
  <si>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</si>
  <si>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</si>
  <si>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</si>
  <si>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</si>
  <si>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</si>
  <si>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</si>
  <si>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</si>
  <si>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</si>
  <si>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</si>
  <si>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</si>
  <si>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</si>
  <si>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</si>
  <si>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</si>
  <si>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</si>
  <si>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</si>
  <si>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</si>
  <si>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</si>
  <si>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</si>
  <si>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</si>
  <si>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</si>
  <si>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</si>
  <si>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</si>
  <si>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</si>
  <si>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</si>
  <si>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</si>
  <si>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</si>
  <si>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</si>
  <si>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</si>
  <si>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</si>
  <si>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</si>
  <si>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</si>
  <si>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</si>
  <si>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</si>
  <si>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</si>
  <si>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</si>
  <si>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</si>
  <si>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</si>
  <si>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</si>
  <si>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</si>
  <si>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</si>
  <si>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</si>
  <si>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</si>
  <si>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</si>
  <si>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</si>
  <si>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</si>
  <si>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</si>
  <si>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</si>
  <si>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</si>
  <si>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</si>
  <si>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</si>
  <si>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</si>
  <si>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</si>
  <si>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</si>
  <si>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</si>
  <si>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</si>
  <si>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</si>
  <si>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</si>
  <si>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</si>
  <si>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</si>
  <si>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</si>
  <si>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</si>
  <si>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</si>
  <si>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</si>
  <si>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</si>
  <si>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</si>
  <si>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</si>
  <si>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</si>
  <si>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 xml:space="preserve">  Account No. 451</t>
  </si>
  <si>
    <t xml:space="preserve">DA </t>
  </si>
  <si>
    <t>Total Annual Revenue Requirement</t>
  </si>
  <si>
    <t>Net Revenue Requirement
with True-up</t>
  </si>
  <si>
    <t>Pro-rated Q1</t>
  </si>
  <si>
    <t>Pro-rated Q2</t>
  </si>
  <si>
    <t>Pro-rated Q3</t>
  </si>
  <si>
    <t>Pro-rated Q4</t>
  </si>
  <si>
    <t>Amount included in revenues reported on pages 328-330 of FERC Form 1.</t>
  </si>
  <si>
    <t>% of Total Revenue Requirement</t>
  </si>
  <si>
    <t>Revenue Received</t>
  </si>
  <si>
    <t>Col c, line 1 * Col e</t>
  </si>
  <si>
    <t>2a</t>
  </si>
  <si>
    <t>2b</t>
  </si>
  <si>
    <t>GROSS REV. REQUIREMENT (WITHOUT INCENTIVE)</t>
  </si>
  <si>
    <t>NET REVENUE REQUIREMENT</t>
  </si>
  <si>
    <t>True-up Adjustment with Interest</t>
  </si>
  <si>
    <t>Actual RTEP Credit Revenues for true-up year</t>
  </si>
  <si>
    <t>4a</t>
  </si>
  <si>
    <t xml:space="preserve">Col. h + Col. i </t>
  </si>
  <si>
    <t>Sum of line 4, 6, &amp; 8</t>
  </si>
  <si>
    <t>Sum of line 11 and 13</t>
  </si>
  <si>
    <t>(Note B &amp; C)</t>
  </si>
  <si>
    <t xml:space="preserve">  TEC Revenue </t>
  </si>
  <si>
    <t>Goodwill</t>
  </si>
  <si>
    <t>233.5.f</t>
  </si>
  <si>
    <t>(Page 1, line 9)</t>
  </si>
  <si>
    <t>Page 1, line 14</t>
  </si>
  <si>
    <t>(Note C &amp; H)</t>
  </si>
  <si>
    <t>(Note D &amp; H)</t>
  </si>
  <si>
    <t>Additional Incentive Annual Allocation Factor for Return (Note F)</t>
  </si>
  <si>
    <t xml:space="preserve">ADIT- 282 </t>
  </si>
  <si>
    <t>End Plant</t>
  </si>
  <si>
    <t>End Labor</t>
  </si>
  <si>
    <t xml:space="preserve">End Plant &amp; Labor Related </t>
  </si>
  <si>
    <t xml:space="preserve">  Account No. 456</t>
  </si>
  <si>
    <t>[1]</t>
  </si>
  <si>
    <t>[2]</t>
  </si>
  <si>
    <t>[3]</t>
  </si>
  <si>
    <t>[4]</t>
  </si>
  <si>
    <t>[5]</t>
  </si>
  <si>
    <t>[6]</t>
  </si>
  <si>
    <t>[7]</t>
  </si>
  <si>
    <t>1a</t>
  </si>
  <si>
    <t>1b</t>
  </si>
  <si>
    <t>1c</t>
  </si>
  <si>
    <t>2</t>
  </si>
  <si>
    <t>3b</t>
  </si>
  <si>
    <t>3c</t>
  </si>
  <si>
    <t>5a</t>
  </si>
  <si>
    <t>5b</t>
  </si>
  <si>
    <t>5c</t>
  </si>
  <si>
    <t>1z</t>
  </si>
  <si>
    <t>2z</t>
  </si>
  <si>
    <t>3z</t>
  </si>
  <si>
    <t>4z</t>
  </si>
  <si>
    <t>5z</t>
  </si>
  <si>
    <t>6z</t>
  </si>
  <si>
    <t>Total other than income taxes (sum lines 1z, 2z, 3z, 4z, 5z, 6z) 
[tie to 114.14c]</t>
  </si>
  <si>
    <t xml:space="preserve">Includes only CWIP authorized by the Commission for inclusion in rate base.  </t>
  </si>
  <si>
    <t>Rate Base</t>
  </si>
  <si>
    <t>Preferred Dividends</t>
  </si>
  <si>
    <t xml:space="preserve"> enter positive</t>
  </si>
  <si>
    <t>Proprietary Capital</t>
  </si>
  <si>
    <t>Capitalization</t>
  </si>
  <si>
    <t>Debt %</t>
  </si>
  <si>
    <t>Preferred %</t>
  </si>
  <si>
    <t>Common %</t>
  </si>
  <si>
    <t>Preferred Cost</t>
  </si>
  <si>
    <t>Common Cost</t>
  </si>
  <si>
    <t>Weighted Cost of Debt</t>
  </si>
  <si>
    <t>Weighted Cost of Preferred</t>
  </si>
  <si>
    <t>Weighted Cost of Common</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</si>
  <si>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</si>
  <si>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</si>
  <si>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</si>
  <si>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</si>
  <si>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</si>
  <si>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</si>
  <si>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</si>
  <si>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</si>
  <si>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To be completed after Attachment 11 for the True-up Year is updated using actual data</t>
  </si>
  <si>
    <t>Utilizing a 13-month average.              [C] Taken to Attachment 11, Page 2, Col. 6</t>
  </si>
  <si>
    <t>Other Rate Base Items</t>
  </si>
  <si>
    <t>Attachment 8, Line 14, Col. 1</t>
  </si>
  <si>
    <t>Attachment 8, Line 14, Col. 6</t>
  </si>
  <si>
    <t>3a</t>
  </si>
  <si>
    <t>Actual Revenues for Attachment 11</t>
  </si>
  <si>
    <t>1d</t>
  </si>
  <si>
    <t>112.3.c</t>
  </si>
  <si>
    <t>207.98.g</t>
  </si>
  <si>
    <t>[G]</t>
  </si>
  <si>
    <t>CIAC</t>
  </si>
  <si>
    <t>Incremental Return and incomes taxes for increase in ROE</t>
  </si>
  <si>
    <t>Incremental Return and incomes taxes for increase in ROE divided by rate base</t>
  </si>
  <si>
    <t>page 1 of 6</t>
  </si>
  <si>
    <t>page 6 of 6</t>
  </si>
  <si>
    <t>page 5 of 6</t>
  </si>
  <si>
    <t>page 4 of 6</t>
  </si>
  <si>
    <t>page 3 of 6</t>
  </si>
  <si>
    <t>Prepayments shall exclude prepayments of income taxes.</t>
  </si>
  <si>
    <t xml:space="preserve">ADJUSTMENTS TO RATE BASE  </t>
  </si>
  <si>
    <t>(table 2, col. cc)</t>
  </si>
  <si>
    <t>(col. g/col. g total)</t>
  </si>
  <si>
    <t>((col e. * col. F)/12)</t>
  </si>
  <si>
    <t>(line 10 divided by line 2, col. 3)</t>
  </si>
  <si>
    <t>[A] [C]</t>
  </si>
  <si>
    <t>Asset Retirement Costs</t>
  </si>
  <si>
    <t>cost per labor dollar (line 3 / line 4)</t>
  </si>
  <si>
    <t>PBOP Expense for current year (line 5 * line 6)</t>
  </si>
  <si>
    <t xml:space="preserve"> Transmission Ending</t>
  </si>
  <si>
    <t>ADIT-283 From Account Subtotal Below</t>
  </si>
  <si>
    <t>ADIT-190 From Account Subtotal Below</t>
  </si>
  <si>
    <t>ADIT-281 From Account Subtotal Below</t>
  </si>
  <si>
    <t>ADIT-255 From Account Subtotal Below</t>
  </si>
  <si>
    <t>Total Transmission Ending</t>
  </si>
  <si>
    <t>From column F (beginning on page 2)</t>
  </si>
  <si>
    <t>From column G (beginning on page 2)</t>
  </si>
  <si>
    <t>(Note F)</t>
  </si>
  <si>
    <t>Total (sum rows 1-5)</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</si>
  <si>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</si>
  <si>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</si>
  <si>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</si>
  <si>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</si>
  <si>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 xml:space="preserve">Total FirstEnergy PBOP expenses </t>
  </si>
  <si>
    <t>Labor dollars (FirstEnergy)</t>
  </si>
  <si>
    <t>Company Records</t>
  </si>
  <si>
    <t>207.74.g</t>
  </si>
  <si>
    <t xml:space="preserve">GROSS REV. REQUIREMENT </t>
  </si>
  <si>
    <t>Reserve for Depreciation of Asset Retirement Costs</t>
  </si>
  <si>
    <t>Balance excludes Asset Retirements Costs</t>
  </si>
  <si>
    <t>Balance excludes reserve for depreciation of asset retirement costs</t>
  </si>
  <si>
    <t>From column E (beginning on page 2) by account</t>
  </si>
  <si>
    <t>page 2 of 6</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</si>
  <si>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</si>
  <si>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</si>
  <si>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</si>
  <si>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</si>
  <si>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</si>
  <si>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</si>
  <si>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</si>
  <si>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</si>
  <si>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</si>
  <si>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</si>
  <si>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Transmission Enhancement Charge (TEC) Worksheet</t>
  </si>
  <si>
    <t>TEC Worksheet Support</t>
  </si>
  <si>
    <t>TEC - True-up</t>
  </si>
  <si>
    <t>205.44.g</t>
  </si>
  <si>
    <t>[D] Company records</t>
  </si>
  <si>
    <t>Removes transmission plant determined by Commission order to be state-jurisdictional according to the seven-factor test (until Form 1 balances are adjusted to reflect application of seven-factor test).</t>
  </si>
  <si>
    <t>Col d, line 2 / Col. d, line 3</t>
  </si>
  <si>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</si>
  <si>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Lines 3-4 cannot change absent a Section 205 or 206 filing approved or accepted by FERC in a separate proceeding</t>
  </si>
  <si>
    <t>COLUMN A</t>
  </si>
  <si>
    <t>COLUMN B</t>
  </si>
  <si>
    <t>COLUMN C</t>
  </si>
  <si>
    <t>COLUMN D</t>
  </si>
  <si>
    <t>COLUMN E</t>
  </si>
  <si>
    <t>COLUMN F</t>
  </si>
  <si>
    <t>Description</t>
  </si>
  <si>
    <t>ARAM</t>
  </si>
  <si>
    <t>Protected (P)  Non-Protected (N)</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</si>
  <si>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</si>
  <si>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</si>
  <si>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</si>
  <si>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</si>
  <si>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</si>
  <si>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</si>
  <si>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</si>
  <si>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</si>
  <si>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</si>
  <si>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</si>
  <si>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</si>
  <si>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</si>
  <si>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</si>
  <si>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</si>
  <si>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</si>
  <si>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</si>
  <si>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</si>
  <si>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</si>
  <si>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</si>
  <si>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</si>
  <si>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</si>
  <si>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</si>
  <si>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</si>
  <si>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</si>
  <si>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</si>
  <si>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</si>
  <si>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</si>
  <si>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</si>
  <si>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</si>
  <si>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</si>
  <si>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</si>
  <si>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</si>
  <si>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</si>
  <si>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</si>
  <si>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Summary of Transmission ADIT (Prior to adjusted items)</t>
  </si>
  <si>
    <t>(page 1, Col. K)</t>
  </si>
  <si>
    <t>(col. 2 + col. 3) (Note E)</t>
  </si>
  <si>
    <t>Total Transmission Ending taken to Attachment 5, line 2</t>
  </si>
  <si>
    <t>Years Remaining at Year End</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</si>
  <si>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</si>
  <si>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</si>
  <si>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</si>
  <si>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</si>
  <si>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</si>
  <si>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Attachment 6, Line 11 (Note C)</t>
  </si>
  <si>
    <t>1. Attachment 5b will only be populated within the PTRR</t>
  </si>
  <si>
    <t>354.24, 354.25, 354.26.b</t>
  </si>
  <si>
    <t>Normalization [F]</t>
  </si>
  <si>
    <t>[F]</t>
  </si>
  <si>
    <t>Sourced from Attachment 5b, page 1, col. O for PTRR &amp; Attachment 5C, page 2, col. O for ATRR</t>
  </si>
  <si>
    <t>Attachment 5, Line 1, Col. 1 (Notes C, F)</t>
  </si>
  <si>
    <t>Attachment 5, Line 1, Col. 3 (Notes C, F)</t>
  </si>
  <si>
    <t>Attachment 5, Line 1, Col. 4 (Notes C, F)</t>
  </si>
  <si>
    <t>Attachment 5, Line 1, Col. 5 (Notes C, F)</t>
  </si>
  <si>
    <t>Col. A + Col. B</t>
  </si>
  <si>
    <t xml:space="preserve">(Col. A * Col. D) + (Col. B * Col. E) </t>
  </si>
  <si>
    <t>Line 1= A-E-F                               Lines 2-3= -A+E+F</t>
  </si>
  <si>
    <t>Line 5= H-M-O                               Lines 6-7= -H+M+O</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</si>
  <si>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</si>
  <si>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</si>
  <si>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</si>
  <si>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</si>
  <si>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</si>
  <si>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</si>
  <si>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</si>
  <si>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</si>
  <si>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</si>
  <si>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</si>
  <si>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</si>
  <si>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</si>
  <si>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</si>
  <si>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</si>
  <si>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</si>
  <si>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</si>
  <si>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</si>
  <si>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</si>
  <si>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</si>
  <si>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</si>
  <si>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</si>
  <si>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</si>
  <si>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</si>
  <si>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</si>
  <si>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</si>
  <si>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</si>
  <si>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</si>
  <si>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</si>
  <si>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</si>
  <si>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</si>
  <si>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</si>
  <si>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</si>
  <si>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</si>
  <si>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</si>
  <si>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</si>
  <si>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</si>
  <si>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</si>
  <si>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</si>
  <si>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</si>
  <si>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Maintenance of General Plant</t>
  </si>
  <si>
    <t>Note: (1)</t>
  </si>
  <si>
    <t xml:space="preserve">cost per labor dollar </t>
  </si>
  <si>
    <t>Ending ADIT Balance Included in Formula Rate</t>
  </si>
  <si>
    <t>Normalization</t>
  </si>
  <si>
    <t>Other: [H]</t>
  </si>
  <si>
    <t>[H]</t>
  </si>
  <si>
    <t>Include any additional adjustments to ADIT items as may be recognized in the future to be proper for PTRR/ATRR calculation purposes.</t>
  </si>
  <si>
    <t>(A)</t>
  </si>
  <si>
    <t>PJM Bill</t>
  </si>
  <si>
    <t>Month</t>
  </si>
  <si>
    <t>-</t>
  </si>
  <si>
    <t>Attachment 13b line 26, col E</t>
  </si>
  <si>
    <t>Return with incentive adder</t>
  </si>
  <si>
    <t>Income Tax with incentive adder</t>
  </si>
  <si>
    <t>Line 22</t>
  </si>
  <si>
    <t>Line 33</t>
  </si>
  <si>
    <t>Return and income taxes without adder</t>
  </si>
  <si>
    <t>Excess and Deficient ADIT</t>
  </si>
  <si>
    <t>Income Tax Adjustments Worksheet</t>
  </si>
  <si>
    <t>COLUMN G</t>
  </si>
  <si>
    <t>COLUMN H</t>
  </si>
  <si>
    <t>(Excess)/Deficient ADIT Transmission - Beg Balance of Year
(Note B)</t>
  </si>
  <si>
    <t>Current Period Other Activity
(Note C)</t>
  </si>
  <si>
    <t>Amortization Period 
(Note D)</t>
  </si>
  <si>
    <t>Amortization
(Note E)</t>
  </si>
  <si>
    <t>(Excess)/Deficient ADIT Transmission - Ending Balance of Year
(Note F)
(Col. B + Col. C) - Col. F</t>
  </si>
  <si>
    <t>Non-property (Note A):</t>
  </si>
  <si>
    <t>Account 190</t>
  </si>
  <si>
    <t>Account 282</t>
  </si>
  <si>
    <t>Account 283</t>
  </si>
  <si>
    <t>Non-property gross up for Taxes</t>
  </si>
  <si>
    <t xml:space="preserve">Total Non-Property </t>
  </si>
  <si>
    <t>(Excess)/Deficient ADIT Transmission - Beginning Balance of Year
(Note B)</t>
  </si>
  <si>
    <t>Property (Note A):</t>
  </si>
  <si>
    <t>Amortized Excess/Deficient ADITs  (Note C)</t>
  </si>
  <si>
    <t>Total Non-Property &amp; Property Amortization, excluding gross up for taxes (Total of lines 1-3,6-8 and 11) (Note G)</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</si>
  <si>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</si>
  <si>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</si>
  <si>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</si>
  <si>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</si>
  <si>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</si>
  <si>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</si>
  <si>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Ending balance of year is the end of current year balance, as reflected on FERC Form No. 1, pages 232 (Account 182.3) and 278 (Account 254)</t>
  </si>
  <si>
    <t>Ln.</t>
  </si>
  <si>
    <t>Project ID</t>
  </si>
  <si>
    <t>Text Description</t>
  </si>
  <si>
    <t>January 31</t>
  </si>
  <si>
    <t>February 28/29</t>
  </si>
  <si>
    <t>March 31</t>
  </si>
  <si>
    <t>April 30</t>
  </si>
  <si>
    <t>May 31</t>
  </si>
  <si>
    <t>June 30</t>
  </si>
  <si>
    <t>July 31</t>
  </si>
  <si>
    <t>August 31</t>
  </si>
  <si>
    <t>September 30</t>
  </si>
  <si>
    <t>October 31</t>
  </si>
  <si>
    <t>November 30</t>
  </si>
  <si>
    <t>Average (a)</t>
  </si>
  <si>
    <t>[Placeholder 1]</t>
  </si>
  <si>
    <t>[Placeholder 2]</t>
  </si>
  <si>
    <t>Total CWIP in Rate Base</t>
  </si>
  <si>
    <t>Incentive ROE NITS Worksheet Support</t>
  </si>
  <si>
    <t>Additional Annual Allocation Factor for Income Taxes and Return</t>
  </si>
  <si>
    <t>Return and income taxes with ROE adder</t>
  </si>
  <si>
    <t>Plus any increased ROE adder incentive NITS</t>
  </si>
  <si>
    <t>Plus any increased ROE adder incentive TEC</t>
  </si>
  <si>
    <t>Sub-transmission balance from company records</t>
  </si>
  <si>
    <t xml:space="preserve">  Sub-Transmission</t>
  </si>
  <si>
    <t>ROE Basis Pts adder</t>
  </si>
  <si>
    <t>Sub-Transmission [D]</t>
  </si>
  <si>
    <t>Incremental return and income taxes</t>
  </si>
  <si>
    <t>Attach 2a Line 33 / Page 2, Line 14, Col. 5</t>
  </si>
  <si>
    <t>Attach 2a Line 22 / Page 2, Line 14, Col. 5</t>
  </si>
  <si>
    <t xml:space="preserve">  Unamortized Regulatory asset</t>
  </si>
  <si>
    <t xml:space="preserve">Sub-Transmission A&amp;G reduction percent </t>
  </si>
  <si>
    <t xml:space="preserve">Less Sub-Transmission A&amp;G </t>
  </si>
  <si>
    <r>
      <t xml:space="preserve">Tax Effect of Permanent Differences and AFUDC Equity </t>
    </r>
    <r>
      <rPr>
        <strike/>
        <sz val="12"/>
        <rFont val="Times New Roman"/>
        <family val="1"/>
      </rPr>
      <t xml:space="preserve"> </t>
    </r>
  </si>
  <si>
    <t xml:space="preserve">(Excess)/Deficient Deferred Income Taxes </t>
  </si>
  <si>
    <t>Line 37 / Line 38</t>
  </si>
  <si>
    <t>[8]</t>
  </si>
  <si>
    <t>Projected
Attachment 11
p 2 of 2, col. 15</t>
  </si>
  <si>
    <t>Actual
Attachment 11
p 2 of 2, col. 15</t>
  </si>
  <si>
    <t>Attachment 11, Page 2, Line 3, Col. 13</t>
  </si>
  <si>
    <t>1e</t>
  </si>
  <si>
    <t>1f</t>
  </si>
  <si>
    <t>ANNUAL ALLOCATION FACTOR CALCULATION (Note A)</t>
  </si>
  <si>
    <t>(Sum Col. 10 &amp; 12)</t>
  </si>
  <si>
    <t xml:space="preserve">(Sum Col. 13 &amp; 14) </t>
  </si>
  <si>
    <t>ROE Basis Pts Adder for Incentive Projects</t>
  </si>
  <si>
    <t>Total True-up Adjustment with Interest
Over/(Under)</t>
  </si>
  <si>
    <t xml:space="preserve">[A] [C] </t>
  </si>
  <si>
    <t>Monthly Amort. Expense</t>
  </si>
  <si>
    <t>Yearly Amort. Expense</t>
  </si>
  <si>
    <t>Beginning of Amortization Period</t>
  </si>
  <si>
    <t>Amortization Period (months)</t>
  </si>
  <si>
    <t>Project Name (A)</t>
  </si>
  <si>
    <t>Amortization Amount (B)</t>
  </si>
  <si>
    <t>Average (D)</t>
  </si>
  <si>
    <t>Return (E)</t>
  </si>
  <si>
    <t>Income Tax on Return (F)</t>
  </si>
  <si>
    <t>Revenue Requirement (G) (H)</t>
  </si>
  <si>
    <t>Year (C)</t>
  </si>
  <si>
    <t>Months Remaining at year beginning</t>
  </si>
  <si>
    <t>ROE Calculation</t>
  </si>
  <si>
    <t>Return and Taxes</t>
  </si>
  <si>
    <t>Return and Income taxes with ROE</t>
  </si>
  <si>
    <t>Annual Allocation Factor for Income taxes and Return (ROE)</t>
  </si>
  <si>
    <t>Incremental Return and Taxes</t>
  </si>
  <si>
    <t>Transmission [E]</t>
  </si>
  <si>
    <t>Distribution [F]</t>
  </si>
  <si>
    <t>Distribution amount includes sub-transmission</t>
  </si>
  <si>
    <t>Construction Work in Progress (b)</t>
  </si>
  <si>
    <t>(b) CWIP will not be included unless authorized by the Commission</t>
  </si>
  <si>
    <t>Project Gross Plant is the total capital investment for the project, including subsequent capital investments required to maintain the project in-service.  Utilizes a 13-month average.</t>
  </si>
  <si>
    <t>Transmission amount excludes sub-transmission</t>
  </si>
  <si>
    <t>FirstEnergy 2019 Actuarial Study</t>
  </si>
  <si>
    <t>FirstEnergy 2019 Actual: Company Records</t>
  </si>
  <si>
    <t>Source (B)</t>
  </si>
  <si>
    <t>Amortization Amount (C)</t>
  </si>
  <si>
    <t>Year (D)</t>
  </si>
  <si>
    <t>Yearly Amort. Expense (E)</t>
  </si>
  <si>
    <t>Average (F)</t>
  </si>
  <si>
    <t>(E)</t>
  </si>
  <si>
    <t>Cumulative Months Amortized by end of year</t>
  </si>
  <si>
    <t>Regulatory Asset Name (A)</t>
  </si>
  <si>
    <t>Annual MWh in AP Zone - Note B</t>
  </si>
  <si>
    <t>(B)</t>
  </si>
  <si>
    <t>(C)</t>
  </si>
  <si>
    <t>(D)</t>
  </si>
  <si>
    <t>NOTES</t>
  </si>
  <si>
    <t>Col. f - Col. g</t>
  </si>
  <si>
    <t>Col. h line 2x / Col. h line 3  * Col. j line 4</t>
  </si>
  <si>
    <t>Attachment 5, Line 1, Col. 2 (Notes C, F)</t>
  </si>
  <si>
    <t xml:space="preserve">Sourced from Attachment 5a, page 1, Lines 1-5, col. 4 </t>
  </si>
  <si>
    <t xml:space="preserve">     CIT=(T/(1-T)) * (1-(WCLTD/R)) =</t>
  </si>
  <si>
    <t xml:space="preserve">      1 / (1 - T) </t>
  </si>
  <si>
    <t>Company records</t>
  </si>
  <si>
    <t>FERC Account No. 190 is adjusted for the following items.</t>
  </si>
  <si>
    <t>NITS Charge Code (A)</t>
  </si>
  <si>
    <t>TEC Charge Code (A)</t>
  </si>
  <si>
    <t>True-up (B)</t>
  </si>
  <si>
    <t>Return with ROE</t>
  </si>
  <si>
    <t>Income Tax with ROE</t>
  </si>
  <si>
    <t>[C] Company records</t>
  </si>
  <si>
    <t>(A) Amounts represent a subset of the total PJM bill for the entire AP Zone</t>
  </si>
  <si>
    <t>The amortization of the tax reg asset/liability will occur through FERC income statement Accounts 410.1. and 411.1 for property and 410.1 for non-property</t>
  </si>
  <si>
    <t>Total Annual Allocation Factor for Income Taxes and Return (ROE)</t>
  </si>
  <si>
    <t>TOTAL GROSS PLANT (sum Lines 1-5)</t>
  </si>
  <si>
    <t>(Line 1- Line 7)</t>
  </si>
  <si>
    <t>(Line 2- Line 8)</t>
  </si>
  <si>
    <t>(Line 3 - Line 9)</t>
  </si>
  <si>
    <t>(Line 4 - Line 10)</t>
  </si>
  <si>
    <t>(Line 5 - Line 11)</t>
  </si>
  <si>
    <t>TOTAL NET PLANT (sum Lines 13-17)</t>
  </si>
  <si>
    <t>Attachment 7, Line 6z</t>
  </si>
  <si>
    <t>Total transmission plant  (page 2, Line 2, column 3)</t>
  </si>
  <si>
    <t>Transmission plant included in ISO rates  (Line 1 less Lines 2 &amp; 3)</t>
  </si>
  <si>
    <t>Percentage of transmission plant included in ISO Rates  (Line 4 divided by Line 1)</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</si>
  <si>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</si>
  <si>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</si>
  <si>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</si>
  <si>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</si>
  <si>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 xml:space="preserve">  Total  (sum Lines 12-15)</t>
  </si>
  <si>
    <t>(Line 17 / Line 20)</t>
  </si>
  <si>
    <t>(Line 16, col. 6)</t>
  </si>
  <si>
    <t xml:space="preserve">  Total  (sum Lines 17 - 19)</t>
  </si>
  <si>
    <t>General Note:  References to pages in this formulary rate are indicated as:  (page#, Line#, col.#)</t>
  </si>
  <si>
    <t>References to data from FERC Form 1 are indicated as:   #.y.x  (page, Line, column)</t>
  </si>
  <si>
    <t>Line 34 minus Attachment 2 Line 34</t>
  </si>
  <si>
    <t>Annual Allocation Factor for Income taxes and Return (scaled basis points adder)</t>
  </si>
  <si>
    <t>Total Annual Allocation Factor for Income Taxes and Return (scaled basis points adder)</t>
  </si>
  <si>
    <t>(page 4, Line 38)</t>
  </si>
  <si>
    <t>(page 4, Line 39)</t>
  </si>
  <si>
    <t>(page 4, Line 40)</t>
  </si>
  <si>
    <t>Return and Income taxes with scaled basis pts adder</t>
  </si>
  <si>
    <t xml:space="preserve">       where WCLTD=(page 4, Line 31) and R= (page 4, Line 34)</t>
  </si>
  <si>
    <t>Line 22 + Line 23</t>
  </si>
  <si>
    <t>Line 26 + Line 27</t>
  </si>
  <si>
    <t>Line 28 - Line 24</t>
  </si>
  <si>
    <t>Total  (sum Lines 31-33)</t>
  </si>
  <si>
    <t xml:space="preserve">  Less Sub-Transmission O&amp;M</t>
  </si>
  <si>
    <t>Gross Receipts</t>
  </si>
  <si>
    <t>4b</t>
  </si>
  <si>
    <t>4c</t>
  </si>
  <si>
    <t>Taxes Non-Functionalized to Transmission [B]</t>
  </si>
  <si>
    <t>Includes items that are not functionalized to transmission</t>
  </si>
  <si>
    <t xml:space="preserve">Gross Receipts and Taxes Non-Functionalized to Transmission </t>
  </si>
  <si>
    <t xml:space="preserve">        Gross Receipts and Taxes Non-Functionalized to Transmission </t>
  </si>
  <si>
    <t>Amortization of Regulatory Assets</t>
  </si>
  <si>
    <t>Amortization Account</t>
  </si>
  <si>
    <t>Attachment 19, Line 2, Col. K</t>
  </si>
  <si>
    <t>Annual allocation Factor is utilized to calculate the incremental income tax and return for a scaled basis points adder to the ROE and will be utilized only in the instance there exists Commission approved ROE incentive projects; else there will exist no incremental income tax and return.</t>
  </si>
  <si>
    <t>Utilize only in the instance there exists Commission approved ROE incentive projects</t>
  </si>
  <si>
    <t>ADIT Total Transmission-related only, including Plant &amp; Labor Related Transmission ADITs (prior to adjustments from notes below)</t>
  </si>
  <si>
    <t xml:space="preserve">                                      page 1 of 1</t>
  </si>
  <si>
    <t>O&amp;M and A&amp;G</t>
  </si>
  <si>
    <t>Transmission O&amp;M Expense</t>
  </si>
  <si>
    <t>A&amp;G Expense</t>
  </si>
  <si>
    <t>Attachment H-11A, Page 4, Line 7</t>
  </si>
  <si>
    <t>Attachment H-11A, page 2, Line 35, Col. 5</t>
  </si>
  <si>
    <t>Attachment H-11A, page 4, Line 30, Col. 6</t>
  </si>
  <si>
    <t>Attachment H-11A, page 4, Line 31, Col. 3</t>
  </si>
  <si>
    <t>Attachment H-11A, page 4, Line 32, Col. 3</t>
  </si>
  <si>
    <t>Attachment H-11A, page 4, Line 33, Col. 3</t>
  </si>
  <si>
    <t>Attachment H-11A, page 4, Line 34, Col. 3</t>
  </si>
  <si>
    <t>Attachment H-11A, page 4, Line 31, Col. 4</t>
  </si>
  <si>
    <t>Attachment H-11A, page 4, Line 32, Col. 4</t>
  </si>
  <si>
    <t>Attachment H-11A, page 4, Line 33, Col. 4</t>
  </si>
  <si>
    <t>Attachment H-11A, page 4, Line 31, Col. 5</t>
  </si>
  <si>
    <t>Attachment H-11A, page 4, Line 32, Col. 5</t>
  </si>
  <si>
    <t>Attachment H-11A, page 4, Line 33, Col. 5</t>
  </si>
  <si>
    <t>Line 17 will reflect the ROE, as reflected on Attachment H-11A, Page 4, Line 33, Col. 5</t>
  </si>
  <si>
    <t>Attachment H-11A, page 4, Line 33, Col. 5 plus 100 bps (Note A)</t>
  </si>
  <si>
    <t>Col. A*((Attachment H-11A, Page 4, Line 29, Col. 6) * Col. B/100+Attachment H-11A, Page 4, Line 24, Col. 6)</t>
  </si>
  <si>
    <t>Taken to Attachment H-11A, page 2, Lines 1-5, Col. 3</t>
  </si>
  <si>
    <t>Taken to Attachment H-11A, page 2, Lines 7-11, Col. 3</t>
  </si>
  <si>
    <t>Year-end balance with adjustments for FAS143, FAS106, FAS109, CIACs and normalization to populate Attachment H-11A, page 2, Lines 19-23, col. 3 for accounts 281, 282, 283, 190, and 255, respectively</t>
  </si>
  <si>
    <t>** This Total Weighted Average Debt Cost will be shown on page 4, line 31, column 5 of formula rate Attachment H-11A</t>
  </si>
  <si>
    <t>Attach. H-11A, p. 2, line 2, col. 5 (Note A)</t>
  </si>
  <si>
    <t>Attach. H-11A, p. 2, line 14, col. 5 (Note B)</t>
  </si>
  <si>
    <t>To be completed in conjunction with Attachment H-11A</t>
  </si>
  <si>
    <t>Page 2 Col. 6 *(Attachment H-11A, Page 4, line 29 *(Page 2, Col. 11/100))</t>
  </si>
  <si>
    <t xml:space="preserve">Gross Transmission Plant is that identified on page 2 line 2 of Attachment H-11A. </t>
  </si>
  <si>
    <t>Net Transmission Plant is that identified on page 2 line 14 of Attachment H-11A.</t>
  </si>
  <si>
    <t>Refers to Attachment H-11A, page 2, line 6, col. 4</t>
  </si>
  <si>
    <t>Refers to Attachment H-11A, page 4, line 16, col.6</t>
  </si>
  <si>
    <r>
      <t xml:space="preserve">(a) Average calculated as [Sum of Columns (C) through (O)] </t>
    </r>
    <r>
      <rPr>
        <sz val="12"/>
        <rFont val="Calibri"/>
        <family val="2"/>
      </rPr>
      <t>÷</t>
    </r>
    <r>
      <rPr>
        <sz val="12"/>
        <rFont val="Times New Roman"/>
        <family val="1"/>
      </rPr>
      <t xml:space="preserve"> 13.</t>
    </r>
  </si>
  <si>
    <t>True-up adjustment is calculated on the project true-up schedule, attachment 12 column J. Enter values in Col. 14 as negative</t>
  </si>
  <si>
    <t>Abandoned Plant</t>
  </si>
  <si>
    <t>Construction Work in Progress</t>
  </si>
  <si>
    <t>*  z = Average of monthly balances for months outstanding during the year (average of the balances for the 12 months of the year, with zero in months that the issuance is not outstanding in a month.).</t>
  </si>
  <si>
    <t>Sub-transmission includes assets below 100 kV, but which reside in transmission FERC accounts</t>
  </si>
  <si>
    <t>Enter Commission approved project specific ROE incentive basis points adder, which is a scaled factor against a 100 to derive the approved percentage adder</t>
  </si>
  <si>
    <t xml:space="preserve">  b. Bundled Sales for Resale</t>
  </si>
  <si>
    <t>Regulatory Assets</t>
  </si>
  <si>
    <t>(Note H)</t>
  </si>
  <si>
    <t>Col. A * Attachment H-11A, Page 4, Line 24, Col. 6</t>
  </si>
  <si>
    <t xml:space="preserve">Utilizes a 13-month average.   </t>
  </si>
  <si>
    <t>AGC Investment</t>
  </si>
  <si>
    <t>[9]</t>
  </si>
  <si>
    <r>
      <t xml:space="preserve">Equity Adj </t>
    </r>
    <r>
      <rPr>
        <sz val="12"/>
        <rFont val="Calibri"/>
        <family val="2"/>
        <scheme val="minor"/>
      </rPr>
      <t>[B]</t>
    </r>
  </si>
  <si>
    <r>
      <t xml:space="preserve">Renaissance Adj </t>
    </r>
    <r>
      <rPr>
        <sz val="12"/>
        <rFont val="Calibri"/>
        <family val="2"/>
        <scheme val="minor"/>
      </rPr>
      <t>[C]</t>
    </r>
  </si>
  <si>
    <t>(1) - (2) - (3) - (4) - (5) - (6) - (7)</t>
  </si>
  <si>
    <t>AGC’s capital structure adjustment per FERC Docket No. ER84-504-000</t>
  </si>
  <si>
    <t>Load expressed in MWh consistent with load used for billing under Schedule 1A for the AP Zone.  Data from RTO settlement systems for the calendar year prior to the rate year.</t>
  </si>
  <si>
    <t>Attachment 8, Line 14, Col. 3</t>
  </si>
  <si>
    <t xml:space="preserve">       Less Account 216.1, Renaissance Adj, AGC adj &amp; Goodwill</t>
  </si>
  <si>
    <t>Attachment 8, Line 14, Col. 2, 4, 5 &amp; 7</t>
  </si>
  <si>
    <t>Attachment 8, Line 14, Col. 8</t>
  </si>
  <si>
    <t>Includes only FICA, unemployment, highway, property, gross receipts, and other assessments charged in the current year.  Taxes related to income are excluded.  Gross receipts and taxes non-functionalized to Transmission are not included in transmission revenue requirement in the Rate Formula Template, since they are recovered elsewhere.</t>
  </si>
  <si>
    <t>Any actual ROE incentive must be approved by the Commission; therefore, Line will remain zero until a project(s) is granted a ROE incentive adder.</t>
  </si>
  <si>
    <t>3. Depreciation Rates (1)</t>
  </si>
  <si>
    <t>Attachment H -11A</t>
  </si>
  <si>
    <t>Revenues received pursuant to PJM Schedule 1A revenue allocation procedures for transmission service outside of the AP Zone during the year used to calculate rates under Attachment H-11A</t>
  </si>
  <si>
    <t>(Notes C &amp; D)</t>
  </si>
  <si>
    <t>(Attachment 15, Line 12, Col. F) (Notes C &amp; E)</t>
  </si>
  <si>
    <t xml:space="preserve">SFC's ROE is set to: </t>
  </si>
  <si>
    <t>TOTAL ACCUM. DEPRECIATION (sum Lines 7-11)</t>
  </si>
  <si>
    <t>TOTAL ADJUSTMENTS (sum Lines 19-27)</t>
  </si>
  <si>
    <t>WORKING CAPITAL (Note H)</t>
  </si>
  <si>
    <t xml:space="preserve">  Materials &amp; Supplies (Note G)</t>
  </si>
  <si>
    <t>TOTAL WORKING CAPITAL (sum Lines 31 - 33)</t>
  </si>
  <si>
    <t>RATE BASE (sum Lines 18, 28, 29, &amp; 34)</t>
  </si>
  <si>
    <t>Source Reference</t>
  </si>
  <si>
    <t>Total Capitalization</t>
  </si>
  <si>
    <t>Line 17 - ROE adder is a scaling factor to calculate the incremental return and income taxes, which will be utilized to calculate additional revenue requirement only in the instance there exists Commission approved ROE incentive projects.</t>
  </si>
  <si>
    <t>Rate of Return on Rate Base (ROR)</t>
  </si>
  <si>
    <t>Total Long-Term Debt</t>
  </si>
  <si>
    <t>Total Long-Term Debt (WCLTD)</t>
  </si>
  <si>
    <t>End Plant &amp; Labor Related Allocated to Transmission</t>
  </si>
  <si>
    <t>ADIT- 282 From Account Total Below</t>
  </si>
  <si>
    <t>ADIT- 282 From Account Subtotal Below</t>
  </si>
  <si>
    <t>Estimated Ending Balance (Before Adjustments)</t>
  </si>
  <si>
    <t>Actual Ending Balance (Before Adjustments)</t>
  </si>
  <si>
    <t>*sometimes referred to as Other Post-Employment Benefits, or "OPEB"</t>
  </si>
  <si>
    <t>To the extent transmission assets are transferred to KATCo, a proration factor will be applied on a percent of the transmission gross plant transferred</t>
  </si>
  <si>
    <t>Attachment H -11A, Attachment 14</t>
  </si>
  <si>
    <t>Text Description (b)</t>
  </si>
  <si>
    <t>Allocator utilized (f)</t>
  </si>
  <si>
    <t>Materials &amp; Supplies - FERC Account No. 154</t>
  </si>
  <si>
    <t>FERC Form No. 1 p.227.8.c &amp; 16.c</t>
  </si>
  <si>
    <t>Land held for Future Use - FERC Account No. 105</t>
  </si>
  <si>
    <r>
      <t>FERC Form No. 1 p.214.</t>
    </r>
    <r>
      <rPr>
        <b/>
        <sz val="12"/>
        <rFont val="Calibri"/>
        <family val="2"/>
        <scheme val="minor"/>
      </rPr>
      <t>x</t>
    </r>
    <r>
      <rPr>
        <sz val="12"/>
        <rFont val="Calibri"/>
        <family val="2"/>
        <scheme val="minor"/>
      </rPr>
      <t>.d</t>
    </r>
  </si>
  <si>
    <t>FERC Account No. 228.1 (d)</t>
  </si>
  <si>
    <t>FERC Account No. 228.2 (d)</t>
  </si>
  <si>
    <t>FERC Account No. 228.3 (d)</t>
  </si>
  <si>
    <t>FERC Account No. 228.4 (d)</t>
  </si>
  <si>
    <t>FERC Account No. 242 (d)</t>
  </si>
  <si>
    <t>Other Reserves (d)</t>
  </si>
  <si>
    <t>(a) Average calculated as [Sum of Columns (C) through (O)] ÷ 13</t>
  </si>
  <si>
    <t>(d) Line items listed are either partially or wholly allocated to transmission and monthly amounts includes transmission-related balance only</t>
  </si>
  <si>
    <t>(e) Prepayments shall exclude prepayments of income taxes</t>
  </si>
  <si>
    <t>(f) Allocator utilized are TE, TP, GP, WS, or EXCL. Any line item allocated by "EXCL" will only show year-end balances</t>
  </si>
  <si>
    <t>FERC A/C</t>
  </si>
  <si>
    <t>Title</t>
  </si>
  <si>
    <t>FERC Form No. 1 Citation</t>
  </si>
  <si>
    <t>FERC Form No. 1 Balance</t>
  </si>
  <si>
    <t>x</t>
  </si>
  <si>
    <t>TE Allocator</t>
  </si>
  <si>
    <t xml:space="preserve">Total Transmission </t>
  </si>
  <si>
    <t xml:space="preserve">To Revenue Req. </t>
  </si>
  <si>
    <t>Page 321.83.b</t>
  </si>
  <si>
    <t>Page 321.85.b</t>
  </si>
  <si>
    <t>Page 321.86.b</t>
  </si>
  <si>
    <t>Page 321.87.b</t>
  </si>
  <si>
    <t>Page 321.88.b</t>
  </si>
  <si>
    <t>Page 321.89.b</t>
  </si>
  <si>
    <t>Page 321.90.b</t>
  </si>
  <si>
    <t>Page 321.91.b</t>
  </si>
  <si>
    <t>Page 321.92.b</t>
  </si>
  <si>
    <t>Page 321.93.b</t>
  </si>
  <si>
    <t>Page 321.94.b</t>
  </si>
  <si>
    <t>Page 321.95.b</t>
  </si>
  <si>
    <t>Page 321.96.b</t>
  </si>
  <si>
    <t>Page 321.97.b</t>
  </si>
  <si>
    <t>Page 321.98.b</t>
  </si>
  <si>
    <t>Page 321.101.b</t>
  </si>
  <si>
    <t>Page 321.102.b</t>
  </si>
  <si>
    <t>Page 321.103.b</t>
  </si>
  <si>
    <t>Page 321.104.b</t>
  </si>
  <si>
    <t>Page 321.105.b</t>
  </si>
  <si>
    <t>Page 321.106.b</t>
  </si>
  <si>
    <t>Page 321.107.b</t>
  </si>
  <si>
    <t>Page 321.108.b</t>
  </si>
  <si>
    <t>Page 321.109.b</t>
  </si>
  <si>
    <t>Page 321.110.b</t>
  </si>
  <si>
    <t>Page 323.181.b</t>
  </si>
  <si>
    <t>Page 323.182.b</t>
  </si>
  <si>
    <t>Page 323.183.b</t>
  </si>
  <si>
    <t>Page 323.184.b</t>
  </si>
  <si>
    <t>Page 323.185.b</t>
  </si>
  <si>
    <t>Page 323.186.b</t>
  </si>
  <si>
    <t>Page 323.187.b</t>
  </si>
  <si>
    <t>Page 323.188.b</t>
  </si>
  <si>
    <t>Page 323.189.b</t>
  </si>
  <si>
    <t>Page 323.190.b</t>
  </si>
  <si>
    <t>Page 323.191.b</t>
  </si>
  <si>
    <t>Page 323.192.b</t>
  </si>
  <si>
    <t>Page 323.193.b</t>
  </si>
  <si>
    <t>Page 323.196.b</t>
  </si>
  <si>
    <t>OTHER REVENUE CREDITS</t>
  </si>
  <si>
    <t>SECTION 30.9 CREDITS</t>
  </si>
  <si>
    <t xml:space="preserve">(B) The PJM NITS &amp; TEC charges will include a true-up for the (over)/under recovery from a prior rate period. The total without true-up for NITS and TEC will be taken to Attachment 12 and Attachment 13 respectively. </t>
  </si>
  <si>
    <t>Other (C)</t>
  </si>
  <si>
    <t xml:space="preserve">Other </t>
  </si>
  <si>
    <t>Firm Point-to-Point</t>
  </si>
  <si>
    <t>Remaining Total Company excluding 100% Non-Tx and 100% Tx</t>
  </si>
  <si>
    <t>Allocated to Transmission</t>
  </si>
  <si>
    <t>(K)</t>
  </si>
  <si>
    <t>Transmission Exclusions (a) (d)</t>
  </si>
  <si>
    <t>The SFCs shall not seek to recover any O&amp;M and A&amp;G costs associated with cancelled projects without seeking Commission approval.</t>
  </si>
  <si>
    <t>100% Non-Transmission (b)</t>
  </si>
  <si>
    <t>(7)</t>
  </si>
  <si>
    <t>3d</t>
  </si>
  <si>
    <t>(page 4, Line 41)</t>
  </si>
  <si>
    <t>(page 4, Line 42)</t>
  </si>
  <si>
    <t>Line 2/ Attachment 20, Line 26, Col C</t>
  </si>
  <si>
    <t>Attachment 20, Line 26, Col. G</t>
  </si>
  <si>
    <t>Line 4 * Page 4, Line 16, Col. 6 * (Attachment 20, Line 41, Col C minus Attachment 20, Line 41, Col D)</t>
  </si>
  <si>
    <t>TOTAL O&amp;M and A&amp;G (sum Lines 1,3,6,7,8 less Lines 2,5)</t>
  </si>
  <si>
    <t>TOTAL DEPRECIATION (sum Lines 10, 11, 13 less 12)</t>
  </si>
  <si>
    <t>TOTAL OTHER TAXES (sum Lines 15 - 21)</t>
  </si>
  <si>
    <t xml:space="preserve">      1 / (1 - T)  (from Line 23)</t>
  </si>
  <si>
    <t>Income Tax Calculation = Line 24 * Line 34</t>
  </si>
  <si>
    <t>ITC adjustment (Line 25 * Line 26)</t>
  </si>
  <si>
    <t>Permanent Differences and AFUDC Equity Tax Adjustment (Line 25 * Line 27)</t>
  </si>
  <si>
    <t>(Excess)/Deficient Deferred Income Tax Adjustment (Line 25 * Line 28)</t>
  </si>
  <si>
    <t>sum Lines 29 through 32</t>
  </si>
  <si>
    <t>PBOP Expense Adjustment in Year</t>
  </si>
  <si>
    <t>(sum Lines 35, 36, 37)</t>
  </si>
  <si>
    <t>Page 3, Line 33, Col. 5 / Page 2, Line 14, Col. 5</t>
  </si>
  <si>
    <t>Page 3, Line 34, Col. 5 / Page 2, Line 14, Col. 5</t>
  </si>
  <si>
    <t>Attachment 20, Line 41, Col. J</t>
  </si>
  <si>
    <t>40 a</t>
  </si>
  <si>
    <t>40 b</t>
  </si>
  <si>
    <t>True-Up Adj.</t>
  </si>
  <si>
    <t>Compounding</t>
  </si>
  <si>
    <t>Principle Amortization</t>
  </si>
  <si>
    <t>Interest Amortization</t>
  </si>
  <si>
    <t>Year 3 Monthly Amortization</t>
  </si>
  <si>
    <t>Total Amount Refunded/Surcharged</t>
  </si>
  <si>
    <t>True-Up Before Interest</t>
  </si>
  <si>
    <t>Interest Refunded/Surcharged</t>
  </si>
  <si>
    <t>(F)</t>
  </si>
  <si>
    <t>Year 1 True-Up Adjustment + Interest</t>
  </si>
  <si>
    <t>Year 2 True-Up Adjustment + Interest</t>
  </si>
  <si>
    <t>Year 3 True-Up Adjustment + Interest</t>
  </si>
  <si>
    <t>[a]</t>
  </si>
  <si>
    <t>[b]</t>
  </si>
  <si>
    <t>Base Over (Under) Recovery</t>
  </si>
  <si>
    <t>NITS Revenue Requirement True-up with Interest</t>
  </si>
  <si>
    <t>20-Months Average Interest Rate (a)</t>
  </si>
  <si>
    <t>Total Over (Under) Recovery plus True-Up with Interest</t>
  </si>
  <si>
    <t>(Line 1 - Line 8 + Line 9)</t>
  </si>
  <si>
    <t>GROSS REVENUE REQUIREMENT [page 3, Line 38, col 5]</t>
  </si>
  <si>
    <t>TOTAL REVENUE CREDITS (sum Lines 2-7)</t>
  </si>
  <si>
    <t>Transmission-related only.</t>
  </si>
  <si>
    <t>The revenues credited on page 1, Lines 2-6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its own reference.</t>
  </si>
  <si>
    <t>Prepayments - FERC Account No. 165 (d) (e)</t>
  </si>
  <si>
    <t xml:space="preserve">  Section 30.9 credits</t>
  </si>
  <si>
    <t xml:space="preserve">  Other Revenue credits</t>
  </si>
  <si>
    <t>On Page 4, Line 40, enter revenues from RTO settlements that are associated with NITS and firm Point-to-Point Service for which the load is not included in the divisor to derive AP Zonal rates.  Exclude non-firm Point-to-Point revenues and revenues related to RTEP projects, unless provisions per settlement agreement section 2.23 requires inclusion.</t>
  </si>
  <si>
    <t xml:space="preserve">BB </t>
  </si>
  <si>
    <t>Calculates using a 13-month average balance.</t>
  </si>
  <si>
    <t>The balances in accounts 190 281, 282, and 283 shall be adjusted for items as listed on Attachment 5.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J. Account 281 is not allocated.</t>
  </si>
  <si>
    <t>(Note S)</t>
  </si>
  <si>
    <t>Attachment 3, Line 14, Col. 1 (Notes T&amp;V)</t>
  </si>
  <si>
    <t>Attachment 3, Line 14, Col. 3 (Notes T&amp;V)</t>
  </si>
  <si>
    <t>Attachment 3, Line 14, Col. 4 (Notes T&amp;V)</t>
  </si>
  <si>
    <t>Attachment 3, Line 14, Col. 7 (Notes T&amp;V)</t>
  </si>
  <si>
    <t>Attachment 3, Line 14, Col. 5 &amp; 6 (Notes T&amp;V)</t>
  </si>
  <si>
    <t>Attachment 4, Line 14, Col. 1 (Notes T&amp;V)</t>
  </si>
  <si>
    <t>Attachment 4, Line 14, Col. 3 (Notes T&amp;V)</t>
  </si>
  <si>
    <t>Attachment 4, Line 14, Col. 4 (Notes T&amp;V)</t>
  </si>
  <si>
    <t>Attachment 4, Line 14, Col. 5 &amp; 6 (Notes T&amp;V)</t>
  </si>
  <si>
    <t>Attachment 4, Line 14, Col. 7 (Notes T&amp;V)</t>
  </si>
  <si>
    <t>(Company records, Note Y)</t>
  </si>
  <si>
    <t>TAXES OTHER THAN INCOME TAXES (Note I)</t>
  </si>
  <si>
    <t>(Note J)</t>
  </si>
  <si>
    <t>Attachment 2b, Line 2 (Note X)</t>
  </si>
  <si>
    <t>Attachment 11, Line 4, col 12 (Note X)</t>
  </si>
  <si>
    <t>Less transmission plant excluded from ISO rates  (Note L)</t>
  </si>
  <si>
    <t>Less transmission plant included in OATT Ancillary Services  (Note M )</t>
  </si>
  <si>
    <t>Total transmission expenses  (Attachment 20, Line 26, Col. C)</t>
  </si>
  <si>
    <t>Less transmission expenses included in OATT Ancillary Services  (Attachment 20, Line 2 plus Line 3 and Line 4, Col. C) (Note K)</t>
  </si>
  <si>
    <t>Proration (Note Z)</t>
  </si>
  <si>
    <t>(Note Z)</t>
  </si>
  <si>
    <t>COMMON PLANT ALLOCATOR  (CE)  (Note N)</t>
  </si>
  <si>
    <t xml:space="preserve">  Preferred Stock  (112.3d) (Attachment 8, Line 14, Col. 3) (Note BB)</t>
  </si>
  <si>
    <t xml:space="preserve">  Common Stock Attachment 8, Line 14, Col. 8) (Note BB)</t>
  </si>
  <si>
    <t>REVENUE CREDITS (Note AA)</t>
  </si>
  <si>
    <t>ACCOUNT 451 (MISCELLANEOUS SERVICE REVENUE) (Note R)</t>
  </si>
  <si>
    <t>ACCOUNT 454 (RENT FROM ELECTRIC PROPERTY)  (Note Q)</t>
  </si>
  <si>
    <t>ACCOUNT 456 (OTHER ELECTRIC REVENUE)  (Note U)</t>
  </si>
  <si>
    <t>Q</t>
  </si>
  <si>
    <t>R</t>
  </si>
  <si>
    <t>S</t>
  </si>
  <si>
    <t>T</t>
  </si>
  <si>
    <t>U</t>
  </si>
  <si>
    <t>V</t>
  </si>
  <si>
    <t>X</t>
  </si>
  <si>
    <t>Y</t>
  </si>
  <si>
    <t>Z</t>
  </si>
  <si>
    <t>AA</t>
  </si>
  <si>
    <t>Attachment H-11A, page 3, Line 23, Col. 3</t>
  </si>
  <si>
    <t>Attachment H-11A, page 3, Line 25, Col. 3</t>
  </si>
  <si>
    <t>Attachment H-11A, page 3, Line 26, Col. 3</t>
  </si>
  <si>
    <t>Attachment H-11A, page 3, Line 27, Col. 3</t>
  </si>
  <si>
    <t>Attachment H-11A, page 3, Line 28, Col. 3</t>
  </si>
  <si>
    <r>
      <t>Attachment H-11A, page 3, Line</t>
    </r>
    <r>
      <rPr>
        <strike/>
        <sz val="12"/>
        <rFont val="Arial"/>
        <family val="2"/>
      </rPr>
      <t xml:space="preserve"> </t>
    </r>
    <r>
      <rPr>
        <sz val="12"/>
        <rFont val="Arial"/>
        <family val="2"/>
      </rPr>
      <t>30, Col. 5</t>
    </r>
  </si>
  <si>
    <t>Attachment H-11A, page 3, Line 31, Col. 5</t>
  </si>
  <si>
    <t>Attachment H-11A, page 3, Line 32, Col. 5</t>
  </si>
  <si>
    <t>Attachment H-11A, Page 3, Line 34, Col. 5</t>
  </si>
  <si>
    <t>Attachment H-11A, Page 3, Line 33, Col. 5</t>
  </si>
  <si>
    <t>Attachment H-11A, page 3, Line 30, Col. 5</t>
  </si>
  <si>
    <t>Taken to Attachment H-11A, Page 3, Line 36, Col. 3</t>
  </si>
  <si>
    <t>PBOP Adjustment for Attachment H-11A, page 3, line 6 (line 7 - line 10)</t>
  </si>
  <si>
    <t>(table 2, col. gg)</t>
  </si>
  <si>
    <t>(Table 2, Col. kk)</t>
  </si>
  <si>
    <t>((col. gg/col. cc)*100)</t>
  </si>
  <si>
    <t>Transmission Enhancement Credit taken to Attachment H-11A, Page 1, Line 7, Col. 3</t>
  </si>
  <si>
    <t>Additional TEC Incentive Revenue taken to Attachment H-11A, Page 3, Line 37, Col. 3</t>
  </si>
  <si>
    <t>Project Depreciation Expense is the actual value booked for the project and included in the Depreciation Expense in Attachment H-11A, page 3, line 10.</t>
  </si>
  <si>
    <t>The amortization gross-up for taxes occurs on Attachment H-11A, page 3, line 32, Col. 3. ARO related EDIT shall not be included within the formula rate.</t>
  </si>
  <si>
    <t>Attach. H-11A, p. 3, line 9, col. 5</t>
  </si>
  <si>
    <t>Attach. H-11A, p. 3, lines 11 &amp; 13, col. 5</t>
  </si>
  <si>
    <t>Attach. H-11A, p. 3, line 22, col. 5</t>
  </si>
  <si>
    <t>Attach. H-11A, p. 3, line 33, col. 5</t>
  </si>
  <si>
    <t>Attach. H-11A, p. 3, line 34, col. 5</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</si>
  <si>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25).</t>
  </si>
  <si>
    <t>Page 4, Line 37 must equal zero since all short-term power sales must be unbundled and the transmission component reflected in Account No. 456.1 and all other uses are to be included in the divisor.</t>
  </si>
  <si>
    <t>(col. cc * col. ii)</t>
  </si>
  <si>
    <t>(kk)</t>
  </si>
  <si>
    <t>(entered on Attachment H-11A,
page 5 of 5, Note J)</t>
  </si>
  <si>
    <t>Attachment 14, Line 18, Col. P (Notes C &amp; V)</t>
  </si>
  <si>
    <t>Attachment 17, Line 3, Col P 216.b (Notes V &amp; W)</t>
  </si>
  <si>
    <t>Attachment 19, Line 2, Col. Y (Note V)</t>
  </si>
  <si>
    <t>(Note O)</t>
  </si>
  <si>
    <t>(Attachment 13, Line 47) enter negative</t>
  </si>
  <si>
    <t>See Attachment H-11A, page 5, note J; A utility that elected to utilize amortization of tax credits against taxable income, rather than book tax credits to Account No. 255 and reduce rate base, must reduce its income tax expense by the amount of the Amortized Investment Tax Credit (Form 1, 266.8.f).</t>
  </si>
  <si>
    <t>Total Interest (Sourced from Attachment 13a, line 46)</t>
  </si>
  <si>
    <t>Attachment 14, Line 4, Col. P (Note G)</t>
  </si>
  <si>
    <t>Attachment 14, Line 3, Col. P (Note V)</t>
  </si>
  <si>
    <t xml:space="preserve">Upon enactment of changes in tax law, income tax rates (federal, state)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</si>
  <si>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(C) Any charges shall be entered as positives and refunds shall be entered as negatives. Includes any necessary prior period adjustments including those identified through the discovery or challenge procedures, as defined within the protocols.</t>
  </si>
  <si>
    <t>(b) Sublines in Col. (A) could be added or removed  without a FPA Section 205 filing</t>
  </si>
  <si>
    <t>Upon a tax rate change (federal, state),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</si>
  <si>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42a</t>
  </si>
  <si>
    <t>Labor Related Revenues</t>
  </si>
  <si>
    <t>42b</t>
  </si>
  <si>
    <t>Plant Related Revenues</t>
  </si>
  <si>
    <t>42c</t>
  </si>
  <si>
    <t>Transmission Related Revenues</t>
  </si>
  <si>
    <t>42d</t>
  </si>
  <si>
    <t>Other</t>
  </si>
  <si>
    <t>W&amp;S</t>
  </si>
  <si>
    <t>[This line left intentionally blank]</t>
  </si>
  <si>
    <t>FERC Form No. 1, Page 356.1</t>
  </si>
  <si>
    <t>FERC Form No. 1, 336.7.b (Note T)</t>
  </si>
  <si>
    <t>FERC Form No. 1, 336.1.f &amp; 336.10.f (Note T)</t>
  </si>
  <si>
    <t>FERC Form No. 1, 336.11.b (Note T)</t>
  </si>
  <si>
    <t>Attachment 7, Line 1z</t>
  </si>
  <si>
    <t>Attachment 7, Line 2z</t>
  </si>
  <si>
    <t>Attachment 7, Line 3z</t>
  </si>
  <si>
    <t>Attachment 7, Line 4z</t>
  </si>
  <si>
    <t>Attachment 7, Line 5z</t>
  </si>
  <si>
    <t>FERC Form No. 1, 310-311</t>
  </si>
  <si>
    <t>FERC Form No. 1, 300.17.b</t>
  </si>
  <si>
    <t>FERC Form No. 1, 300.19.b</t>
  </si>
  <si>
    <t>FERC Form No. 1, 330.x.n</t>
  </si>
  <si>
    <t>Plant in Service, Accumulated Depreciation, and Depreciation Expense amounts exclude Asset Retirement Obligation amounts unless authorized by FERC. FERC account 405 – Amortization of Other Electric Plant amounts are excluded unless approved and authorized by FERC.</t>
  </si>
  <si>
    <t xml:space="preserve">The SFCs shall utilize a W/S allocator to the extent that it aligns with distribution treatment, to become effective following the filing of the Settlement in Docket No. ER21-253 with a sunset of three years.  After the sunset period, any revenue credits shall be credited to the formula rate template in the same manner as the underlying associated plant assets or expenses that generate the credits.  </t>
  </si>
  <si>
    <t>Attachment 5 - ADIT Summary, Line 2</t>
  </si>
  <si>
    <t>Attachment 5-ADIT Summary, Lines 3, 4, and 5</t>
  </si>
  <si>
    <t>(col. cc + col. dd - col. ee - col. ff)</t>
  </si>
  <si>
    <t>Note [b]</t>
  </si>
  <si>
    <r>
      <t>(Found using Excel Solver/Goal Seek</t>
    </r>
    <r>
      <rPr>
        <sz val="12"/>
        <color rgb="FFFF0000"/>
        <rFont val="Times New Roman"/>
        <family val="1"/>
      </rPr>
      <t>/or equivalent</t>
    </r>
    <r>
      <rPr>
        <sz val="12"/>
        <rFont val="Times New Roman"/>
        <family val="1"/>
      </rPr>
      <t>) Note [c]</t>
    </r>
  </si>
  <si>
    <t>Interest on any True-up shall be based on the interest rate equal to the interest rate determined by 18 C.F.R. § 35.19a and published on the FERC website. Interest rates will be used to calculate the time value of money for the period that the True-up exists. The interest rate to be applied to the True-up will be determined using the average rate for the twenty (20) months preceding September 1 of the current year.  Interest on refunds and surcharges shall be compounded on a quarterly basis.</t>
  </si>
  <si>
    <t>The ATRR is used to compare against the billed revenue in the true-up calculation. This calculation excludes prior year true-up amounts.</t>
  </si>
  <si>
    <t>[c]</t>
  </si>
  <si>
    <t>The goal is to determine the value to input in Col. (D), Line 28 such that the value in in Col. (D), line 41 becomes zero.  For example, using Excel's Goal Seek function, the goal would be to set Excel cell G64 to 0 by changing only Excel cell G48.</t>
  </si>
  <si>
    <t>FERC Form No. 1, p.111.57.c &amp; d</t>
  </si>
  <si>
    <t>Unfunded Reserve</t>
  </si>
  <si>
    <t>(c) Included as a credit to rate base on Attachment H-11A, page 2, lines 24. Enter credit balances as negatives</t>
  </si>
  <si>
    <t>(A) Only projects approved by the Commission will be included.</t>
  </si>
  <si>
    <t>(A) Only Regulatory Assets approved by the Commission will be included.</t>
  </si>
  <si>
    <t>(B) Regulatory asset references to be noted based on FERC Page. Row. Col.#.</t>
  </si>
  <si>
    <t>(C) Amortization Amount to be entered at year 0. For all future years, the beginning amount will be the ending balance from the previous year.</t>
  </si>
  <si>
    <t>(D) Enter the year of amortization starting with 0 and increment by 1 for every subsequent year until the amortization period ends.</t>
  </si>
  <si>
    <t>(E) Total Yearly amortization expense from Col. (K) line 2 will be taken to Attachment H-11A, page 3, line 8, Col.3 when the amortization begins. Until such time, Attachment H-11A, page 3, line 8, Col.3 will be 0.</t>
  </si>
  <si>
    <r>
      <t xml:space="preserve">(F) Includes only Regulatory assets that are designated to earn a return. Average calculated as [Sum of Columns (L) through (X)] </t>
    </r>
    <r>
      <rPr>
        <sz val="12"/>
        <rFont val="Calibri"/>
        <family val="2"/>
      </rPr>
      <t>÷</t>
    </r>
    <r>
      <rPr>
        <sz val="12"/>
        <rFont val="Times New Roman"/>
        <family val="1"/>
      </rPr>
      <t xml:space="preserve"> 13. Total from Col (Y) line 2 will be taken to Attachment H-11A, page 2, line 27, Col.3 when the amortization begins. Until such time, Attachment H-11A, page 2, line 27, Col.3 will be 0.</t>
    </r>
  </si>
  <si>
    <t>(B) Amortization Amount will be entered at year 0, although the actual amortization will only begin after Commission accepts or approves recovery of the cost of abandoned plant. For all subsequent years, the beginning amount will be the ending balance from the previous year.</t>
  </si>
  <si>
    <t>(C) Enter the year of amortization starting with 1 for the year the amortization begins and increment by 1 for every subsequent year until the amortization period ends.</t>
  </si>
  <si>
    <r>
      <t xml:space="preserve">(D) Average calculated as [Sum of Columns (B) through (N)] </t>
    </r>
    <r>
      <rPr>
        <sz val="12"/>
        <rFont val="Calibri"/>
        <family val="2"/>
      </rPr>
      <t>÷</t>
    </r>
    <r>
      <rPr>
        <sz val="12"/>
        <rFont val="Times New Roman"/>
        <family val="1"/>
      </rPr>
      <t xml:space="preserve"> 13.</t>
    </r>
  </si>
  <si>
    <t>(E) Column O * Attachment H-11A, page 4, line 34, col. 6.</t>
  </si>
  <si>
    <t>(F) Column P * Attachment H-11A, page 3, line 24, col 3.</t>
  </si>
  <si>
    <t>(G) Column A + Column P + Column Q.</t>
  </si>
  <si>
    <t>(H) Revenue Requirement will not be billed until the year the amortization begins. Once a project is fully amortized, it will be removed from this attachment and will have no revenue requirement.</t>
  </si>
  <si>
    <t xml:space="preserve"> 100% Transmission (c)</t>
  </si>
  <si>
    <t>All labor or expenses that are 100% non-transmission related to be excluded from transmission A&amp;G recovery</t>
  </si>
  <si>
    <t>All labor or expenses that are 100% transmission related to be included within transmission A&amp;G recovery</t>
  </si>
  <si>
    <t>Excluded costs specifically include, but are not limited to any amortization related to Regulatory Assets for which FERC approval has not been granted; EPRI dues; non-safety advertising included within 930.1; Regulatory commission expenses within FERC Account 928 that are directly assigned in total or portions allocated to distribution; FERC Account Nos. 561.4, 561.8, and 575.7 that consist of RTO expenses billed to load-serving entities and are not included in Transmission Owner revenue requirements; FERC Account No. 565 Transmission of Electricity by Others; and the Vegetation Management Surcharge Rider.</t>
  </si>
  <si>
    <t>Structure and Improvements</t>
  </si>
  <si>
    <t>Station Equipment - Other</t>
  </si>
  <si>
    <t>Station Eqiupment - SCADA</t>
  </si>
  <si>
    <t>Towers and Fixtures</t>
  </si>
  <si>
    <t>Poles and Fixtures</t>
  </si>
  <si>
    <t>Overhead Conductors &amp; Devices - Other</t>
  </si>
  <si>
    <t>Overhead Conductors &amp; Devices - Clearing</t>
  </si>
  <si>
    <t>Office Furniture &amp; Equipment - Furniture &amp; Fixtures</t>
  </si>
  <si>
    <t>Office Furniture &amp; Equipment - Information Systems</t>
  </si>
  <si>
    <t>Office Furniture &amp; Equipment - Data Handling</t>
  </si>
  <si>
    <t>Transportation Equipment - Autos</t>
  </si>
  <si>
    <t>Transportation Equipment - Light Trucks</t>
  </si>
  <si>
    <t>Transportation Equipment - Medium and Heavy Trucks</t>
  </si>
  <si>
    <t>Transportation Equipment - Trailers</t>
  </si>
  <si>
    <t xml:space="preserve">Earth Moving Equipment </t>
  </si>
  <si>
    <t>Transportation Equipment - ATV</t>
  </si>
  <si>
    <t>Storage equipment</t>
  </si>
  <si>
    <t>Tools, shop and garage equipment</t>
  </si>
  <si>
    <t>Power operated equipment</t>
  </si>
  <si>
    <t>Communication equipment</t>
  </si>
  <si>
    <t>Miscellaneous equipment</t>
  </si>
  <si>
    <t>Land and Land Rights - Easements</t>
  </si>
  <si>
    <t>The goal is to determine the value to input in Col. (D), Line 28 such that the value in Col. (D), line 41 becomes zero.  For example, using Excel's Goal Seek function, the goal would be to set Excel cell G64 to 0 by changing only Excel cell G48.</t>
  </si>
  <si>
    <t>(sum Lines 9, 14, 22, 33, 34)</t>
  </si>
  <si>
    <t>Rate Base (page 2, Line 35) * Rate of Return (page 4, Line 34, col. 6)</t>
  </si>
  <si>
    <t xml:space="preserve">  Unfunded Reserve</t>
  </si>
  <si>
    <t>As agreed to as part of the settlement of Docket No. ER21-253 and ER21-265, Cash Working Capital is a challengeable input that is capped at one-eighth of O&amp;M and A&amp;G allocated to transmission at page 3, Line 9, column 5 minus amortization of regulatory assets (page 3, Line 8, col. 5) unless supported by a fully-developed and reliable lead/lag study.  Interested parties will not challenge the input for the cash working capital allowance for three (3) rate years following the effective date of the ultimately settled formula, provided that the CWC input does not exceed the one-eighth cap.  In no case shall the calculation include service company depreciation expense in the cash working capital base.</t>
  </si>
  <si>
    <t>Laboratory equipment</t>
  </si>
  <si>
    <t>Attachment 14, Line 2, Col. P (Notes B &amp; V)</t>
  </si>
  <si>
    <t>WEST PENN POWER</t>
  </si>
  <si>
    <t>Underground Conductors and devices</t>
  </si>
  <si>
    <t>Land Rights</t>
  </si>
  <si>
    <t>Smart Meters Hardware</t>
  </si>
  <si>
    <t>Debt cost rate = Attachment 10, Column (j) total.  Preferred cost rate = preferred dividends (Line 30) / preferred outstanding (Line 32). No change in ROE may be made absent a filing with FERC under Section 205 or Section 206 of the Federal Power Act. The ROE consists of a base ROE of 9.95% and a 50 basis point adder for participation in an RTO as eligible and consistent with the terms of the Settlement Agreement in Docket No. ER21-253-000.</t>
  </si>
  <si>
    <t xml:space="preserve">  Long Term Debt  (112.18-21.c) (Attachment 8, Line 14, Col. 9) (Note BB) </t>
  </si>
  <si>
    <t>112.18-21.c</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</si>
  <si>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 Balance shall not include permanent differences in the income tax allowance calculations (other than Equity AFUDC) unless and until specific Commission approval is obtained to include such differences in a separate 205 proceeding.</t>
  </si>
  <si>
    <t>WPP-Depr % (WV)</t>
  </si>
  <si>
    <t>Structures and Improvements - Owned</t>
  </si>
  <si>
    <t>Arnold Service Center</t>
  </si>
  <si>
    <t>Boyce Service Center</t>
  </si>
  <si>
    <t>Butler Service Center</t>
  </si>
  <si>
    <t>Charleroi Service Center</t>
  </si>
  <si>
    <t>Clarion Service Center and Pole Yard</t>
  </si>
  <si>
    <t>Connellsville Conference Center</t>
  </si>
  <si>
    <t>Connellsville Hazardous material</t>
  </si>
  <si>
    <t>Connellsville meter lab and storehouse</t>
  </si>
  <si>
    <t>Connellsville covered storage and office</t>
  </si>
  <si>
    <t>Connellsville quonset storehouse</t>
  </si>
  <si>
    <t>Connellsville general and transformer shop</t>
  </si>
  <si>
    <t>Connellsville oil storage/water separator</t>
  </si>
  <si>
    <t>Connellsville garage</t>
  </si>
  <si>
    <t>Connellsville west side complex</t>
  </si>
  <si>
    <t>Dunbar Storage Facility</t>
  </si>
  <si>
    <t>Greenburg Corp Center A Wing</t>
  </si>
  <si>
    <t>Greenburg Corp Center B Wing</t>
  </si>
  <si>
    <t>Greenburg Corp Center C Wing</t>
  </si>
  <si>
    <t>Greenburg Corp Center Main building</t>
  </si>
  <si>
    <t>Greenburg Corp Center Parking garage</t>
  </si>
  <si>
    <t>Jeanette Service Center</t>
  </si>
  <si>
    <t>Jeanette Service Center garage</t>
  </si>
  <si>
    <t>Jefferson Service Center</t>
  </si>
  <si>
    <t>Kittanning Service Center</t>
  </si>
  <si>
    <t>Kittanning Service Center garage</t>
  </si>
  <si>
    <t>Latrobe Service Center</t>
  </si>
  <si>
    <t>McConnellsburg Service Center</t>
  </si>
  <si>
    <t>Pleasant Valley Service Center</t>
  </si>
  <si>
    <t>St. Marys Service Center</t>
  </si>
  <si>
    <t>St. Marys Service Center garage</t>
  </si>
  <si>
    <t>State College Service Center garage</t>
  </si>
  <si>
    <t>Washington Service Center</t>
  </si>
  <si>
    <t>Waynesboro Service Center</t>
  </si>
  <si>
    <t>Waynesboro Service Center garage</t>
  </si>
  <si>
    <t>Minor Structures</t>
  </si>
  <si>
    <t>Calculates using a 13-month average balance. The Capitalization ratio for a capital component is the ratio of that component's capitalization to total company capitalization, subject to a total equity ceiling (i.e., preferred and common equity) of 56%</t>
  </si>
  <si>
    <t>Actual equity capitalization:</t>
  </si>
  <si>
    <t>WEST PENN POWER Labor: Company Records</t>
  </si>
  <si>
    <t>WEST PENN POWER Account 926: Company Records</t>
  </si>
  <si>
    <t>Renaissance issued securitized debt in 2007and the proceeds were distributed up to West Penn Power in the form of a dividend.  The balance in account 216.1 related to Renaissance does not require exclusion as there is an offsetting amount in account 216 and therefore no impact on total equity.</t>
  </si>
  <si>
    <t>Account 303 amortization period is 7 years.  Depreciation/amortization rates listed as agreed to as part of the settlement of Docket No. ER21-253 for transmission formula rate purposes.</t>
  </si>
  <si>
    <t>For the 12 months ended 12/31/2022</t>
  </si>
  <si>
    <t>FICA</t>
  </si>
  <si>
    <t>Federal Unemployment Tax</t>
  </si>
  <si>
    <t>PA Unemployment Tax</t>
  </si>
  <si>
    <t>Federal Heavy Vehicle Use</t>
  </si>
  <si>
    <t>Pennsylvania Local Realty Tax</t>
  </si>
  <si>
    <t>WV Local Property Tax</t>
  </si>
  <si>
    <t>Gross Receipts Tax</t>
  </si>
  <si>
    <t>Sales &amp; Use Tax</t>
  </si>
  <si>
    <t>Real Estate Tax - PA</t>
  </si>
  <si>
    <t>Prepayments</t>
  </si>
  <si>
    <t>Accumulated Provision for injuries and damages</t>
  </si>
  <si>
    <t>Accumulated Provision for workers compensation</t>
  </si>
  <si>
    <t>Misc current and accrued liability - emp incentive comp award</t>
  </si>
  <si>
    <t>Pennsylvania</t>
  </si>
  <si>
    <t>407.3</t>
  </si>
  <si>
    <t>Vegetation Management - 2021</t>
  </si>
  <si>
    <t>Vegetation Management 2013-2020</t>
  </si>
  <si>
    <t>(8)</t>
  </si>
  <si>
    <t>4.45%, Senior Unsecured Note</t>
  </si>
  <si>
    <t>3.34%, Senior Unsecured Note</t>
  </si>
  <si>
    <t>3.84%, Senior Unsecured Note</t>
  </si>
  <si>
    <t>4.09%, Senior Unsecured Note</t>
  </si>
  <si>
    <t>4.14%, Senior Unsecured Note</t>
  </si>
  <si>
    <t>4.22%, Senior Unsecured Note</t>
  </si>
  <si>
    <t>5.29%, Senior Unsecured Note</t>
  </si>
  <si>
    <t>Install a steel pole at the crossing of the Elrama to Woodville 138 kV line and the Peters to Bethel Park 138 kV line</t>
  </si>
  <si>
    <t>b1022.11</t>
  </si>
  <si>
    <t>Add static capacitors at South Fayette 138 kV</t>
  </si>
  <si>
    <t>b1022.5</t>
  </si>
  <si>
    <t>Replace four Yukon 500/138 kV transformers with three transformers with higher rating and reconfigure 500 kV bus</t>
  </si>
  <si>
    <t>b3006</t>
  </si>
  <si>
    <t>Upgrade terminal equipment at Yukon to increase rating on Yukon to Charleroi #2 138 kV line (New Yukon to Route 51 #4 138 kV line)</t>
  </si>
  <si>
    <t>b3011.2</t>
  </si>
  <si>
    <t>Upgrade terminal equipment at Yukon to increase rating on Yukon to Route 51 #3 138 kV line</t>
  </si>
  <si>
    <t>b3011.5</t>
  </si>
  <si>
    <t>Reconductor the Charleroi –Allenport 138KV Line with 954 ACSR Conductor, Replace Breaker Risers at Charleroi and Allenport</t>
  </si>
  <si>
    <t>b2965</t>
  </si>
  <si>
    <t>(Page 3, Line 9 minus Page 3, Line 8 minus (SC depr expense*Page 4, Line 16))/8</t>
  </si>
  <si>
    <t>Reconciliation Revenue Requirement For Year 2022 Available June 15, 2023</t>
  </si>
  <si>
    <t>2022 Revenue Requirement Collected by PJM Based on Forecast filed on Oct 31, 2021</t>
  </si>
  <si>
    <t>An over or under collection will be recovered prorata over 2022, held for 2023 and returned prorate over 2024</t>
  </si>
  <si>
    <t>FAS 112 - Medical Benefit Accrual</t>
  </si>
  <si>
    <t>Deferred Charge-EIB</t>
  </si>
  <si>
    <t>State Income Tax Deductible</t>
  </si>
  <si>
    <t>3e</t>
  </si>
  <si>
    <t>3f</t>
  </si>
  <si>
    <t>1g</t>
  </si>
  <si>
    <t>1h</t>
  </si>
  <si>
    <t>1i</t>
  </si>
  <si>
    <t>1j</t>
  </si>
  <si>
    <t>1k</t>
  </si>
  <si>
    <t>1l</t>
  </si>
  <si>
    <t>1m</t>
  </si>
  <si>
    <t>1n</t>
  </si>
  <si>
    <t>1o</t>
  </si>
  <si>
    <t>1p</t>
  </si>
  <si>
    <t>1q</t>
  </si>
  <si>
    <t>1r</t>
  </si>
  <si>
    <t>1s</t>
  </si>
  <si>
    <t>1t</t>
  </si>
  <si>
    <t>1u</t>
  </si>
  <si>
    <t>1v</t>
  </si>
  <si>
    <t>1w</t>
  </si>
  <si>
    <t>N &amp; P</t>
  </si>
  <si>
    <t>PA Rate Items:</t>
  </si>
  <si>
    <t>1.1a</t>
  </si>
  <si>
    <t>1.1b</t>
  </si>
  <si>
    <t>1.1c</t>
  </si>
  <si>
    <t>1.1d</t>
  </si>
  <si>
    <t>1.1e</t>
  </si>
  <si>
    <t>1.1f</t>
  </si>
  <si>
    <t>1.1g</t>
  </si>
  <si>
    <t>1.1h</t>
  </si>
  <si>
    <t>1.1i</t>
  </si>
  <si>
    <t>1.1j</t>
  </si>
  <si>
    <t>1.1k</t>
  </si>
  <si>
    <t>1.1l</t>
  </si>
  <si>
    <t>1.1m</t>
  </si>
  <si>
    <t>1.1n</t>
  </si>
  <si>
    <t>1.1o</t>
  </si>
  <si>
    <t>1.1p</t>
  </si>
  <si>
    <t>1.1q</t>
  </si>
  <si>
    <t>1.1r</t>
  </si>
  <si>
    <t>Accrued Taxes: FICA on Vacation Accrual - TCJA 2017</t>
  </si>
  <si>
    <t>Accrued Taxes: Tax Audit Reserves - TCJA 2017</t>
  </si>
  <si>
    <t>Accum Prov For Inj and Damage-Gen Liability - TCJA 2017</t>
  </si>
  <si>
    <t>Accum Prov For Inj and Damage-Workers Comp - TCJA 2017</t>
  </si>
  <si>
    <t>Accum Prov: Asbestos Accrual - TCJA 2017</t>
  </si>
  <si>
    <t>Current Liability: Healthcare IBNR Reserve - TCJA 2017</t>
  </si>
  <si>
    <t>Deferred Compensation Expense - TCJA 2017</t>
  </si>
  <si>
    <t>Environmental Liability - TCJA 2017</t>
  </si>
  <si>
    <t>FAS 112 - Medical Benefit Accrual - TCJA 2017</t>
  </si>
  <si>
    <t>FAS 123R - Performance Shares - TCJA 2017</t>
  </si>
  <si>
    <t>FAS 123R - Restricted Stock Units - TCJA 2017</t>
  </si>
  <si>
    <t>FAS 158 OPEB OCI Offset - TCJA 2017</t>
  </si>
  <si>
    <t>FE Service Timing Allocation - TCJA 2017</t>
  </si>
  <si>
    <t>Federal Long Term - Unprotected - TCJA 2017</t>
  </si>
  <si>
    <t>Federal Long Term - Protected - TCJA 2017</t>
  </si>
  <si>
    <t>Incentive Compensation - TCJA 2017</t>
  </si>
  <si>
    <t>NOL Deferred Tax Asset - LT NY - TCJA 2017</t>
  </si>
  <si>
    <t>NOL Deferred Tax Asset - LT PA - TCJA 2017</t>
  </si>
  <si>
    <t>NOL Deferred Tax Asset - LT WV - TCJA 2017</t>
  </si>
  <si>
    <t>Pension EDCP-SERP Payments - TCJA 2017</t>
  </si>
  <si>
    <t>Pensions Expense - TCJA 2017</t>
  </si>
  <si>
    <t>SC01 Timing Allocation - TCJA 2017</t>
  </si>
  <si>
    <t>Vacation Pay Accrual - TCJA 2017</t>
  </si>
  <si>
    <t>Accrued Taxes: FICA on Vacation Accrual-PA tax rate change 2022</t>
  </si>
  <si>
    <t>Accrued Taxes: Tax Audit Reserves-PA tax rate change 2022</t>
  </si>
  <si>
    <t>Accum Prov For Inj and Damage-Gen Liability-PA tax rate change 2022</t>
  </si>
  <si>
    <t>Accum Prov For Inj and Damage-Workers Comp-PA tax rate change 2022</t>
  </si>
  <si>
    <t>Current Liability: Healthcare IBNR Reserve-PA tax rate change 2022</t>
  </si>
  <si>
    <t>Deferred Compensation Expense-PA tax rate change 2022</t>
  </si>
  <si>
    <t>Environmental Liability-PA tax rate change 2022</t>
  </si>
  <si>
    <t>FAS 112 - Medical Benefit Accrual-PA tax rate change 2022</t>
  </si>
  <si>
    <t>FAS 123R - Performance Shares-PA tax rate change 2022</t>
  </si>
  <si>
    <t>FAS 123R - Restricted Stock Units-PA tax rate change 2022</t>
  </si>
  <si>
    <t>FAS 158 OPEB OCI Offset-PA tax rate change 2022</t>
  </si>
  <si>
    <t>FE Service Timing Allocation-PA tax rate change 2022</t>
  </si>
  <si>
    <t>Incentive Compensation-PA tax rate change 2022</t>
  </si>
  <si>
    <t>NOL Deferred Tax Asset - LT PA-PA tax rate change 2022</t>
  </si>
  <si>
    <t>Pension EDCP-SERP Payments-PA tax rate change 2022</t>
  </si>
  <si>
    <t>Pensions Expense-PA tax rate change 2022</t>
  </si>
  <si>
    <t>SC01 Timing Allocation-PA tax rate change 2022</t>
  </si>
  <si>
    <t>Vacation Pay Accrual-PA tax rate change 2022</t>
  </si>
  <si>
    <t>Deferred Charge-EIB- TCJA 2017</t>
  </si>
  <si>
    <t>Feb 2010 Storm Deferrals - LT- TCJA 2017</t>
  </si>
  <si>
    <t>Pension/OPEB : Other Def Cr. or Dr.- TCJA 2017</t>
  </si>
  <si>
    <t>Reverse Capital Gain- TCJA 2017</t>
  </si>
  <si>
    <t>State Income Tax Deductible- TCJA 2017</t>
  </si>
  <si>
    <t>Storm Damage- TCJA 2017</t>
  </si>
  <si>
    <t>3.1a</t>
  </si>
  <si>
    <t>3.1b</t>
  </si>
  <si>
    <t>3.1c</t>
  </si>
  <si>
    <t>Property Book-Tax Timing Difference - Account 190 - TCJA</t>
  </si>
  <si>
    <t>Property Book-Tax Timing Difference - Account 282 - TCJA</t>
  </si>
  <si>
    <t>Property Book-Tax Timing Difference - Account 283 - TCJA</t>
  </si>
  <si>
    <t>Property Gross up for Taxes - TCJA</t>
  </si>
  <si>
    <t>Property Book-Tax Timing Difference - Account 190 -PA Tax Rate Change</t>
  </si>
  <si>
    <t>Property Book-Tax Timing Difference - Account 282 -PA Tax Rate Change</t>
  </si>
  <si>
    <t>Property Book-Tax Timing Difference - Account 283 -PA Tax Rate Change</t>
  </si>
  <si>
    <t>Property Gross up for Taxes - PA Tax Rate Change</t>
  </si>
  <si>
    <t>Total Property (Total of lines 6 thru 13)</t>
  </si>
  <si>
    <t>Deferred Charge-EIB-PA tax rate change 2022</t>
  </si>
  <si>
    <t>Pension/OPEB : Other Def Cr. or Dr.-PA tax rate change 2022</t>
  </si>
  <si>
    <t>Storm Damage-PA tax rate change 2022</t>
  </si>
  <si>
    <t>Accrued Taxes</t>
  </si>
  <si>
    <t>Accum. Prov. For Injuries and Damages</t>
  </si>
  <si>
    <t>Employee Compensation</t>
  </si>
  <si>
    <t>FAS 123R Employee Compensation</t>
  </si>
  <si>
    <t>Federal Long Term</t>
  </si>
  <si>
    <t>FAS109</t>
  </si>
  <si>
    <t>Pension/OPEB</t>
  </si>
  <si>
    <t>Post Retirement Benefits FAS 106</t>
  </si>
  <si>
    <t>Service Company Timing</t>
  </si>
  <si>
    <t>Vacation Accrual</t>
  </si>
  <si>
    <t>Capitalized Interest</t>
  </si>
  <si>
    <t>Cost of Removal</t>
  </si>
  <si>
    <t>Property FAS109</t>
  </si>
  <si>
    <t>A&amp;G Expenses</t>
  </si>
  <si>
    <t>Accelerated Tax Depr</t>
  </si>
  <si>
    <t>AFUDC Debt</t>
  </si>
  <si>
    <t>Capital Vertical Tree Trimming</t>
  </si>
  <si>
    <t>Capitalized Pension</t>
  </si>
  <si>
    <t>Casualty Loss</t>
  </si>
  <si>
    <t>FAS123R Items</t>
  </si>
  <si>
    <t>Highway Relocations</t>
  </si>
  <si>
    <t>Meters and Transformers</t>
  </si>
  <si>
    <t>OPEB</t>
  </si>
  <si>
    <t>Other Basis Differences</t>
  </si>
  <si>
    <t>Tax Repairs</t>
  </si>
  <si>
    <t>R&amp;D Cost</t>
  </si>
  <si>
    <t>Property FAS109 Gross-up</t>
  </si>
  <si>
    <t>Page 232, line 4, Col. F</t>
  </si>
  <si>
    <t>PJM Receivable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</si>
</sst>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0_);\(0\)"/>
    <numFmt numFmtId="175" formatCode="#,##0.0000000"/>
    <numFmt numFmtId="176" formatCode="_(* #,##0_);_(* \(#,##0\);_(* &quot;-&quot;??_);_(@_)"/>
    <numFmt numFmtId="177" formatCode="0.000000%"/>
    <numFmt numFmtId="178" formatCode="_(&quot;$&quot;* #,##0.0000_);_(&quot;$&quot;* \(#,##0.0000\);_(&quot;$&quot;* &quot;-&quot;??_);_(@_)"/>
    <numFmt numFmtId="179" formatCode="0.00000_);\(0.00000\)"/>
    <numFmt numFmtId="180" formatCode="0.0000%"/>
    <numFmt numFmtId="181" formatCode="_(* #,##0.0000_);_(* \(#,##0.00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409]mmmm\ d\,\ yyyy;@"/>
    <numFmt numFmtId="188" formatCode="0.0%"/>
    <numFmt numFmtId="189" formatCode="&quot;$&quot;#,##0.0000_);[Red]\(&quot;$&quot;#,##0.0000\)"/>
  </numFmts>
  <fonts count="154">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u val="singleAccounting"/>
      <sz val="12"/>
      <name val="Arial"/>
      <family val="2"/>
    </font>
    <font>
      <strike/>
      <vertAlign val="superscript"/>
      <sz val="12"/>
      <name val="Arial"/>
      <family val="2"/>
    </font>
    <font>
      <vertAlign val="subscript"/>
      <sz val="10"/>
      <name val="Arial"/>
      <family val="2"/>
    </font>
    <font>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1"/>
      <name val="Calibri"/>
      <family val="2"/>
      <scheme val="minor"/>
    </font>
    <font>
      <b/>
      <sz val="12"/>
      <name val="Arial MT"/>
    </font>
    <font>
      <u/>
      <sz val="10"/>
      <name val="Arial"/>
      <family val="2"/>
    </font>
    <font>
      <b/>
      <u/>
      <sz val="12"/>
      <name val="Times New Roman"/>
      <family val="1"/>
    </font>
    <font>
      <b/>
      <sz val="10"/>
      <color rgb="FFFF0000"/>
      <name val="Arial"/>
      <family val="2"/>
    </font>
    <font>
      <b/>
      <sz val="10"/>
      <color indexed="10"/>
      <name val="Times New Roman"/>
      <family val="1"/>
    </font>
    <font>
      <b/>
      <sz val="12"/>
      <color rgb="FF0070C0"/>
      <name val="Times New Roman"/>
      <family val="1"/>
    </font>
    <font>
      <sz val="10"/>
      <color theme="1"/>
      <name val="Courier New"/>
      <family val="2"/>
    </font>
    <font>
      <b/>
      <u/>
      <sz val="12"/>
      <color theme="1"/>
      <name val="Times New Roman"/>
      <family val="1"/>
    </font>
    <font>
      <sz val="12"/>
      <color theme="1"/>
      <name val="Times New Roman"/>
      <family val="1"/>
    </font>
    <font>
      <strike/>
      <sz val="12"/>
      <name val="Arial"/>
      <family val="2"/>
    </font>
    <font>
      <b/>
      <sz val="12"/>
      <color theme="1"/>
      <name val="Calibri"/>
      <family val="2"/>
      <scheme val="minor"/>
    </font>
    <font>
      <sz val="10"/>
      <color theme="1"/>
      <name val="Calibri"/>
      <family val="2"/>
      <scheme val="minor"/>
    </font>
    <font>
      <sz val="12"/>
      <color theme="1"/>
      <name val="Calibri"/>
      <family val="2"/>
      <scheme val="minor"/>
    </font>
    <font>
      <u/>
      <sz val="10"/>
      <color theme="1"/>
      <name val="Calibri"/>
      <family val="2"/>
      <scheme val="minor"/>
    </font>
    <font>
      <sz val="10"/>
      <color rgb="FFFF0000"/>
      <name val="Calibri"/>
      <family val="2"/>
      <scheme val="minor"/>
    </font>
    <font>
      <b/>
      <sz val="10"/>
      <color theme="1"/>
      <name val="Calibri"/>
      <family val="2"/>
      <scheme val="minor"/>
    </font>
    <font>
      <b/>
      <sz val="12"/>
      <name val="Courier New"/>
      <family val="3"/>
    </font>
    <font>
      <sz val="12"/>
      <name val="Calibri"/>
      <family val="2"/>
    </font>
    <font>
      <b/>
      <strike/>
      <sz val="12"/>
      <name val="Arial"/>
      <family val="2"/>
    </font>
    <font>
      <sz val="12"/>
      <color theme="1"/>
      <name val="Calibri Light"/>
      <family val="2"/>
    </font>
    <font>
      <sz val="8"/>
      <name val="Segoe UI"/>
      <family val="2"/>
    </font>
    <font>
      <b/>
      <sz val="14"/>
      <name val="Times New Roman"/>
      <family val="1"/>
    </font>
    <font>
      <sz val="14"/>
      <name val="Calibri"/>
      <family val="2"/>
      <scheme val="minor"/>
    </font>
    <font>
      <b/>
      <sz val="14"/>
      <name val="Calibri"/>
      <family val="2"/>
      <scheme val="minor"/>
    </font>
    <font>
      <b/>
      <u/>
      <sz val="12"/>
      <name val="Calibri"/>
      <family val="2"/>
      <scheme val="minor"/>
    </font>
    <font>
      <b/>
      <sz val="12"/>
      <color rgb="FF0070C0"/>
      <name val="Calibri"/>
      <family val="2"/>
      <scheme val="minor"/>
    </font>
    <font>
      <sz val="12"/>
      <color theme="1"/>
      <name val="Arial Narrow"/>
      <family val="2"/>
    </font>
    <font>
      <sz val="12"/>
      <color theme="1"/>
      <name val="Arial"/>
      <family val="2"/>
    </font>
    <font>
      <sz val="11"/>
      <name val="Arial MT"/>
    </font>
    <font>
      <b/>
      <u/>
      <sz val="12"/>
      <color theme="1"/>
      <name val="Calibri"/>
      <family val="2"/>
      <scheme val="minor"/>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s>
  <borders count="4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4">
    <xf numFmtId="172" fontId="0" fillId="0" borderId="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4"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6" borderId="0" applyNumberFormat="0" applyBorder="0" applyAlignment="0" applyProtection="0"/>
    <xf numFmtId="0" fontId="53" fillId="4" borderId="0" applyNumberFormat="0" applyBorder="0" applyAlignment="0" applyProtection="0"/>
    <xf numFmtId="0" fontId="54" fillId="6"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8" borderId="0" applyNumberFormat="0" applyBorder="0" applyAlignment="0" applyProtection="0"/>
    <xf numFmtId="0" fontId="54" fillId="6" borderId="0" applyNumberFormat="0" applyBorder="0" applyAlignment="0" applyProtection="0"/>
    <xf numFmtId="0" fontId="54" fillId="3" borderId="0" applyNumberFormat="0" applyBorder="0" applyAlignment="0" applyProtection="0"/>
    <xf numFmtId="0" fontId="54" fillId="11"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5" fillId="15" borderId="0" applyNumberFormat="0" applyBorder="0" applyAlignment="0" applyProtection="0"/>
    <xf numFmtId="172" fontId="16" fillId="0" borderId="0" applyFill="0"/>
    <xf numFmtId="172" fontId="16" fillId="0" borderId="0">
      <alignment horizontal="center"/>
    </xf>
    <xf numFmtId="0" fontId="16" fillId="0" borderId="0" applyFill="0">
      <alignment horizontal="center"/>
    </xf>
    <xf numFmtId="172" fontId="17" fillId="0" borderId="1" applyFill="0"/>
    <xf numFmtId="0" fontId="18" fillId="0" borderId="0" applyFont="0" applyAlignment="0"/>
    <xf numFmtId="0" fontId="19" fillId="0" borderId="0" applyFill="0">
      <alignment vertical="top"/>
    </xf>
    <xf numFmtId="0" fontId="17" fillId="0" borderId="0" applyFill="0">
      <alignment horizontal="left" vertical="top"/>
    </xf>
    <xf numFmtId="172" fontId="20" fillId="0" borderId="2" applyFill="0"/>
    <xf numFmtId="0" fontId="18" fillId="0" borderId="0" applyNumberFormat="0" applyFont="0" applyAlignment="0"/>
    <xf numFmtId="0" fontId="19" fillId="0" borderId="0" applyFill="0">
      <alignment wrapText="1"/>
    </xf>
    <xf numFmtId="0" fontId="17" fillId="0" borderId="0" applyFill="0">
      <alignment horizontal="left" vertical="top" wrapText="1"/>
    </xf>
    <xf numFmtId="172" fontId="21" fillId="0" borderId="0" applyFill="0"/>
    <xf numFmtId="0" fontId="22" fillId="0" borderId="0" applyNumberFormat="0" applyFont="0" applyAlignment="0">
      <alignment horizontal="center"/>
    </xf>
    <xf numFmtId="0" fontId="23" fillId="0" borderId="0" applyFill="0">
      <alignment vertical="top" wrapText="1"/>
    </xf>
    <xf numFmtId="0" fontId="20" fillId="0" borderId="0" applyFill="0">
      <alignment horizontal="left" vertical="top" wrapText="1"/>
    </xf>
    <xf numFmtId="172" fontId="18" fillId="0" borderId="0" applyFill="0"/>
    <xf numFmtId="0" fontId="22" fillId="0" borderId="0" applyNumberFormat="0" applyFont="0" applyAlignment="0">
      <alignment horizontal="center"/>
    </xf>
    <xf numFmtId="0" fontId="24" fillId="0" borderId="0" applyFill="0">
      <alignment vertical="center" wrapText="1"/>
    </xf>
    <xf numFmtId="0" fontId="25" fillId="0" borderId="0">
      <alignment horizontal="left" vertical="center" wrapText="1"/>
    </xf>
    <xf numFmtId="172" fontId="26" fillId="0" borderId="0" applyFill="0"/>
    <xf numFmtId="0" fontId="22"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2" fontId="29" fillId="0" borderId="0" applyFill="0"/>
    <xf numFmtId="0" fontId="22"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2" fontId="32" fillId="0" borderId="0" applyFill="0"/>
    <xf numFmtId="0" fontId="22" fillId="0" borderId="0" applyNumberFormat="0" applyFont="0" applyAlignment="0">
      <alignment horizontal="center"/>
    </xf>
    <xf numFmtId="0" fontId="33" fillId="0" borderId="0">
      <alignment horizontal="center" wrapText="1"/>
    </xf>
    <xf numFmtId="0" fontId="29" fillId="0" borderId="0" applyFill="0">
      <alignment horizontal="center" wrapText="1"/>
    </xf>
    <xf numFmtId="0" fontId="56" fillId="16" borderId="3" applyNumberFormat="0" applyAlignment="0" applyProtection="0"/>
    <xf numFmtId="0" fontId="57" fillId="17" borderId="4" applyNumberFormat="0" applyAlignment="0" applyProtection="0"/>
    <xf numFmtId="43" fontId="18" fillId="0" borderId="0" applyFont="0" applyFill="0" applyBorder="0" applyAlignment="0" applyProtection="0"/>
    <xf numFmtId="43" fontId="66" fillId="0" borderId="0" applyFont="0" applyFill="0" applyBorder="0" applyAlignment="0" applyProtection="0"/>
    <xf numFmtId="43" fontId="2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59" fillId="0" borderId="0" applyNumberFormat="0" applyFill="0" applyBorder="0" applyAlignment="0" applyProtection="0"/>
    <xf numFmtId="2" fontId="18" fillId="0" borderId="0" applyFont="0" applyFill="0" applyBorder="0" applyAlignment="0" applyProtection="0"/>
    <xf numFmtId="0" fontId="60" fillId="6" borderId="0" applyNumberFormat="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61" fillId="0" borderId="5" applyNumberFormat="0" applyFill="0" applyAlignment="0" applyProtection="0"/>
    <xf numFmtId="0" fontId="61" fillId="0" borderId="0" applyNumberFormat="0" applyFill="0" applyBorder="0" applyAlignment="0" applyProtection="0"/>
    <xf numFmtId="0" fontId="36" fillId="0" borderId="6"/>
    <xf numFmtId="0" fontId="37" fillId="0" borderId="0"/>
    <xf numFmtId="0" fontId="62" fillId="7" borderId="3" applyNumberFormat="0" applyAlignment="0" applyProtection="0"/>
    <xf numFmtId="0" fontId="63" fillId="0" borderId="7" applyNumberFormat="0" applyFill="0" applyAlignment="0" applyProtection="0"/>
    <xf numFmtId="0" fontId="64" fillId="7" borderId="0" applyNumberFormat="0" applyBorder="0" applyAlignment="0" applyProtection="0"/>
    <xf numFmtId="0" fontId="68" fillId="0" borderId="0">
      <alignment vertical="top"/>
    </xf>
    <xf numFmtId="0" fontId="28" fillId="0" borderId="0"/>
    <xf numFmtId="0" fontId="28" fillId="0" borderId="0"/>
    <xf numFmtId="0" fontId="28" fillId="0" borderId="0"/>
    <xf numFmtId="0" fontId="18" fillId="0" borderId="0"/>
    <xf numFmtId="0" fontId="58" fillId="4" borderId="8" applyNumberFormat="0" applyFont="0" applyAlignment="0" applyProtection="0"/>
    <xf numFmtId="0" fontId="65" fillId="16" borderId="9" applyNumberFormat="0" applyAlignment="0" applyProtection="0"/>
    <xf numFmtId="9" fontId="18" fillId="0" borderId="0" applyFont="0" applyFill="0" applyBorder="0" applyAlignment="0" applyProtection="0"/>
    <xf numFmtId="9" fontId="28" fillId="0" borderId="0" applyFont="0" applyFill="0" applyBorder="0" applyAlignment="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8" fillId="0" borderId="0">
      <alignment horizontal="left" vertical="top"/>
    </xf>
    <xf numFmtId="0" fontId="39" fillId="0" borderId="6">
      <alignment horizontal="center"/>
    </xf>
    <xf numFmtId="3" fontId="38" fillId="0" borderId="0" applyFont="0" applyFill="0" applyBorder="0" applyAlignment="0" applyProtection="0"/>
    <xf numFmtId="0" fontId="38" fillId="18" borderId="0" applyNumberFormat="0" applyFont="0" applyBorder="0" applyAlignment="0" applyProtection="0"/>
    <xf numFmtId="3" fontId="18" fillId="0" borderId="0">
      <alignment horizontal="right" vertical="top"/>
    </xf>
    <xf numFmtId="41" fontId="25" fillId="19" borderId="10" applyFill="0"/>
    <xf numFmtId="0" fontId="40" fillId="0" borderId="0">
      <alignment horizontal="left" indent="7"/>
    </xf>
    <xf numFmtId="41" fontId="25" fillId="0" borderId="10" applyFill="0">
      <alignment horizontal="left" indent="2"/>
    </xf>
    <xf numFmtId="172" fontId="41" fillId="0" borderId="11" applyFill="0">
      <alignment horizontal="right"/>
    </xf>
    <xf numFmtId="0" fontId="42" fillId="0" borderId="12" applyNumberFormat="0" applyFont="0" applyBorder="0">
      <alignment horizontal="right"/>
    </xf>
    <xf numFmtId="0" fontId="43" fillId="0" borderId="0" applyFill="0"/>
    <xf numFmtId="0" fontId="20" fillId="0" borderId="0" applyFill="0"/>
    <xf numFmtId="4" fontId="41" fillId="0" borderId="11" applyFill="0"/>
    <xf numFmtId="0" fontId="18" fillId="0" borderId="0" applyNumberFormat="0" applyFont="0" applyBorder="0" applyAlignment="0"/>
    <xf numFmtId="0" fontId="23" fillId="0" borderId="0" applyFill="0">
      <alignment horizontal="left" indent="1"/>
    </xf>
    <xf numFmtId="0" fontId="44" fillId="0" borderId="0" applyFill="0">
      <alignment horizontal="left" indent="1"/>
    </xf>
    <xf numFmtId="4" fontId="26" fillId="0" borderId="0" applyFill="0"/>
    <xf numFmtId="0" fontId="18" fillId="0" borderId="0" applyNumberFormat="0" applyFont="0" applyFill="0" applyBorder="0" applyAlignment="0"/>
    <xf numFmtId="0" fontId="23" fillId="0" borderId="0" applyFill="0">
      <alignment horizontal="left" indent="2"/>
    </xf>
    <xf numFmtId="0" fontId="20" fillId="0" borderId="0" applyFill="0">
      <alignment horizontal="left" indent="2"/>
    </xf>
    <xf numFmtId="4" fontId="26" fillId="0" borderId="0" applyFill="0"/>
    <xf numFmtId="0" fontId="18" fillId="0" borderId="0" applyNumberFormat="0" applyFont="0" applyBorder="0" applyAlignment="0"/>
    <xf numFmtId="0" fontId="45" fillId="0" borderId="0">
      <alignment horizontal="left" indent="3"/>
    </xf>
    <xf numFmtId="0" fontId="46" fillId="0" borderId="0" applyFill="0">
      <alignment horizontal="left" indent="3"/>
    </xf>
    <xf numFmtId="4" fontId="26" fillId="0" borderId="0" applyFill="0"/>
    <xf numFmtId="0" fontId="18" fillId="0" borderId="0" applyNumberFormat="0" applyFont="0" applyBorder="0" applyAlignment="0"/>
    <xf numFmtId="0" fontId="27" fillId="0" borderId="0">
      <alignment horizontal="left" indent="4"/>
    </xf>
    <xf numFmtId="0" fontId="28" fillId="0" borderId="0" applyFill="0">
      <alignment horizontal="left" indent="4"/>
    </xf>
    <xf numFmtId="4" fontId="29" fillId="0" borderId="0" applyFill="0"/>
    <xf numFmtId="0" fontId="18" fillId="0" borderId="0" applyNumberFormat="0" applyFont="0" applyBorder="0" applyAlignment="0"/>
    <xf numFmtId="0" fontId="30" fillId="0" borderId="0">
      <alignment horizontal="left" indent="5"/>
    </xf>
    <xf numFmtId="0" fontId="31" fillId="0" borderId="0" applyFill="0">
      <alignment horizontal="left" indent="5"/>
    </xf>
    <xf numFmtId="4" fontId="32" fillId="0" borderId="0" applyFill="0"/>
    <xf numFmtId="0" fontId="18" fillId="0" borderId="0" applyNumberFormat="0" applyFont="0" applyFill="0" applyBorder="0" applyAlignment="0"/>
    <xf numFmtId="0" fontId="33" fillId="0" borderId="0" applyFill="0">
      <alignment horizontal="left" indent="6"/>
    </xf>
    <xf numFmtId="0" fontId="29" fillId="0" borderId="0" applyFill="0">
      <alignment horizontal="left" indent="6"/>
    </xf>
    <xf numFmtId="0" fontId="67" fillId="0" borderId="0" applyNumberFormat="0" applyFill="0" applyBorder="0" applyAlignment="0" applyProtection="0"/>
    <xf numFmtId="0" fontId="18" fillId="0" borderId="0" applyFont="0" applyFill="0" applyBorder="0" applyAlignment="0" applyProtection="0"/>
    <xf numFmtId="0" fontId="63" fillId="0" borderId="0" applyNumberFormat="0" applyFill="0" applyBorder="0" applyAlignment="0" applyProtection="0"/>
    <xf numFmtId="0" fontId="15" fillId="0" borderId="0"/>
    <xf numFmtId="9" fontId="15"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58" fillId="0" borderId="0" applyProtection="0"/>
    <xf numFmtId="43" fontId="18" fillId="0" borderId="0" applyFont="0" applyFill="0" applyBorder="0" applyAlignment="0" applyProtection="0"/>
    <xf numFmtId="0" fontId="105"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172" fontId="58" fillId="0" borderId="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3" fillId="0" borderId="0"/>
    <xf numFmtId="43" fontId="13" fillId="0" borderId="0" applyFont="0" applyFill="0" applyBorder="0" applyAlignment="0" applyProtection="0"/>
    <xf numFmtId="0" fontId="109" fillId="0" borderId="0"/>
    <xf numFmtId="43" fontId="109" fillId="0" borderId="0" applyFont="0" applyFill="0" applyBorder="0" applyAlignment="0" applyProtection="0"/>
    <xf numFmtId="0" fontId="18" fillId="0" borderId="0"/>
    <xf numFmtId="9" fontId="58" fillId="0" borderId="0" applyFont="0" applyFill="0" applyBorder="0" applyAlignment="0" applyProtection="0"/>
    <xf numFmtId="0" fontId="12" fillId="0" borderId="0"/>
    <xf numFmtId="43" fontId="12" fillId="0" borderId="0" applyFont="0" applyFill="0" applyBorder="0" applyAlignment="0" applyProtection="0"/>
    <xf numFmtId="0" fontId="18" fillId="0" borderId="0"/>
    <xf numFmtId="43" fontId="7" fillId="0" borderId="0" applyFont="0" applyFill="0" applyBorder="0" applyAlignment="0" applyProtection="0"/>
    <xf numFmtId="0" fontId="18" fillId="0" borderId="0"/>
    <xf numFmtId="0" fontId="130" fillId="0" borderId="0"/>
    <xf numFmtId="43" fontId="130" fillId="0" borderId="0" applyFont="0" applyFill="0" applyBorder="0" applyAlignment="0" applyProtection="0"/>
    <xf numFmtId="41" fontId="6" fillId="0" borderId="0" applyFont="0" applyFill="0" applyBorder="0" applyAlignment="0" applyProtection="0"/>
    <xf numFmtId="0" fontId="4" fillId="0" borderId="0"/>
    <xf numFmtId="0" fontId="18" fillId="0" borderId="0"/>
  </cellStyleXfs>
  <cellXfs count="1163">
    <xf numFmtId="172" fontId="0" fillId="0" borderId="0" xfId="0"/>
    <xf numFmtId="172" fontId="47" fillId="0" borderId="0" xfId="0" applyFont="1"/>
    <xf numFmtId="0" fontId="47" fillId="0" borderId="0" xfId="0" applyNumberFormat="1" applyFont="1"/>
    <xf numFmtId="0" fontId="47" fillId="0" borderId="0" xfId="0" applyNumberFormat="1" applyFont="1" applyAlignment="1">
      <alignment horizontal="right"/>
    </xf>
    <xf numFmtId="3" fontId="47" fillId="0" borderId="0" xfId="82" applyNumberFormat="1" applyFont="1"/>
    <xf numFmtId="0" fontId="18" fillId="0" borderId="0" xfId="82"/>
    <xf numFmtId="0" fontId="49" fillId="0" borderId="0" xfId="82" applyFont="1"/>
    <xf numFmtId="3" fontId="49" fillId="0" borderId="0" xfId="82" applyNumberFormat="1" applyFont="1"/>
    <xf numFmtId="0" fontId="47" fillId="0" borderId="0" xfId="82" applyFont="1"/>
    <xf numFmtId="173" fontId="47" fillId="0" borderId="0" xfId="63" applyNumberFormat="1" applyFont="1" applyFill="1" applyBorder="1" applyAlignment="1"/>
    <xf numFmtId="0" fontId="51" fillId="0" borderId="0" xfId="82" applyFont="1"/>
    <xf numFmtId="173" fontId="47" fillId="0" borderId="0" xfId="63" applyNumberFormat="1" applyFont="1" applyBorder="1" applyAlignment="1"/>
    <xf numFmtId="178" fontId="47" fillId="0" borderId="0" xfId="63" applyNumberFormat="1" applyFont="1" applyBorder="1"/>
    <xf numFmtId="0" fontId="47" fillId="0" borderId="0" xfId="82" applyFont="1" applyAlignment="1">
      <alignment horizontal="left" wrapText="1"/>
    </xf>
    <xf numFmtId="0" fontId="47" fillId="0" borderId="0" xfId="82" applyFont="1" applyAlignment="1">
      <alignment horizontal="left"/>
    </xf>
    <xf numFmtId="0" fontId="51" fillId="0" borderId="0" xfId="82" applyFont="1" applyAlignment="1">
      <alignment horizontal="center"/>
    </xf>
    <xf numFmtId="172" fontId="47" fillId="0" borderId="0" xfId="0" applyFont="1" applyAlignment="1">
      <alignment horizontal="right"/>
    </xf>
    <xf numFmtId="172" fontId="47" fillId="0" borderId="0" xfId="0" applyFont="1" applyAlignment="1">
      <alignment horizontal="center"/>
    </xf>
    <xf numFmtId="172" fontId="48" fillId="0" borderId="0" xfId="0" applyFont="1"/>
    <xf numFmtId="172" fontId="48" fillId="0" borderId="13" xfId="0" applyFont="1" applyBorder="1" applyAlignment="1">
      <alignment horizontal="center" wrapText="1"/>
    </xf>
    <xf numFmtId="172" fontId="48" fillId="0" borderId="14" xfId="0" applyFont="1" applyBorder="1"/>
    <xf numFmtId="172" fontId="48" fillId="0" borderId="14" xfId="0" applyFont="1" applyBorder="1" applyAlignment="1">
      <alignment horizontal="center" wrapText="1"/>
    </xf>
    <xf numFmtId="0" fontId="48" fillId="0" borderId="14" xfId="0" applyNumberFormat="1" applyFont="1" applyBorder="1" applyAlignment="1">
      <alignment horizontal="center" wrapText="1"/>
    </xf>
    <xf numFmtId="0" fontId="47" fillId="0" borderId="13" xfId="0" applyNumberFormat="1" applyFont="1" applyBorder="1"/>
    <xf numFmtId="0" fontId="47" fillId="0" borderId="14" xfId="0" applyNumberFormat="1" applyFont="1" applyBorder="1"/>
    <xf numFmtId="0" fontId="47" fillId="0" borderId="14" xfId="0" applyNumberFormat="1" applyFont="1" applyBorder="1" applyAlignment="1">
      <alignment horizontal="center"/>
    </xf>
    <xf numFmtId="0" fontId="47" fillId="0" borderId="16" xfId="0" applyNumberFormat="1" applyFont="1" applyBorder="1"/>
    <xf numFmtId="1" fontId="47" fillId="0" borderId="0" xfId="0" applyNumberFormat="1" applyFont="1" applyAlignment="1">
      <alignment horizontal="center"/>
    </xf>
    <xf numFmtId="172" fontId="49" fillId="0" borderId="0" xfId="0" applyFont="1"/>
    <xf numFmtId="172" fontId="51" fillId="0" borderId="0" xfId="0" applyFont="1"/>
    <xf numFmtId="172" fontId="48" fillId="0" borderId="14" xfId="0" applyFont="1" applyBorder="1" applyAlignment="1">
      <alignment horizontal="center"/>
    </xf>
    <xf numFmtId="0" fontId="47" fillId="0" borderId="0" xfId="82" applyFont="1" applyAlignment="1">
      <alignment horizontal="center" vertical="top"/>
    </xf>
    <xf numFmtId="0" fontId="47" fillId="20" borderId="0" xfId="0" applyNumberFormat="1" applyFont="1" applyFill="1" applyAlignment="1">
      <alignment horizontal="right"/>
    </xf>
    <xf numFmtId="172" fontId="69" fillId="0" borderId="0" xfId="0" applyFont="1" applyAlignment="1">
      <alignment vertical="center"/>
    </xf>
    <xf numFmtId="0" fontId="69" fillId="0" borderId="0" xfId="0" applyNumberFormat="1" applyFont="1" applyAlignment="1">
      <alignment vertical="center"/>
    </xf>
    <xf numFmtId="0" fontId="69" fillId="20" borderId="0" xfId="0" applyNumberFormat="1" applyFont="1" applyFill="1" applyAlignment="1">
      <alignment vertical="center"/>
    </xf>
    <xf numFmtId="172" fontId="70" fillId="0" borderId="0" xfId="0" applyFont="1" applyAlignment="1">
      <alignment horizontal="right" vertical="center"/>
    </xf>
    <xf numFmtId="172" fontId="70" fillId="0" borderId="0" xfId="0" applyFont="1" applyAlignment="1">
      <alignment vertical="center"/>
    </xf>
    <xf numFmtId="172" fontId="69" fillId="0" borderId="0" xfId="0" applyFont="1" applyAlignment="1">
      <alignment horizontal="center" vertical="center"/>
    </xf>
    <xf numFmtId="172" fontId="70" fillId="0" borderId="0" xfId="0" applyFont="1" applyAlignment="1">
      <alignment horizontal="center" vertical="center"/>
    </xf>
    <xf numFmtId="172" fontId="71" fillId="0" borderId="0" xfId="0" applyFont="1" applyAlignment="1">
      <alignment horizontal="center" vertical="center"/>
    </xf>
    <xf numFmtId="172" fontId="73" fillId="0" borderId="0" xfId="0" applyFont="1" applyAlignment="1">
      <alignment horizontal="left" vertical="center"/>
    </xf>
    <xf numFmtId="0" fontId="70" fillId="0" borderId="0" xfId="0" applyNumberFormat="1" applyFont="1" applyAlignment="1">
      <alignment horizontal="center" vertical="center"/>
    </xf>
    <xf numFmtId="172" fontId="71" fillId="0" borderId="0" xfId="0" applyFont="1" applyAlignment="1">
      <alignment vertical="center"/>
    </xf>
    <xf numFmtId="49" fontId="69" fillId="0" borderId="0" xfId="0" applyNumberFormat="1" applyFont="1" applyAlignment="1">
      <alignment vertical="center"/>
    </xf>
    <xf numFmtId="172" fontId="72" fillId="0" borderId="0" xfId="0" applyFont="1" applyAlignment="1">
      <alignment horizontal="center" vertical="center"/>
    </xf>
    <xf numFmtId="172" fontId="70" fillId="0" borderId="0" xfId="0" applyFont="1" applyAlignment="1">
      <alignment horizontal="left" vertical="center"/>
    </xf>
    <xf numFmtId="172" fontId="72" fillId="0" borderId="0" xfId="0" applyFont="1" applyAlignment="1">
      <alignment horizontal="right" vertical="center"/>
    </xf>
    <xf numFmtId="49" fontId="69" fillId="0" borderId="0" xfId="0" applyNumberFormat="1" applyFont="1" applyAlignment="1">
      <alignment horizontal="center" vertical="center"/>
    </xf>
    <xf numFmtId="49" fontId="70" fillId="0" borderId="0" xfId="0" applyNumberFormat="1" applyFont="1" applyAlignment="1">
      <alignment horizontal="center" vertical="center"/>
    </xf>
    <xf numFmtId="164" fontId="69" fillId="0" borderId="0" xfId="85" applyNumberFormat="1" applyFont="1" applyAlignment="1">
      <alignment horizontal="center" vertical="center"/>
    </xf>
    <xf numFmtId="172" fontId="75" fillId="21" borderId="15" xfId="0" applyFont="1" applyFill="1" applyBorder="1" applyAlignment="1">
      <alignment vertical="center"/>
    </xf>
    <xf numFmtId="172" fontId="76" fillId="21" borderId="2" xfId="0" applyFont="1" applyFill="1" applyBorder="1" applyAlignment="1">
      <alignment vertical="center"/>
    </xf>
    <xf numFmtId="172" fontId="76" fillId="21" borderId="2" xfId="0" applyFont="1" applyFill="1" applyBorder="1" applyAlignment="1">
      <alignment horizontal="center" vertical="center"/>
    </xf>
    <xf numFmtId="172" fontId="76" fillId="21" borderId="20" xfId="0" applyFont="1" applyFill="1" applyBorder="1" applyAlignment="1">
      <alignment vertical="center"/>
    </xf>
    <xf numFmtId="172" fontId="69" fillId="0" borderId="16" xfId="0" applyFont="1" applyBorder="1" applyAlignment="1">
      <alignment vertical="center"/>
    </xf>
    <xf numFmtId="172" fontId="69" fillId="0" borderId="21" xfId="0" applyFont="1" applyBorder="1" applyAlignment="1">
      <alignment vertical="center"/>
    </xf>
    <xf numFmtId="172" fontId="69" fillId="0" borderId="17" xfId="0" applyFont="1" applyBorder="1" applyAlignment="1">
      <alignment vertical="center"/>
    </xf>
    <xf numFmtId="172" fontId="69" fillId="0" borderId="11" xfId="0" applyFont="1" applyBorder="1" applyAlignment="1">
      <alignment vertical="center"/>
    </xf>
    <xf numFmtId="173" fontId="47" fillId="20" borderId="0" xfId="63" applyNumberFormat="1" applyFont="1" applyFill="1" applyBorder="1" applyAlignment="1"/>
    <xf numFmtId="0" fontId="47" fillId="0" borderId="23" xfId="0" applyNumberFormat="1" applyFont="1" applyBorder="1" applyAlignment="1">
      <alignment horizontal="center"/>
    </xf>
    <xf numFmtId="172" fontId="74" fillId="0" borderId="0" xfId="0" applyFont="1" applyAlignment="1">
      <alignment horizontal="left" vertical="center"/>
    </xf>
    <xf numFmtId="172" fontId="47" fillId="0" borderId="0" xfId="0" applyFont="1" applyAlignment="1">
      <alignment vertical="center"/>
    </xf>
    <xf numFmtId="172" fontId="47" fillId="0" borderId="0" xfId="0" applyFont="1" applyAlignment="1">
      <alignment horizontal="right" vertical="center"/>
    </xf>
    <xf numFmtId="172" fontId="47" fillId="0" borderId="0" xfId="0" applyFont="1" applyAlignment="1">
      <alignment horizontal="center" vertical="center"/>
    </xf>
    <xf numFmtId="172" fontId="77" fillId="0" borderId="0" xfId="0" applyFont="1" applyProtection="1">
      <protection locked="0"/>
    </xf>
    <xf numFmtId="172" fontId="25" fillId="0" borderId="0" xfId="0" applyFont="1" applyProtection="1">
      <protection locked="0"/>
    </xf>
    <xf numFmtId="172" fontId="77" fillId="0" borderId="25" xfId="0" applyFont="1" applyBorder="1" applyAlignment="1" applyProtection="1">
      <alignment horizontal="center" wrapText="1"/>
      <protection locked="0"/>
    </xf>
    <xf numFmtId="172" fontId="77" fillId="0" borderId="25" xfId="0" applyFont="1" applyBorder="1" applyProtection="1">
      <protection locked="0"/>
    </xf>
    <xf numFmtId="172" fontId="77" fillId="0" borderId="0" xfId="0" applyFont="1" applyAlignment="1" applyProtection="1">
      <alignment horizontal="center"/>
      <protection locked="0"/>
    </xf>
    <xf numFmtId="176" fontId="77" fillId="0" borderId="0" xfId="0" applyNumberFormat="1" applyFont="1" applyProtection="1">
      <protection locked="0"/>
    </xf>
    <xf numFmtId="172" fontId="78" fillId="0" borderId="0" xfId="0" applyFont="1" applyAlignment="1" applyProtection="1">
      <alignment horizontal="center"/>
      <protection locked="0"/>
    </xf>
    <xf numFmtId="5" fontId="77" fillId="0" borderId="26" xfId="0" applyNumberFormat="1" applyFont="1" applyBorder="1" applyAlignment="1" applyProtection="1">
      <alignment horizontal="center"/>
      <protection locked="0"/>
    </xf>
    <xf numFmtId="176" fontId="77" fillId="0" borderId="6" xfId="0" applyNumberFormat="1" applyFont="1" applyBorder="1" applyProtection="1">
      <protection locked="0"/>
    </xf>
    <xf numFmtId="172" fontId="77" fillId="0" borderId="6" xfId="0" applyFont="1" applyBorder="1" applyAlignment="1" applyProtection="1">
      <alignment horizontal="center"/>
      <protection locked="0"/>
    </xf>
    <xf numFmtId="172" fontId="25" fillId="0" borderId="6" xfId="0" applyFont="1" applyBorder="1" applyProtection="1">
      <protection locked="0"/>
    </xf>
    <xf numFmtId="176" fontId="77" fillId="0" borderId="0" xfId="0" applyNumberFormat="1" applyFont="1" applyAlignment="1" applyProtection="1">
      <alignment horizontal="left"/>
      <protection locked="0"/>
    </xf>
    <xf numFmtId="176" fontId="77" fillId="0" borderId="0" xfId="0" applyNumberFormat="1" applyFont="1" applyAlignment="1" applyProtection="1">
      <alignment horizontal="center"/>
      <protection locked="0"/>
    </xf>
    <xf numFmtId="172" fontId="25" fillId="0" borderId="0" xfId="0" applyFont="1"/>
    <xf numFmtId="173" fontId="25" fillId="0" borderId="0" xfId="63" applyNumberFormat="1" applyFont="1" applyFill="1"/>
    <xf numFmtId="172" fontId="25" fillId="0" borderId="0" xfId="0" applyFont="1" applyAlignment="1" applyProtection="1">
      <alignment wrapText="1"/>
      <protection locked="0"/>
    </xf>
    <xf numFmtId="172" fontId="47" fillId="0" borderId="0" xfId="0" applyFont="1" applyAlignment="1">
      <alignment vertical="center" wrapText="1"/>
    </xf>
    <xf numFmtId="172" fontId="77" fillId="0" borderId="24" xfId="0" applyFont="1" applyBorder="1" applyAlignment="1" applyProtection="1">
      <alignment horizontal="center" vertical="center" wrapText="1"/>
      <protection locked="0"/>
    </xf>
    <xf numFmtId="172" fontId="77" fillId="0" borderId="0" xfId="0" applyFont="1" applyAlignment="1" applyProtection="1">
      <alignment horizontal="center" vertical="center" wrapText="1"/>
      <protection locked="0"/>
    </xf>
    <xf numFmtId="176" fontId="70" fillId="20" borderId="0" xfId="59" applyNumberFormat="1" applyFont="1" applyFill="1" applyAlignment="1">
      <alignment horizontal="center" vertical="center"/>
    </xf>
    <xf numFmtId="176" fontId="70" fillId="0" borderId="0" xfId="59" applyNumberFormat="1" applyFont="1" applyAlignment="1">
      <alignment vertical="center"/>
    </xf>
    <xf numFmtId="176" fontId="70" fillId="0" borderId="0" xfId="59" applyNumberFormat="1" applyFont="1" applyAlignment="1">
      <alignment horizontal="center" vertical="center"/>
    </xf>
    <xf numFmtId="176" fontId="70" fillId="20" borderId="0" xfId="59" applyNumberFormat="1" applyFont="1" applyFill="1" applyBorder="1" applyAlignment="1">
      <alignment horizontal="center" vertical="center"/>
    </xf>
    <xf numFmtId="176" fontId="70" fillId="0" borderId="0" xfId="59" applyNumberFormat="1" applyFont="1" applyBorder="1" applyAlignment="1">
      <alignment horizontal="center" vertical="center"/>
    </xf>
    <xf numFmtId="176" fontId="70" fillId="0" borderId="11" xfId="59" applyNumberFormat="1" applyFont="1" applyBorder="1" applyAlignment="1">
      <alignment horizontal="center" vertical="center"/>
    </xf>
    <xf numFmtId="176" fontId="70" fillId="20" borderId="6" xfId="59" applyNumberFormat="1" applyFont="1" applyFill="1" applyBorder="1" applyAlignment="1">
      <alignment horizontal="center" vertical="center"/>
    </xf>
    <xf numFmtId="176" fontId="70" fillId="0" borderId="0" xfId="59" applyNumberFormat="1" applyFont="1" applyFill="1" applyAlignment="1">
      <alignment horizontal="center" vertical="center"/>
    </xf>
    <xf numFmtId="181" fontId="47" fillId="0" borderId="0" xfId="59" applyNumberFormat="1" applyFont="1" applyFill="1" applyAlignment="1">
      <alignment horizontal="right"/>
    </xf>
    <xf numFmtId="0" fontId="79" fillId="0" borderId="0" xfId="129" applyFont="1"/>
    <xf numFmtId="0" fontId="80" fillId="0" borderId="0" xfId="129" applyFont="1"/>
    <xf numFmtId="0" fontId="79" fillId="0" borderId="0" xfId="129" applyFont="1" applyAlignment="1">
      <alignment horizontal="left" vertical="center"/>
    </xf>
    <xf numFmtId="0" fontId="15" fillId="0" borderId="0" xfId="129" applyAlignment="1">
      <alignment vertical="center"/>
    </xf>
    <xf numFmtId="3" fontId="47" fillId="20" borderId="0" xfId="82" applyNumberFormat="1" applyFont="1" applyFill="1"/>
    <xf numFmtId="173" fontId="47" fillId="20" borderId="11" xfId="63" applyNumberFormat="1" applyFont="1" applyFill="1" applyBorder="1" applyAlignment="1"/>
    <xf numFmtId="172" fontId="82" fillId="0" borderId="0" xfId="0" applyFont="1" applyAlignment="1">
      <alignment vertical="center"/>
    </xf>
    <xf numFmtId="172" fontId="83" fillId="0" borderId="0" xfId="0" applyFont="1" applyAlignment="1">
      <alignment horizontal="center" vertical="center"/>
    </xf>
    <xf numFmtId="1" fontId="69" fillId="0" borderId="0" xfId="0" applyNumberFormat="1" applyFont="1" applyAlignment="1">
      <alignment horizontal="right" vertical="center"/>
    </xf>
    <xf numFmtId="172" fontId="84" fillId="0" borderId="0" xfId="0" applyFont="1" applyAlignment="1">
      <alignment horizontal="center" vertical="center"/>
    </xf>
    <xf numFmtId="0" fontId="42" fillId="0" borderId="0" xfId="129" applyFont="1"/>
    <xf numFmtId="0" fontId="79" fillId="0" borderId="0" xfId="129" applyFont="1" applyAlignment="1">
      <alignment horizontal="center"/>
    </xf>
    <xf numFmtId="0" fontId="79" fillId="0" borderId="0" xfId="129" applyFont="1" applyAlignment="1">
      <alignment horizontal="center" wrapText="1"/>
    </xf>
    <xf numFmtId="0" fontId="80" fillId="0" borderId="6" xfId="129" applyFont="1" applyBorder="1"/>
    <xf numFmtId="10" fontId="79" fillId="20" borderId="0" xfId="129" applyNumberFormat="1" applyFont="1" applyFill="1"/>
    <xf numFmtId="0" fontId="79" fillId="0" borderId="0" xfId="129" applyFont="1" applyAlignment="1">
      <alignment horizontal="right" wrapText="1"/>
    </xf>
    <xf numFmtId="164" fontId="79" fillId="0" borderId="27" xfId="129" applyNumberFormat="1" applyFont="1" applyBorder="1"/>
    <xf numFmtId="172" fontId="69" fillId="0" borderId="0" xfId="0" applyFont="1" applyAlignment="1">
      <alignment horizontal="center" vertical="top"/>
    </xf>
    <xf numFmtId="176" fontId="70" fillId="20" borderId="0" xfId="59" applyNumberFormat="1" applyFont="1" applyFill="1" applyAlignment="1">
      <alignment horizontal="left" vertical="center"/>
    </xf>
    <xf numFmtId="0" fontId="14" fillId="0" borderId="0" xfId="129" applyFont="1" applyAlignment="1">
      <alignment vertical="center"/>
    </xf>
    <xf numFmtId="0" fontId="18" fillId="0" borderId="0" xfId="132"/>
    <xf numFmtId="0" fontId="86" fillId="0" borderId="0" xfId="132" applyFont="1"/>
    <xf numFmtId="0" fontId="25" fillId="0" borderId="0" xfId="132" applyFont="1"/>
    <xf numFmtId="0" fontId="25" fillId="0" borderId="0" xfId="132" applyFont="1" applyAlignment="1">
      <alignment horizontal="center"/>
    </xf>
    <xf numFmtId="3" fontId="25" fillId="0" borderId="0" xfId="132" applyNumberFormat="1" applyFont="1"/>
    <xf numFmtId="176" fontId="25" fillId="0" borderId="0" xfId="133" applyNumberFormat="1" applyFont="1" applyFill="1"/>
    <xf numFmtId="0" fontId="89" fillId="22" borderId="0" xfId="132" applyFont="1" applyFill="1"/>
    <xf numFmtId="0" fontId="25" fillId="22" borderId="0" xfId="132" applyFont="1" applyFill="1"/>
    <xf numFmtId="0" fontId="89" fillId="0" borderId="0" xfId="132" applyFont="1"/>
    <xf numFmtId="0" fontId="20" fillId="0" borderId="0" xfId="132" applyFont="1" applyAlignment="1">
      <alignment horizontal="center"/>
    </xf>
    <xf numFmtId="0" fontId="25" fillId="0" borderId="0" xfId="132" applyFont="1" applyAlignment="1">
      <alignment wrapText="1"/>
    </xf>
    <xf numFmtId="0" fontId="25" fillId="0" borderId="0" xfId="132" applyFont="1" applyAlignment="1">
      <alignment horizontal="left"/>
    </xf>
    <xf numFmtId="3" fontId="25" fillId="0" borderId="0" xfId="132" applyNumberFormat="1" applyFont="1" applyAlignment="1">
      <alignment horizontal="left"/>
    </xf>
    <xf numFmtId="3" fontId="20" fillId="0" borderId="0" xfId="132" applyNumberFormat="1" applyFont="1" applyAlignment="1">
      <alignment horizontal="left"/>
    </xf>
    <xf numFmtId="0" fontId="20" fillId="0" borderId="0" xfId="132" applyFont="1" applyAlignment="1">
      <alignment horizontal="left"/>
    </xf>
    <xf numFmtId="3" fontId="25" fillId="0" borderId="11" xfId="132" applyNumberFormat="1" applyFont="1" applyBorder="1"/>
    <xf numFmtId="3" fontId="25" fillId="0" borderId="11" xfId="132" applyNumberFormat="1" applyFont="1" applyBorder="1" applyAlignment="1">
      <alignment horizontal="left"/>
    </xf>
    <xf numFmtId="0" fontId="25" fillId="0" borderId="2" xfId="132" applyFont="1" applyBorder="1"/>
    <xf numFmtId="0" fontId="20" fillId="0" borderId="2" xfId="132" applyFont="1" applyBorder="1"/>
    <xf numFmtId="3" fontId="25" fillId="0" borderId="2" xfId="132" applyNumberFormat="1" applyFont="1" applyBorder="1"/>
    <xf numFmtId="3" fontId="25" fillId="0" borderId="0" xfId="132" applyNumberFormat="1" applyFont="1" applyAlignment="1">
      <alignment horizontal="center"/>
    </xf>
    <xf numFmtId="180" fontId="25" fillId="0" borderId="0" xfId="134" applyNumberFormat="1" applyFont="1" applyFill="1" applyBorder="1" applyAlignment="1"/>
    <xf numFmtId="169" fontId="25" fillId="0" borderId="0" xfId="132" applyNumberFormat="1" applyFont="1"/>
    <xf numFmtId="3" fontId="25" fillId="0" borderId="0" xfId="132" quotePrefix="1" applyNumberFormat="1" applyFont="1" applyAlignment="1">
      <alignment horizontal="right"/>
    </xf>
    <xf numFmtId="0" fontId="25" fillId="0" borderId="0" xfId="132" applyFont="1" applyAlignment="1">
      <alignment horizontal="right"/>
    </xf>
    <xf numFmtId="0" fontId="25" fillId="0" borderId="11" xfId="132" applyFont="1" applyBorder="1" applyAlignment="1">
      <alignment horizontal="left"/>
    </xf>
    <xf numFmtId="0" fontId="25" fillId="0" borderId="11" xfId="132" applyFont="1" applyBorder="1"/>
    <xf numFmtId="3" fontId="25" fillId="0" borderId="11" xfId="132" applyNumberFormat="1" applyFont="1" applyBorder="1" applyAlignment="1">
      <alignment horizontal="right"/>
    </xf>
    <xf numFmtId="169" fontId="25" fillId="0" borderId="11" xfId="132" applyNumberFormat="1" applyFont="1" applyBorder="1"/>
    <xf numFmtId="0" fontId="20" fillId="0" borderId="0" xfId="132" applyFont="1"/>
    <xf numFmtId="3" fontId="20" fillId="0" borderId="0" xfId="132" quotePrefix="1" applyNumberFormat="1" applyFont="1" applyAlignment="1">
      <alignment horizontal="right"/>
    </xf>
    <xf numFmtId="169" fontId="20" fillId="0" borderId="0" xfId="132" applyNumberFormat="1" applyFont="1"/>
    <xf numFmtId="0" fontId="20" fillId="0" borderId="27" xfId="132" applyFont="1" applyBorder="1"/>
    <xf numFmtId="0" fontId="25" fillId="0" borderId="27" xfId="132" applyFont="1" applyBorder="1"/>
    <xf numFmtId="3" fontId="20" fillId="0" borderId="27" xfId="132" applyNumberFormat="1" applyFont="1" applyBorder="1" applyAlignment="1">
      <alignment horizontal="left"/>
    </xf>
    <xf numFmtId="166" fontId="20" fillId="0" borderId="27" xfId="132" applyNumberFormat="1" applyFont="1" applyBorder="1" applyAlignment="1">
      <alignment horizontal="center"/>
    </xf>
    <xf numFmtId="3" fontId="20" fillId="0" borderId="27" xfId="132" applyNumberFormat="1" applyFont="1" applyBorder="1"/>
    <xf numFmtId="0" fontId="90" fillId="22" borderId="0" xfId="132" applyFont="1" applyFill="1" applyAlignment="1">
      <alignment horizontal="left"/>
    </xf>
    <xf numFmtId="0" fontId="90" fillId="22" borderId="0" xfId="132" applyFont="1" applyFill="1"/>
    <xf numFmtId="0" fontId="91" fillId="22" borderId="0" xfId="132" applyFont="1" applyFill="1" applyAlignment="1">
      <alignment horizontal="left"/>
    </xf>
    <xf numFmtId="0" fontId="91" fillId="22" borderId="0" xfId="132" applyFont="1" applyFill="1" applyAlignment="1">
      <alignment horizontal="center"/>
    </xf>
    <xf numFmtId="0" fontId="25" fillId="22" borderId="0" xfId="132" applyFont="1" applyFill="1" applyAlignment="1">
      <alignment horizontal="center" wrapText="1"/>
    </xf>
    <xf numFmtId="180" fontId="20" fillId="0" borderId="0" xfId="134" applyNumberFormat="1" applyFont="1" applyAlignment="1"/>
    <xf numFmtId="164" fontId="20" fillId="0" borderId="0" xfId="132" applyNumberFormat="1" applyFont="1" applyAlignment="1">
      <alignment horizontal="left"/>
    </xf>
    <xf numFmtId="166" fontId="25" fillId="0" borderId="0" xfId="132" applyNumberFormat="1" applyFont="1" applyAlignment="1">
      <alignment horizontal="center"/>
    </xf>
    <xf numFmtId="0" fontId="58" fillId="0" borderId="0" xfId="132" applyFont="1"/>
    <xf numFmtId="10" fontId="58" fillId="0" borderId="0" xfId="132" applyNumberFormat="1" applyFont="1"/>
    <xf numFmtId="172" fontId="25" fillId="0" borderId="0" xfId="132" applyNumberFormat="1" applyFont="1"/>
    <xf numFmtId="43" fontId="58" fillId="0" borderId="0" xfId="132" applyNumberFormat="1" applyFont="1"/>
    <xf numFmtId="164" fontId="25" fillId="0" borderId="0" xfId="132" applyNumberFormat="1" applyFont="1" applyAlignment="1">
      <alignment horizontal="left"/>
    </xf>
    <xf numFmtId="10" fontId="25" fillId="0" borderId="0" xfId="132" applyNumberFormat="1" applyFont="1"/>
    <xf numFmtId="164" fontId="25" fillId="0" borderId="0" xfId="132" applyNumberFormat="1" applyFont="1" applyAlignment="1">
      <alignment horizontal="center"/>
    </xf>
    <xf numFmtId="10" fontId="25" fillId="0" borderId="0" xfId="132" applyNumberFormat="1" applyFont="1" applyAlignment="1">
      <alignment horizontal="right"/>
    </xf>
    <xf numFmtId="10" fontId="88" fillId="0" borderId="0" xfId="132" applyNumberFormat="1" applyFont="1" applyAlignment="1">
      <alignment horizontal="right"/>
    </xf>
    <xf numFmtId="3" fontId="92" fillId="0" borderId="0" xfId="132" applyNumberFormat="1" applyFont="1" applyAlignment="1">
      <alignment horizontal="right"/>
    </xf>
    <xf numFmtId="3" fontId="93" fillId="0" borderId="0" xfId="132" applyNumberFormat="1" applyFont="1" applyAlignment="1">
      <alignment horizontal="right"/>
    </xf>
    <xf numFmtId="3" fontId="25" fillId="0" borderId="0" xfId="132" applyNumberFormat="1" applyFont="1" applyAlignment="1">
      <alignment horizontal="right"/>
    </xf>
    <xf numFmtId="166" fontId="25" fillId="0" borderId="0" xfId="132" applyNumberFormat="1" applyFont="1"/>
    <xf numFmtId="182" fontId="25" fillId="0" borderId="0" xfId="134" applyNumberFormat="1" applyFont="1" applyFill="1" applyAlignment="1">
      <alignment horizontal="right"/>
    </xf>
    <xf numFmtId="0" fontId="87" fillId="0" borderId="0" xfId="132" applyFont="1"/>
    <xf numFmtId="43" fontId="25" fillId="0" borderId="0" xfId="59" applyFont="1" applyFill="1" applyAlignment="1">
      <alignment horizontal="right"/>
    </xf>
    <xf numFmtId="43" fontId="25" fillId="0" borderId="28" xfId="59" applyFont="1" applyFill="1" applyBorder="1" applyAlignment="1">
      <alignment horizontal="right"/>
    </xf>
    <xf numFmtId="10" fontId="58" fillId="0" borderId="0" xfId="85" applyNumberFormat="1" applyFont="1" applyFill="1"/>
    <xf numFmtId="164" fontId="20" fillId="0" borderId="18" xfId="132" applyNumberFormat="1" applyFont="1" applyBorder="1" applyAlignment="1">
      <alignment horizontal="left"/>
    </xf>
    <xf numFmtId="0" fontId="20" fillId="0" borderId="18" xfId="132" applyFont="1" applyBorder="1"/>
    <xf numFmtId="0" fontId="20" fillId="0" borderId="18" xfId="132" applyFont="1" applyBorder="1" applyAlignment="1">
      <alignment horizontal="center"/>
    </xf>
    <xf numFmtId="3" fontId="20" fillId="0" borderId="18" xfId="132" applyNumberFormat="1" applyFont="1" applyBorder="1"/>
    <xf numFmtId="166" fontId="20" fillId="0" borderId="18" xfId="132" applyNumberFormat="1" applyFont="1" applyBorder="1"/>
    <xf numFmtId="3" fontId="20" fillId="0" borderId="18" xfId="133" applyNumberFormat="1" applyFont="1" applyFill="1" applyBorder="1" applyAlignment="1">
      <alignment horizontal="right"/>
    </xf>
    <xf numFmtId="0" fontId="72" fillId="0" borderId="0" xfId="0" applyNumberFormat="1" applyFont="1" applyAlignment="1">
      <alignment horizontal="center" vertical="center"/>
    </xf>
    <xf numFmtId="0" fontId="18" fillId="0" borderId="0" xfId="80" applyFont="1"/>
    <xf numFmtId="0" fontId="94" fillId="0" borderId="0" xfId="80" applyFont="1" applyAlignment="1">
      <alignment horizontal="left"/>
    </xf>
    <xf numFmtId="0" fontId="18" fillId="0" borderId="0" xfId="80" applyFont="1" applyAlignment="1">
      <alignment horizontal="center"/>
    </xf>
    <xf numFmtId="3" fontId="25" fillId="0" borderId="0" xfId="80" applyNumberFormat="1" applyFont="1"/>
    <xf numFmtId="172" fontId="18" fillId="0" borderId="0" xfId="0" applyFont="1"/>
    <xf numFmtId="172" fontId="46" fillId="0" borderId="0" xfId="0" applyFont="1"/>
    <xf numFmtId="170" fontId="18" fillId="0" borderId="0" xfId="0" applyNumberFormat="1" applyFont="1"/>
    <xf numFmtId="43" fontId="18" fillId="0" borderId="0" xfId="59" applyFont="1" applyFill="1" applyBorder="1" applyAlignment="1"/>
    <xf numFmtId="176" fontId="18" fillId="0" borderId="0" xfId="59" applyNumberFormat="1" applyFont="1" applyFill="1" applyBorder="1" applyAlignment="1"/>
    <xf numFmtId="183" fontId="18" fillId="0" borderId="0" xfId="0" applyNumberFormat="1" applyFont="1" applyAlignment="1">
      <alignment horizontal="right"/>
    </xf>
    <xf numFmtId="43" fontId="95" fillId="0" borderId="0" xfId="59" applyFont="1" applyFill="1" applyBorder="1" applyAlignment="1">
      <alignment horizontal="right"/>
    </xf>
    <xf numFmtId="184" fontId="25" fillId="0" borderId="0" xfId="59" applyNumberFormat="1" applyFont="1" applyFill="1" applyAlignment="1">
      <alignment horizontal="right"/>
    </xf>
    <xf numFmtId="0" fontId="90" fillId="0" borderId="0" xfId="132" applyFont="1" applyAlignment="1">
      <alignment horizontal="left"/>
    </xf>
    <xf numFmtId="0" fontId="90" fillId="0" borderId="0" xfId="132" applyFont="1"/>
    <xf numFmtId="0" fontId="91" fillId="0" borderId="0" xfId="132" applyFont="1" applyAlignment="1">
      <alignment horizontal="left"/>
    </xf>
    <xf numFmtId="0" fontId="91" fillId="0" borderId="0" xfId="132" applyFont="1" applyAlignment="1">
      <alignment horizontal="center"/>
    </xf>
    <xf numFmtId="0" fontId="25" fillId="0" borderId="0" xfId="132" applyFont="1" applyAlignment="1">
      <alignment horizontal="center" wrapText="1"/>
    </xf>
    <xf numFmtId="43" fontId="25" fillId="0" borderId="0" xfId="132" applyNumberFormat="1" applyFont="1" applyAlignment="1">
      <alignment horizontal="right"/>
    </xf>
    <xf numFmtId="164" fontId="25" fillId="0" borderId="0" xfId="0" applyNumberFormat="1" applyFont="1" applyAlignment="1">
      <alignment horizontal="left"/>
    </xf>
    <xf numFmtId="0" fontId="25" fillId="0" borderId="0" xfId="0" applyNumberFormat="1" applyFont="1"/>
    <xf numFmtId="0" fontId="96" fillId="0" borderId="0" xfId="132" applyFont="1"/>
    <xf numFmtId="0" fontId="18" fillId="0" borderId="0" xfId="132" applyAlignment="1">
      <alignment horizontal="centerContinuous"/>
    </xf>
    <xf numFmtId="0" fontId="42" fillId="0" borderId="0" xfId="132" applyFont="1"/>
    <xf numFmtId="0" fontId="42" fillId="0" borderId="0" xfId="132" applyFont="1" applyAlignment="1">
      <alignment horizontal="center"/>
    </xf>
    <xf numFmtId="176" fontId="18" fillId="0" borderId="0" xfId="59" applyNumberFormat="1" applyFont="1" applyBorder="1"/>
    <xf numFmtId="176" fontId="18" fillId="0" borderId="0" xfId="59" applyNumberFormat="1" applyFont="1"/>
    <xf numFmtId="176" fontId="18" fillId="0" borderId="0" xfId="132" applyNumberFormat="1"/>
    <xf numFmtId="176" fontId="18" fillId="0" borderId="11" xfId="59" applyNumberFormat="1" applyFont="1" applyBorder="1"/>
    <xf numFmtId="176" fontId="18" fillId="0" borderId="0" xfId="59" applyNumberFormat="1" applyFont="1" applyFill="1" applyBorder="1"/>
    <xf numFmtId="0" fontId="18" fillId="0" borderId="0" xfId="132" applyAlignment="1">
      <alignment horizontal="center"/>
    </xf>
    <xf numFmtId="0" fontId="68" fillId="0" borderId="0" xfId="132" applyFont="1"/>
    <xf numFmtId="176" fontId="97" fillId="0" borderId="0" xfId="59" applyNumberFormat="1" applyFont="1" applyBorder="1"/>
    <xf numFmtId="176" fontId="18" fillId="0" borderId="0" xfId="59" applyNumberFormat="1" applyFont="1" applyFill="1"/>
    <xf numFmtId="0" fontId="98" fillId="0" borderId="0" xfId="132" applyFont="1"/>
    <xf numFmtId="176" fontId="97" fillId="0" borderId="0" xfId="59" applyNumberFormat="1" applyFont="1" applyFill="1" applyBorder="1"/>
    <xf numFmtId="176" fontId="18" fillId="0" borderId="0" xfId="59" applyNumberFormat="1" applyFont="1" applyFill="1" applyAlignment="1">
      <alignment horizontal="center"/>
    </xf>
    <xf numFmtId="176" fontId="18" fillId="0" borderId="0" xfId="59" applyNumberFormat="1" applyFont="1" applyFill="1" applyBorder="1" applyAlignment="1">
      <alignment horizontal="center"/>
    </xf>
    <xf numFmtId="176" fontId="99" fillId="0" borderId="0" xfId="59" applyNumberFormat="1" applyFont="1" applyFill="1" applyBorder="1"/>
    <xf numFmtId="176" fontId="100" fillId="0" borderId="0" xfId="59" applyNumberFormat="1" applyFont="1" applyFill="1" applyBorder="1"/>
    <xf numFmtId="176" fontId="100" fillId="0" borderId="0" xfId="59" applyNumberFormat="1" applyFont="1" applyFill="1" applyBorder="1" applyAlignment="1">
      <alignment horizontal="left"/>
    </xf>
    <xf numFmtId="176" fontId="18" fillId="0" borderId="0" xfId="59" applyNumberFormat="1" applyFont="1" applyAlignment="1">
      <alignment wrapText="1"/>
    </xf>
    <xf numFmtId="176" fontId="42" fillId="0" borderId="0" xfId="59" applyNumberFormat="1" applyFont="1"/>
    <xf numFmtId="176" fontId="42" fillId="0" borderId="0" xfId="59" applyNumberFormat="1" applyFont="1" applyFill="1" applyAlignment="1">
      <alignment horizontal="center"/>
    </xf>
    <xf numFmtId="176" fontId="68" fillId="0" borderId="0" xfId="59" applyNumberFormat="1" applyFont="1"/>
    <xf numFmtId="43" fontId="18" fillId="0" borderId="0" xfId="132" applyNumberFormat="1"/>
    <xf numFmtId="0" fontId="95" fillId="0" borderId="0" xfId="132" applyFont="1"/>
    <xf numFmtId="176" fontId="99" fillId="0" borderId="0" xfId="59" applyNumberFormat="1" applyFont="1" applyFill="1" applyBorder="1" applyAlignment="1">
      <alignment horizontal="left"/>
    </xf>
    <xf numFmtId="0" fontId="42" fillId="0" borderId="0" xfId="132" applyFont="1" applyAlignment="1">
      <alignment horizontal="left"/>
    </xf>
    <xf numFmtId="176" fontId="42" fillId="0" borderId="0" xfId="59" applyNumberFormat="1" applyFont="1" applyFill="1" applyBorder="1"/>
    <xf numFmtId="37" fontId="18" fillId="0" borderId="0" xfId="132" applyNumberFormat="1"/>
    <xf numFmtId="43" fontId="25" fillId="0" borderId="0" xfId="132" applyNumberFormat="1" applyFont="1"/>
    <xf numFmtId="172" fontId="69" fillId="0" borderId="0" xfId="0" applyFont="1" applyAlignment="1">
      <alignment horizontal="left" vertical="center"/>
    </xf>
    <xf numFmtId="3" fontId="47" fillId="0" borderId="0" xfId="0" applyNumberFormat="1" applyFont="1" applyProtection="1">
      <protection locked="0"/>
    </xf>
    <xf numFmtId="0" fontId="47" fillId="0" borderId="0" xfId="0" applyNumberFormat="1" applyFont="1" applyProtection="1">
      <protection locked="0"/>
    </xf>
    <xf numFmtId="17" fontId="48" fillId="0" borderId="14" xfId="0" applyNumberFormat="1" applyFont="1" applyBorder="1" applyAlignment="1">
      <alignment horizontal="center" wrapText="1"/>
    </xf>
    <xf numFmtId="17" fontId="48" fillId="21" borderId="14" xfId="0" applyNumberFormat="1" applyFont="1" applyFill="1" applyBorder="1" applyAlignment="1">
      <alignment horizontal="center" wrapText="1"/>
    </xf>
    <xf numFmtId="172" fontId="0" fillId="21" borderId="14" xfId="0" applyFill="1" applyBorder="1"/>
    <xf numFmtId="17" fontId="48" fillId="0" borderId="0" xfId="0" applyNumberFormat="1" applyFont="1" applyAlignment="1">
      <alignment horizontal="center" wrapText="1"/>
    </xf>
    <xf numFmtId="0" fontId="48" fillId="0" borderId="23" xfId="0" applyNumberFormat="1" applyFont="1" applyBorder="1" applyAlignment="1">
      <alignment horizontal="center" wrapText="1"/>
    </xf>
    <xf numFmtId="172" fontId="0" fillId="21" borderId="0" xfId="0" applyFill="1"/>
    <xf numFmtId="172" fontId="0" fillId="0" borderId="21" xfId="0" applyBorder="1"/>
    <xf numFmtId="172" fontId="0" fillId="0" borderId="16" xfId="0" applyBorder="1"/>
    <xf numFmtId="172" fontId="0" fillId="0" borderId="17" xfId="0" applyBorder="1"/>
    <xf numFmtId="172" fontId="0" fillId="0" borderId="11" xfId="0" applyBorder="1"/>
    <xf numFmtId="172" fontId="0" fillId="0" borderId="22" xfId="0" applyBorder="1"/>
    <xf numFmtId="180" fontId="18" fillId="0" borderId="0" xfId="85" applyNumberFormat="1" applyFont="1" applyFill="1"/>
    <xf numFmtId="10" fontId="18" fillId="0" borderId="0" xfId="85" applyNumberFormat="1" applyFont="1"/>
    <xf numFmtId="43" fontId="104" fillId="0" borderId="0" xfId="132" applyNumberFormat="1" applyFont="1"/>
    <xf numFmtId="176" fontId="104" fillId="0" borderId="0" xfId="132" applyNumberFormat="1" applyFont="1"/>
    <xf numFmtId="0" fontId="18" fillId="0" borderId="0" xfId="132" applyAlignment="1">
      <alignment horizontal="center" vertical="center"/>
    </xf>
    <xf numFmtId="172" fontId="83" fillId="0" borderId="0" xfId="0" applyFont="1" applyAlignment="1">
      <alignment horizontal="center" vertical="center" wrapText="1"/>
    </xf>
    <xf numFmtId="0" fontId="17" fillId="0" borderId="0" xfId="137" applyFont="1"/>
    <xf numFmtId="0" fontId="20" fillId="0" borderId="0" xfId="137" applyFont="1"/>
    <xf numFmtId="0" fontId="20" fillId="0" borderId="0" xfId="137" applyFont="1" applyAlignment="1">
      <alignment horizontal="left"/>
    </xf>
    <xf numFmtId="0" fontId="20" fillId="0" borderId="32" xfId="137" applyFont="1" applyBorder="1" applyAlignment="1">
      <alignment horizontal="left"/>
    </xf>
    <xf numFmtId="0" fontId="20" fillId="0" borderId="0" xfId="137" applyFont="1" applyAlignment="1">
      <alignment horizontal="center"/>
    </xf>
    <xf numFmtId="0" fontId="106" fillId="0" borderId="0" xfId="137" applyFont="1"/>
    <xf numFmtId="0" fontId="18" fillId="0" borderId="0" xfId="137" applyFont="1"/>
    <xf numFmtId="44" fontId="20" fillId="0" borderId="0" xfId="137" applyNumberFormat="1" applyFont="1"/>
    <xf numFmtId="0" fontId="106" fillId="0" borderId="32" xfId="137" applyFont="1" applyBorder="1"/>
    <xf numFmtId="0" fontId="13" fillId="0" borderId="0" xfId="148"/>
    <xf numFmtId="0" fontId="107" fillId="0" borderId="0" xfId="148" applyFont="1" applyAlignment="1">
      <alignment horizontal="center"/>
    </xf>
    <xf numFmtId="0" fontId="13" fillId="0" borderId="35" xfId="148" applyBorder="1"/>
    <xf numFmtId="0" fontId="13" fillId="0" borderId="36" xfId="148" applyBorder="1"/>
    <xf numFmtId="0" fontId="13" fillId="0" borderId="37" xfId="148" applyBorder="1"/>
    <xf numFmtId="37" fontId="13" fillId="0" borderId="0" xfId="148" applyNumberFormat="1"/>
    <xf numFmtId="37" fontId="107" fillId="0" borderId="0" xfId="148" applyNumberFormat="1" applyFont="1"/>
    <xf numFmtId="37" fontId="107" fillId="0" borderId="34" xfId="148" applyNumberFormat="1" applyFont="1" applyBorder="1"/>
    <xf numFmtId="37" fontId="13" fillId="0" borderId="33" xfId="148" applyNumberFormat="1" applyBorder="1"/>
    <xf numFmtId="37" fontId="13" fillId="0" borderId="34" xfId="148" applyNumberFormat="1" applyBorder="1"/>
    <xf numFmtId="172" fontId="47" fillId="0" borderId="16" xfId="0" quotePrefix="1" applyFont="1" applyBorder="1" applyAlignment="1">
      <alignment horizontal="center"/>
    </xf>
    <xf numFmtId="176" fontId="47" fillId="0" borderId="0" xfId="59" applyNumberFormat="1" applyFont="1" applyAlignment="1">
      <alignment horizontal="center" vertical="center"/>
    </xf>
    <xf numFmtId="176" fontId="20" fillId="0" borderId="0" xfId="59" applyNumberFormat="1" applyFont="1" applyAlignment="1">
      <alignment horizontal="center"/>
    </xf>
    <xf numFmtId="170" fontId="18" fillId="0" borderId="0" xfId="0" applyNumberFormat="1" applyFont="1" applyAlignment="1">
      <alignment horizontal="right"/>
    </xf>
    <xf numFmtId="176" fontId="18" fillId="20" borderId="0" xfId="59" applyNumberFormat="1" applyFont="1" applyFill="1" applyAlignment="1">
      <alignment horizontal="right"/>
    </xf>
    <xf numFmtId="0" fontId="25" fillId="0" borderId="0" xfId="0" applyNumberFormat="1" applyFont="1" applyAlignment="1">
      <alignment horizontal="right"/>
    </xf>
    <xf numFmtId="172" fontId="20" fillId="0" borderId="0" xfId="0" applyFont="1"/>
    <xf numFmtId="0" fontId="25" fillId="0" borderId="0" xfId="0" applyNumberFormat="1" applyFont="1" applyAlignment="1" applyProtection="1">
      <alignment horizontal="center"/>
      <protection locked="0"/>
    </xf>
    <xf numFmtId="49" fontId="25" fillId="0" borderId="0" xfId="0" applyNumberFormat="1" applyFont="1"/>
    <xf numFmtId="172" fontId="25" fillId="0" borderId="16" xfId="0" applyFont="1" applyBorder="1"/>
    <xf numFmtId="0" fontId="25" fillId="0" borderId="0" xfId="0" applyNumberFormat="1" applyFont="1" applyAlignment="1">
      <alignment horizontal="center"/>
    </xf>
    <xf numFmtId="49" fontId="25" fillId="0" borderId="0" xfId="0" applyNumberFormat="1" applyFont="1" applyAlignment="1">
      <alignment horizontal="center"/>
    </xf>
    <xf numFmtId="3" fontId="20" fillId="0" borderId="0" xfId="0" applyNumberFormat="1" applyFont="1" applyAlignment="1">
      <alignment horizontal="center"/>
    </xf>
    <xf numFmtId="3" fontId="25" fillId="0" borderId="0" xfId="0" applyNumberFormat="1" applyFont="1"/>
    <xf numFmtId="172" fontId="20" fillId="0" borderId="0" xfId="0" applyFont="1" applyAlignment="1">
      <alignment horizontal="center"/>
    </xf>
    <xf numFmtId="0" fontId="20" fillId="0" borderId="0" xfId="0" applyNumberFormat="1" applyFont="1" applyAlignment="1" applyProtection="1">
      <alignment horizontal="center"/>
      <protection locked="0"/>
    </xf>
    <xf numFmtId="0" fontId="20" fillId="0" borderId="0" xfId="0" applyNumberFormat="1" applyFont="1"/>
    <xf numFmtId="0" fontId="106" fillId="0" borderId="0" xfId="0" applyNumberFormat="1" applyFont="1" applyAlignment="1" applyProtection="1">
      <alignment horizontal="center"/>
      <protection locked="0"/>
    </xf>
    <xf numFmtId="3" fontId="25" fillId="0" borderId="0" xfId="0" applyNumberFormat="1" applyFont="1" applyAlignment="1">
      <alignment horizontal="center"/>
    </xf>
    <xf numFmtId="173" fontId="25" fillId="0" borderId="0" xfId="63" applyNumberFormat="1" applyFont="1" applyFill="1" applyBorder="1" applyAlignment="1"/>
    <xf numFmtId="177" fontId="25" fillId="0" borderId="0" xfId="0" applyNumberFormat="1" applyFont="1"/>
    <xf numFmtId="177" fontId="25" fillId="0" borderId="0" xfId="85" applyNumberFormat="1" applyFont="1" applyFill="1" applyBorder="1" applyAlignment="1"/>
    <xf numFmtId="172" fontId="25" fillId="0" borderId="0" xfId="0" applyFont="1" applyAlignment="1">
      <alignment horizontal="center"/>
    </xf>
    <xf numFmtId="49" fontId="20" fillId="0" borderId="0" xfId="0" applyNumberFormat="1" applyFont="1" applyAlignment="1">
      <alignment horizontal="center"/>
    </xf>
    <xf numFmtId="3" fontId="20" fillId="0" borderId="0" xfId="0" applyNumberFormat="1" applyFont="1"/>
    <xf numFmtId="177" fontId="20" fillId="0" borderId="0" xfId="85" applyNumberFormat="1" applyFont="1" applyFill="1" applyBorder="1" applyAlignment="1"/>
    <xf numFmtId="164" fontId="25" fillId="0" borderId="0" xfId="0" applyNumberFormat="1" applyFont="1" applyAlignment="1">
      <alignment horizontal="center"/>
    </xf>
    <xf numFmtId="172" fontId="25" fillId="0" borderId="11" xfId="0" applyFont="1" applyBorder="1"/>
    <xf numFmtId="172" fontId="25" fillId="0" borderId="0" xfId="0" applyFont="1" applyAlignment="1">
      <alignment horizontal="right"/>
    </xf>
    <xf numFmtId="174" fontId="20" fillId="0" borderId="0" xfId="0" applyNumberFormat="1" applyFont="1" applyAlignment="1">
      <alignment horizontal="center"/>
    </xf>
    <xf numFmtId="172" fontId="20" fillId="0" borderId="13" xfId="0" applyFont="1" applyBorder="1" applyAlignment="1">
      <alignment horizontal="center" wrapText="1"/>
    </xf>
    <xf numFmtId="172" fontId="20" fillId="0" borderId="14" xfId="0" applyFont="1" applyBorder="1"/>
    <xf numFmtId="172" fontId="20" fillId="0" borderId="14" xfId="0" applyFont="1" applyBorder="1" applyAlignment="1">
      <alignment horizontal="center"/>
    </xf>
    <xf numFmtId="172" fontId="20" fillId="0" borderId="14" xfId="0" applyFont="1" applyBorder="1" applyAlignment="1">
      <alignment horizontal="center" wrapText="1"/>
    </xf>
    <xf numFmtId="0" fontId="20" fillId="0" borderId="14" xfId="0" applyNumberFormat="1" applyFont="1" applyBorder="1" applyAlignment="1">
      <alignment horizontal="center" wrapText="1"/>
    </xf>
    <xf numFmtId="172" fontId="20" fillId="0" borderId="12" xfId="0" applyFont="1" applyBorder="1" applyAlignment="1">
      <alignment horizontal="center" wrapText="1"/>
    </xf>
    <xf numFmtId="3" fontId="20" fillId="0" borderId="12" xfId="0" applyNumberFormat="1" applyFont="1" applyBorder="1" applyAlignment="1">
      <alignment horizontal="center" wrapText="1"/>
    </xf>
    <xf numFmtId="0" fontId="25" fillId="0" borderId="13" xfId="0" applyNumberFormat="1" applyFont="1" applyBorder="1"/>
    <xf numFmtId="0" fontId="25" fillId="0" borderId="14" xfId="0" applyNumberFormat="1" applyFont="1" applyBorder="1"/>
    <xf numFmtId="0" fontId="25" fillId="0" borderId="14" xfId="0" applyNumberFormat="1" applyFont="1" applyBorder="1" applyAlignment="1">
      <alignment horizontal="center"/>
    </xf>
    <xf numFmtId="0" fontId="25" fillId="0" borderId="12" xfId="0" applyNumberFormat="1" applyFont="1" applyBorder="1" applyAlignment="1">
      <alignment horizontal="center"/>
    </xf>
    <xf numFmtId="0" fontId="25" fillId="0" borderId="12" xfId="0" applyNumberFormat="1" applyFont="1" applyBorder="1" applyAlignment="1">
      <alignment horizontal="center" wrapText="1"/>
    </xf>
    <xf numFmtId="0" fontId="25" fillId="0" borderId="16" xfId="0" applyNumberFormat="1" applyFont="1" applyBorder="1" applyAlignment="1">
      <alignment horizontal="center" wrapText="1"/>
    </xf>
    <xf numFmtId="0" fontId="25" fillId="0" borderId="10" xfId="0" applyNumberFormat="1" applyFont="1" applyBorder="1"/>
    <xf numFmtId="170" fontId="25" fillId="0" borderId="10" xfId="0" applyNumberFormat="1" applyFont="1" applyBorder="1"/>
    <xf numFmtId="173" fontId="25" fillId="20" borderId="0" xfId="63" applyNumberFormat="1" applyFont="1" applyFill="1" applyBorder="1" applyAlignment="1"/>
    <xf numFmtId="170" fontId="25" fillId="0" borderId="10" xfId="59" applyNumberFormat="1" applyFont="1" applyFill="1" applyBorder="1" applyAlignment="1"/>
    <xf numFmtId="43" fontId="25" fillId="20" borderId="10" xfId="59" applyFont="1" applyFill="1" applyBorder="1" applyAlignment="1"/>
    <xf numFmtId="172" fontId="18" fillId="0" borderId="10" xfId="0" applyFont="1" applyBorder="1"/>
    <xf numFmtId="172" fontId="25" fillId="0" borderId="17" xfId="0" applyFont="1" applyBorder="1"/>
    <xf numFmtId="172" fontId="18" fillId="0" borderId="11" xfId="0" applyFont="1" applyBorder="1"/>
    <xf numFmtId="172" fontId="18" fillId="0" borderId="19" xfId="0" applyFont="1" applyBorder="1"/>
    <xf numFmtId="43" fontId="25" fillId="0" borderId="0" xfId="59" applyFont="1" applyFill="1" applyBorder="1" applyAlignment="1"/>
    <xf numFmtId="172" fontId="25" fillId="0" borderId="0" xfId="0" quotePrefix="1" applyFont="1" applyAlignment="1">
      <alignment horizontal="center"/>
    </xf>
    <xf numFmtId="172" fontId="103" fillId="0" borderId="0" xfId="0" applyFont="1"/>
    <xf numFmtId="172" fontId="25" fillId="0" borderId="0" xfId="0" applyFont="1" applyAlignment="1">
      <alignment horizontal="center" vertical="top"/>
    </xf>
    <xf numFmtId="172" fontId="18" fillId="0" borderId="0" xfId="0" applyFont="1" applyAlignment="1">
      <alignment horizontal="center"/>
    </xf>
    <xf numFmtId="10" fontId="25" fillId="0" borderId="0" xfId="0" applyNumberFormat="1" applyFont="1"/>
    <xf numFmtId="172" fontId="20" fillId="0" borderId="14" xfId="0" applyFont="1" applyBorder="1" applyAlignment="1">
      <alignment wrapText="1"/>
    </xf>
    <xf numFmtId="3" fontId="20" fillId="0" borderId="23" xfId="0" applyNumberFormat="1" applyFont="1" applyBorder="1" applyAlignment="1">
      <alignment horizontal="center" wrapText="1"/>
    </xf>
    <xf numFmtId="172" fontId="25" fillId="0" borderId="0" xfId="0" applyFont="1" applyAlignment="1">
      <alignment wrapText="1"/>
    </xf>
    <xf numFmtId="0" fontId="25" fillId="0" borderId="14" xfId="0" applyNumberFormat="1" applyFont="1" applyBorder="1" applyAlignment="1">
      <alignment horizontal="center" wrapText="1"/>
    </xf>
    <xf numFmtId="0" fontId="25" fillId="0" borderId="23" xfId="0" applyNumberFormat="1" applyFont="1" applyBorder="1" applyAlignment="1">
      <alignment horizontal="center"/>
    </xf>
    <xf numFmtId="0" fontId="25" fillId="0" borderId="16" xfId="0" applyNumberFormat="1" applyFont="1" applyBorder="1" applyAlignment="1">
      <alignment horizontal="center"/>
    </xf>
    <xf numFmtId="0" fontId="25" fillId="0" borderId="2" xfId="0" applyNumberFormat="1" applyFont="1" applyBorder="1"/>
    <xf numFmtId="0" fontId="25" fillId="0" borderId="32" xfId="0" applyNumberFormat="1" applyFont="1" applyBorder="1"/>
    <xf numFmtId="0" fontId="25" fillId="0" borderId="20" xfId="0" applyNumberFormat="1" applyFont="1" applyBorder="1"/>
    <xf numFmtId="0" fontId="25" fillId="0" borderId="16" xfId="0" applyNumberFormat="1" applyFont="1" applyBorder="1"/>
    <xf numFmtId="0" fontId="25" fillId="0" borderId="21" xfId="0" applyNumberFormat="1" applyFont="1" applyBorder="1"/>
    <xf numFmtId="43" fontId="25" fillId="0" borderId="21" xfId="59" applyFont="1" applyFill="1" applyBorder="1" applyAlignment="1"/>
    <xf numFmtId="43" fontId="18" fillId="0" borderId="21" xfId="59" applyFont="1" applyFill="1" applyBorder="1" applyAlignment="1"/>
    <xf numFmtId="43" fontId="18" fillId="0" borderId="11" xfId="59" applyFont="1" applyFill="1" applyBorder="1" applyAlignment="1"/>
    <xf numFmtId="43" fontId="18" fillId="0" borderId="22" xfId="59" applyFont="1" applyFill="1" applyBorder="1" applyAlignment="1"/>
    <xf numFmtId="172" fontId="108" fillId="0" borderId="0" xfId="0" applyFont="1"/>
    <xf numFmtId="49" fontId="25" fillId="0" borderId="0" xfId="0" applyNumberFormat="1" applyFont="1" applyAlignment="1">
      <alignment horizontal="left"/>
    </xf>
    <xf numFmtId="176" fontId="68" fillId="20" borderId="0" xfId="136" applyNumberFormat="1" applyFont="1" applyFill="1"/>
    <xf numFmtId="176" fontId="18" fillId="20" borderId="0" xfId="136" applyNumberFormat="1" applyFont="1" applyFill="1"/>
    <xf numFmtId="176" fontId="18" fillId="20" borderId="0" xfId="59" applyNumberFormat="1" applyFont="1" applyFill="1"/>
    <xf numFmtId="176" fontId="18" fillId="20" borderId="0" xfId="59" applyNumberFormat="1" applyFont="1" applyFill="1" applyAlignment="1">
      <alignment wrapText="1"/>
    </xf>
    <xf numFmtId="176" fontId="68" fillId="20" borderId="0" xfId="136" applyNumberFormat="1" applyFont="1" applyFill="1" applyBorder="1"/>
    <xf numFmtId="176" fontId="18" fillId="20" borderId="11" xfId="59" applyNumberFormat="1" applyFont="1" applyFill="1" applyBorder="1"/>
    <xf numFmtId="176" fontId="18" fillId="20" borderId="11" xfId="59" applyNumberFormat="1" applyFont="1" applyFill="1" applyBorder="1" applyAlignment="1">
      <alignment wrapText="1"/>
    </xf>
    <xf numFmtId="0" fontId="42" fillId="0" borderId="0" xfId="132" applyFont="1" applyAlignment="1">
      <alignment horizontal="center" wrapText="1"/>
    </xf>
    <xf numFmtId="176" fontId="95" fillId="20" borderId="0" xfId="59" applyNumberFormat="1" applyFont="1" applyFill="1"/>
    <xf numFmtId="176" fontId="101" fillId="20" borderId="0" xfId="59" applyNumberFormat="1" applyFont="1" applyFill="1"/>
    <xf numFmtId="0" fontId="18" fillId="20" borderId="0" xfId="132" applyFill="1"/>
    <xf numFmtId="176" fontId="102" fillId="20" borderId="0" xfId="59" applyNumberFormat="1" applyFont="1" applyFill="1"/>
    <xf numFmtId="0" fontId="18" fillId="20" borderId="0" xfId="132" applyFill="1" applyAlignment="1">
      <alignment wrapText="1"/>
    </xf>
    <xf numFmtId="176" fontId="18" fillId="20" borderId="0" xfId="136" applyNumberFormat="1" applyFont="1" applyFill="1" applyBorder="1"/>
    <xf numFmtId="176" fontId="68" fillId="20" borderId="0" xfId="59" applyNumberFormat="1" applyFont="1" applyFill="1"/>
    <xf numFmtId="176" fontId="95" fillId="20" borderId="0" xfId="59" applyNumberFormat="1" applyFont="1" applyFill="1" applyBorder="1"/>
    <xf numFmtId="176" fontId="101" fillId="20" borderId="0" xfId="59" applyNumberFormat="1" applyFont="1" applyFill="1" applyBorder="1"/>
    <xf numFmtId="176" fontId="95" fillId="0" borderId="0" xfId="59" applyNumberFormat="1" applyFont="1" applyFill="1"/>
    <xf numFmtId="176" fontId="101" fillId="0" borderId="0" xfId="59" applyNumberFormat="1" applyFont="1" applyFill="1"/>
    <xf numFmtId="176" fontId="18" fillId="20" borderId="11" xfId="136" applyNumberFormat="1" applyFont="1" applyFill="1" applyBorder="1"/>
    <xf numFmtId="176" fontId="70" fillId="0" borderId="0" xfId="59" applyNumberFormat="1" applyFont="1" applyFill="1" applyAlignment="1">
      <alignment horizontal="left" vertical="center"/>
    </xf>
    <xf numFmtId="0" fontId="0" fillId="0" borderId="0" xfId="0" applyNumberFormat="1" applyAlignment="1">
      <alignment horizontal="left"/>
    </xf>
    <xf numFmtId="10" fontId="79" fillId="0" borderId="0" xfId="85" applyNumberFormat="1" applyFont="1"/>
    <xf numFmtId="0" fontId="18" fillId="0" borderId="0" xfId="0" applyNumberFormat="1" applyFont="1" applyAlignment="1">
      <alignment horizontal="left"/>
    </xf>
    <xf numFmtId="3" fontId="69" fillId="0" borderId="0" xfId="0" applyNumberFormat="1" applyFont="1" applyAlignment="1">
      <alignment horizontal="center" vertical="center"/>
    </xf>
    <xf numFmtId="3" fontId="69" fillId="0" borderId="0" xfId="0" applyNumberFormat="1" applyFont="1" applyAlignment="1">
      <alignment vertical="center"/>
    </xf>
    <xf numFmtId="3" fontId="68" fillId="0" borderId="0" xfId="132" applyNumberFormat="1" applyFont="1"/>
    <xf numFmtId="176" fontId="70" fillId="20" borderId="0" xfId="151" applyNumberFormat="1" applyFont="1" applyFill="1" applyBorder="1" applyAlignment="1">
      <alignment horizontal="center" vertical="center"/>
    </xf>
    <xf numFmtId="37" fontId="13" fillId="0" borderId="6" xfId="148" applyNumberFormat="1" applyBorder="1"/>
    <xf numFmtId="172" fontId="71" fillId="0" borderId="21" xfId="0" applyFont="1" applyBorder="1" applyAlignment="1">
      <alignment horizontal="center" vertical="center"/>
    </xf>
    <xf numFmtId="176" fontId="70" fillId="0" borderId="22" xfId="59" applyNumberFormat="1" applyFont="1" applyBorder="1" applyAlignment="1">
      <alignment horizontal="center" vertical="center"/>
    </xf>
    <xf numFmtId="172" fontId="69" fillId="21" borderId="0" xfId="0" applyFont="1" applyFill="1" applyAlignment="1">
      <alignment vertical="center"/>
    </xf>
    <xf numFmtId="176" fontId="13" fillId="0" borderId="0" xfId="148" applyNumberFormat="1"/>
    <xf numFmtId="172" fontId="82" fillId="0" borderId="0" xfId="0" applyFont="1" applyAlignment="1">
      <alignment horizontal="center" vertical="center"/>
    </xf>
    <xf numFmtId="0" fontId="79" fillId="0" borderId="0" xfId="129" applyFont="1" applyAlignment="1">
      <alignment horizontal="left"/>
    </xf>
    <xf numFmtId="9" fontId="79" fillId="0" borderId="0" xfId="85" applyFont="1"/>
    <xf numFmtId="172" fontId="69" fillId="21" borderId="21" xfId="0" applyFont="1" applyFill="1" applyBorder="1" applyAlignment="1">
      <alignment vertical="center"/>
    </xf>
    <xf numFmtId="172" fontId="69" fillId="20" borderId="0" xfId="0" applyFont="1" applyFill="1" applyAlignment="1">
      <alignment vertical="center"/>
    </xf>
    <xf numFmtId="172" fontId="69" fillId="20" borderId="21" xfId="0" applyFont="1" applyFill="1" applyBorder="1" applyAlignment="1">
      <alignment vertical="center"/>
    </xf>
    <xf numFmtId="176" fontId="18" fillId="0" borderId="0" xfId="132" applyNumberFormat="1" applyAlignment="1">
      <alignment horizontal="center"/>
    </xf>
    <xf numFmtId="43" fontId="18" fillId="0" borderId="0" xfId="132" applyNumberFormat="1" applyAlignment="1">
      <alignment horizontal="center"/>
    </xf>
    <xf numFmtId="0" fontId="18" fillId="0" borderId="0" xfId="132" applyAlignment="1">
      <alignment horizontal="center" wrapText="1"/>
    </xf>
    <xf numFmtId="176" fontId="104" fillId="0" borderId="0" xfId="132" applyNumberFormat="1" applyFont="1" applyAlignment="1">
      <alignment horizontal="center"/>
    </xf>
    <xf numFmtId="43" fontId="104" fillId="0" borderId="0" xfId="132" applyNumberFormat="1" applyFont="1" applyAlignment="1">
      <alignment horizontal="center"/>
    </xf>
    <xf numFmtId="172" fontId="77" fillId="20" borderId="24" xfId="0" applyFont="1" applyFill="1" applyBorder="1" applyAlignment="1" applyProtection="1">
      <alignment horizontal="center" vertical="center" wrapText="1"/>
      <protection locked="0"/>
    </xf>
    <xf numFmtId="172" fontId="25" fillId="20" borderId="16" xfId="0" applyFont="1" applyFill="1" applyBorder="1" applyAlignment="1">
      <alignment horizontal="center"/>
    </xf>
    <xf numFmtId="172" fontId="0" fillId="20" borderId="0" xfId="0" applyFill="1" applyAlignment="1">
      <alignment horizontal="left"/>
    </xf>
    <xf numFmtId="172" fontId="0" fillId="20" borderId="0" xfId="0" applyFill="1"/>
    <xf numFmtId="172" fontId="25" fillId="20" borderId="0" xfId="0" applyFont="1" applyFill="1" applyAlignment="1">
      <alignment horizontal="left" wrapText="1"/>
    </xf>
    <xf numFmtId="176" fontId="72" fillId="0" borderId="0" xfId="59" applyNumberFormat="1" applyFont="1" applyFill="1" applyAlignment="1">
      <alignment horizontal="center" vertical="center"/>
    </xf>
    <xf numFmtId="176" fontId="70" fillId="0" borderId="0" xfId="59" applyNumberFormat="1" applyFont="1" applyFill="1" applyAlignment="1">
      <alignment vertical="center"/>
    </xf>
    <xf numFmtId="170" fontId="77" fillId="20" borderId="26" xfId="0" applyNumberFormat="1" applyFont="1" applyFill="1" applyBorder="1" applyAlignment="1" applyProtection="1">
      <alignment horizontal="center"/>
      <protection locked="0"/>
    </xf>
    <xf numFmtId="0" fontId="81" fillId="0" borderId="0" xfId="129" applyFont="1"/>
    <xf numFmtId="37" fontId="107" fillId="0" borderId="39" xfId="148" applyNumberFormat="1" applyFont="1" applyBorder="1"/>
    <xf numFmtId="37" fontId="13" fillId="0" borderId="40" xfId="148" applyNumberFormat="1" applyBorder="1"/>
    <xf numFmtId="0" fontId="79" fillId="0" borderId="0" xfId="129" applyFont="1" applyAlignment="1">
      <alignment vertical="top"/>
    </xf>
    <xf numFmtId="0" fontId="25" fillId="0" borderId="0" xfId="137" applyFont="1"/>
    <xf numFmtId="0" fontId="25" fillId="0" borderId="15" xfId="137" applyFont="1" applyBorder="1"/>
    <xf numFmtId="0" fontId="20" fillId="0" borderId="20" xfId="137" applyFont="1" applyBorder="1" applyAlignment="1">
      <alignment horizontal="left"/>
    </xf>
    <xf numFmtId="0" fontId="25" fillId="0" borderId="16" xfId="137" applyFont="1" applyBorder="1"/>
    <xf numFmtId="0" fontId="88" fillId="0" borderId="0" xfId="137" applyFont="1" applyAlignment="1">
      <alignment horizontal="left"/>
    </xf>
    <xf numFmtId="0" fontId="20" fillId="0" borderId="21" xfId="137" applyFont="1" applyBorder="1" applyAlignment="1">
      <alignment horizontal="left"/>
    </xf>
    <xf numFmtId="0" fontId="20" fillId="0" borderId="29" xfId="137" applyFont="1" applyBorder="1"/>
    <xf numFmtId="14" fontId="20" fillId="0" borderId="31" xfId="137" applyNumberFormat="1" applyFont="1" applyBorder="1"/>
    <xf numFmtId="0" fontId="25" fillId="0" borderId="0" xfId="137" applyFont="1" applyAlignment="1">
      <alignment horizontal="left"/>
    </xf>
    <xf numFmtId="0" fontId="20" fillId="0" borderId="16" xfId="137" applyFont="1" applyBorder="1" applyAlignment="1">
      <alignment horizontal="center"/>
    </xf>
    <xf numFmtId="0" fontId="20" fillId="0" borderId="0" xfId="137" quotePrefix="1" applyFont="1" applyAlignment="1">
      <alignment horizontal="center"/>
    </xf>
    <xf numFmtId="0" fontId="20" fillId="0" borderId="21" xfId="137" applyFont="1" applyBorder="1" applyAlignment="1">
      <alignment horizontal="center"/>
    </xf>
    <xf numFmtId="0" fontId="25" fillId="0" borderId="0" xfId="137" applyFont="1" applyAlignment="1">
      <alignment horizontal="center"/>
    </xf>
    <xf numFmtId="0" fontId="108" fillId="0" borderId="0" xfId="137" applyFont="1"/>
    <xf numFmtId="0" fontId="25" fillId="0" borderId="21" xfId="137" applyFont="1" applyBorder="1"/>
    <xf numFmtId="173" fontId="25" fillId="0" borderId="0" xfId="137" applyNumberFormat="1" applyFont="1"/>
    <xf numFmtId="10" fontId="106" fillId="0" borderId="0" xfId="137" applyNumberFormat="1" applyFont="1" applyAlignment="1">
      <alignment horizontal="left"/>
    </xf>
    <xf numFmtId="10" fontId="24" fillId="0" borderId="0" xfId="137" applyNumberFormat="1" applyFont="1" applyAlignment="1">
      <alignment horizontal="left"/>
    </xf>
    <xf numFmtId="0" fontId="103" fillId="0" borderId="0" xfId="137" applyFont="1" applyAlignment="1">
      <alignment horizontal="center"/>
    </xf>
    <xf numFmtId="17" fontId="25" fillId="0" borderId="0" xfId="137" applyNumberFormat="1" applyFont="1" applyAlignment="1">
      <alignment horizontal="left"/>
    </xf>
    <xf numFmtId="41" fontId="25" fillId="0" borderId="0" xfId="137" applyNumberFormat="1" applyFont="1"/>
    <xf numFmtId="14" fontId="20" fillId="0" borderId="0" xfId="137" applyNumberFormat="1" applyFont="1" applyAlignment="1">
      <alignment horizontal="left"/>
    </xf>
    <xf numFmtId="0" fontId="103" fillId="0" borderId="0" xfId="137" applyFont="1"/>
    <xf numFmtId="6" fontId="25" fillId="0" borderId="0" xfId="137" applyNumberFormat="1" applyFont="1" applyAlignment="1">
      <alignment horizontal="center"/>
    </xf>
    <xf numFmtId="0" fontId="25" fillId="0" borderId="16" xfId="137" quotePrefix="1" applyFont="1" applyBorder="1"/>
    <xf numFmtId="173" fontId="25" fillId="0" borderId="0" xfId="138" applyNumberFormat="1" applyFont="1" applyBorder="1" applyAlignment="1">
      <alignment horizontal="center"/>
    </xf>
    <xf numFmtId="173" fontId="25" fillId="20" borderId="0" xfId="138" applyNumberFormat="1" applyFont="1" applyFill="1" applyBorder="1" applyAlignment="1">
      <alignment horizontal="center"/>
    </xf>
    <xf numFmtId="44" fontId="25" fillId="0" borderId="0" xfId="138" applyFont="1" applyFill="1" applyBorder="1" applyAlignment="1">
      <alignment horizontal="center"/>
    </xf>
    <xf numFmtId="10" fontId="25" fillId="0" borderId="0" xfId="137" applyNumberFormat="1" applyFont="1"/>
    <xf numFmtId="44" fontId="25" fillId="0" borderId="0" xfId="137" applyNumberFormat="1" applyFont="1"/>
    <xf numFmtId="0" fontId="111" fillId="0" borderId="0" xfId="137" applyFont="1"/>
    <xf numFmtId="176" fontId="111" fillId="0" borderId="0" xfId="139" applyNumberFormat="1" applyFont="1" applyFill="1" applyBorder="1"/>
    <xf numFmtId="176" fontId="111" fillId="0" borderId="0" xfId="137" applyNumberFormat="1" applyFont="1"/>
    <xf numFmtId="164" fontId="103" fillId="0" borderId="0" xfId="137" applyNumberFormat="1" applyFont="1"/>
    <xf numFmtId="176" fontId="25" fillId="0" borderId="0" xfId="139" applyNumberFormat="1" applyFont="1" applyFill="1" applyBorder="1"/>
    <xf numFmtId="173" fontId="25" fillId="0" borderId="0" xfId="138" applyNumberFormat="1" applyFont="1" applyFill="1" applyBorder="1"/>
    <xf numFmtId="176" fontId="25" fillId="0" borderId="0" xfId="137" applyNumberFormat="1" applyFont="1"/>
    <xf numFmtId="173" fontId="25" fillId="20" borderId="11" xfId="138" applyNumberFormat="1" applyFont="1" applyFill="1" applyBorder="1"/>
    <xf numFmtId="44" fontId="112" fillId="0" borderId="0" xfId="138" applyFont="1" applyFill="1" applyBorder="1" applyAlignment="1">
      <alignment horizontal="center"/>
    </xf>
    <xf numFmtId="10" fontId="103" fillId="0" borderId="0" xfId="137" applyNumberFormat="1" applyFont="1"/>
    <xf numFmtId="173" fontId="25" fillId="0" borderId="0" xfId="138" applyNumberFormat="1" applyFont="1" applyBorder="1"/>
    <xf numFmtId="164" fontId="25" fillId="0" borderId="0" xfId="137" applyNumberFormat="1" applyFont="1"/>
    <xf numFmtId="44" fontId="108" fillId="0" borderId="0" xfId="137" applyNumberFormat="1" applyFont="1"/>
    <xf numFmtId="44" fontId="25" fillId="0" borderId="21" xfId="137" applyNumberFormat="1" applyFont="1" applyBorder="1"/>
    <xf numFmtId="0" fontId="25" fillId="0" borderId="17" xfId="137" applyFont="1" applyBorder="1"/>
    <xf numFmtId="44" fontId="25" fillId="0" borderId="11" xfId="137" applyNumberFormat="1" applyFont="1" applyBorder="1"/>
    <xf numFmtId="44" fontId="25" fillId="0" borderId="22" xfId="137" applyNumberFormat="1" applyFont="1" applyBorder="1"/>
    <xf numFmtId="0" fontId="25" fillId="0" borderId="11" xfId="137" applyFont="1" applyBorder="1"/>
    <xf numFmtId="44" fontId="25" fillId="0" borderId="32" xfId="137" applyNumberFormat="1" applyFont="1" applyBorder="1"/>
    <xf numFmtId="44" fontId="25" fillId="0" borderId="20" xfId="137" applyNumberFormat="1" applyFont="1" applyBorder="1"/>
    <xf numFmtId="0" fontId="25" fillId="0" borderId="20" xfId="137" applyFont="1" applyBorder="1"/>
    <xf numFmtId="42" fontId="20" fillId="0" borderId="0" xfId="137" applyNumberFormat="1" applyFont="1" applyAlignment="1">
      <alignment horizontal="center"/>
    </xf>
    <xf numFmtId="0" fontId="25" fillId="0" borderId="21" xfId="137" applyFont="1" applyBorder="1" applyAlignment="1">
      <alignment horizontal="center"/>
    </xf>
    <xf numFmtId="0" fontId="103" fillId="0" borderId="21" xfId="137" applyFont="1" applyBorder="1" applyAlignment="1">
      <alignment horizontal="center"/>
    </xf>
    <xf numFmtId="42" fontId="25" fillId="0" borderId="0" xfId="137" applyNumberFormat="1" applyFont="1"/>
    <xf numFmtId="42" fontId="25" fillId="0" borderId="21" xfId="139" applyNumberFormat="1" applyFont="1" applyBorder="1"/>
    <xf numFmtId="169" fontId="25" fillId="0" borderId="0" xfId="137" applyNumberFormat="1" applyFont="1"/>
    <xf numFmtId="10" fontId="25" fillId="0" borderId="21" xfId="139" applyNumberFormat="1" applyFont="1" applyBorder="1" applyAlignment="1">
      <alignment horizontal="center"/>
    </xf>
    <xf numFmtId="185" fontId="25" fillId="0" borderId="0" xfId="137" applyNumberFormat="1" applyFont="1"/>
    <xf numFmtId="166" fontId="25" fillId="0" borderId="0" xfId="137" applyNumberFormat="1" applyFont="1"/>
    <xf numFmtId="176" fontId="25" fillId="0" borderId="0" xfId="139" applyNumberFormat="1" applyFont="1" applyBorder="1"/>
    <xf numFmtId="173" fontId="25" fillId="20" borderId="11" xfId="138" applyNumberFormat="1" applyFont="1" applyFill="1" applyBorder="1" applyAlignment="1">
      <alignment horizontal="center"/>
    </xf>
    <xf numFmtId="164" fontId="25" fillId="0" borderId="0" xfId="137" applyNumberFormat="1" applyFont="1" applyAlignment="1">
      <alignment horizontal="right"/>
    </xf>
    <xf numFmtId="0" fontId="25" fillId="0" borderId="0" xfId="137" quotePrefix="1" applyFont="1" applyAlignment="1">
      <alignment horizontal="center"/>
    </xf>
    <xf numFmtId="14" fontId="25" fillId="0" borderId="0" xfId="137" quotePrefix="1" applyNumberFormat="1" applyFont="1" applyAlignment="1">
      <alignment horizontal="center"/>
    </xf>
    <xf numFmtId="42" fontId="25" fillId="0" borderId="0" xfId="139" applyNumberFormat="1" applyFont="1" applyBorder="1"/>
    <xf numFmtId="42" fontId="25" fillId="0" borderId="21" xfId="137" applyNumberFormat="1" applyFont="1" applyBorder="1"/>
    <xf numFmtId="169" fontId="25" fillId="0" borderId="21" xfId="137" applyNumberFormat="1" applyFont="1" applyBorder="1"/>
    <xf numFmtId="43" fontId="25" fillId="0" borderId="11" xfId="139" applyFont="1" applyBorder="1"/>
    <xf numFmtId="0" fontId="25" fillId="0" borderId="22" xfId="137" applyFont="1" applyBorder="1"/>
    <xf numFmtId="185" fontId="25" fillId="0" borderId="22" xfId="137" applyNumberFormat="1" applyFont="1" applyBorder="1"/>
    <xf numFmtId="43" fontId="25" fillId="0" borderId="0" xfId="139" applyFont="1"/>
    <xf numFmtId="0" fontId="113" fillId="0" borderId="0" xfId="137" applyFont="1"/>
    <xf numFmtId="43" fontId="25" fillId="0" borderId="0" xfId="137" applyNumberFormat="1" applyFont="1"/>
    <xf numFmtId="10" fontId="25" fillId="0" borderId="0" xfId="141" applyNumberFormat="1" applyFont="1" applyBorder="1"/>
    <xf numFmtId="173" fontId="25" fillId="0" borderId="0" xfId="142" applyNumberFormat="1" applyFont="1" applyBorder="1"/>
    <xf numFmtId="0" fontId="25" fillId="0" borderId="0" xfId="137" applyFont="1" applyAlignment="1">
      <alignment horizontal="right"/>
    </xf>
    <xf numFmtId="0" fontId="106" fillId="0" borderId="0" xfId="137" applyFont="1" applyAlignment="1">
      <alignment horizontal="left"/>
    </xf>
    <xf numFmtId="164" fontId="25" fillId="0" borderId="0" xfId="137" applyNumberFormat="1" applyFont="1" applyAlignment="1">
      <alignment horizontal="center"/>
    </xf>
    <xf numFmtId="43" fontId="25" fillId="0" borderId="0" xfId="139" applyFont="1" applyBorder="1"/>
    <xf numFmtId="164" fontId="25" fillId="0" borderId="0" xfId="141" applyNumberFormat="1" applyFont="1" applyBorder="1"/>
    <xf numFmtId="164" fontId="18" fillId="0" borderId="0" xfId="137" applyNumberFormat="1" applyFont="1"/>
    <xf numFmtId="164" fontId="18" fillId="0" borderId="11" xfId="137" applyNumberFormat="1" applyFont="1" applyBorder="1"/>
    <xf numFmtId="172" fontId="46" fillId="0" borderId="0" xfId="0" applyFont="1" applyAlignment="1">
      <alignment horizontal="left"/>
    </xf>
    <xf numFmtId="172" fontId="46" fillId="20" borderId="0" xfId="0" applyFont="1" applyFill="1" applyAlignment="1">
      <alignment horizontal="left"/>
    </xf>
    <xf numFmtId="17" fontId="48" fillId="20" borderId="14" xfId="0" applyNumberFormat="1" applyFont="1" applyFill="1" applyBorder="1" applyAlignment="1">
      <alignment horizontal="center" wrapText="1"/>
    </xf>
    <xf numFmtId="170" fontId="0" fillId="0" borderId="21" xfId="0" applyNumberFormat="1" applyBorder="1"/>
    <xf numFmtId="0" fontId="79" fillId="0" borderId="0" xfId="129" applyFont="1" applyAlignment="1">
      <alignment horizontal="left" wrapText="1"/>
    </xf>
    <xf numFmtId="37" fontId="107" fillId="0" borderId="6" xfId="148" applyNumberFormat="1" applyFont="1" applyBorder="1"/>
    <xf numFmtId="172" fontId="47" fillId="0" borderId="0" xfId="0" applyFont="1" applyAlignment="1">
      <alignment horizontal="center" vertical="top"/>
    </xf>
    <xf numFmtId="0" fontId="25" fillId="0" borderId="0" xfId="152" applyFont="1"/>
    <xf numFmtId="14" fontId="25" fillId="20" borderId="0" xfId="152" applyNumberFormat="1" applyFont="1" applyFill="1" applyAlignment="1">
      <alignment horizontal="center"/>
    </xf>
    <xf numFmtId="169" fontId="25" fillId="20" borderId="0" xfId="152" applyNumberFormat="1" applyFont="1" applyFill="1"/>
    <xf numFmtId="0" fontId="108" fillId="0" borderId="0" xfId="152" applyFont="1"/>
    <xf numFmtId="6" fontId="25" fillId="0" borderId="0" xfId="152" applyNumberFormat="1" applyFont="1" applyAlignment="1">
      <alignment horizontal="center"/>
    </xf>
    <xf numFmtId="0" fontId="111" fillId="0" borderId="0" xfId="152" applyFont="1"/>
    <xf numFmtId="176" fontId="25" fillId="0" borderId="0" xfId="152" applyNumberFormat="1" applyFont="1"/>
    <xf numFmtId="10" fontId="0" fillId="0" borderId="0" xfId="85" applyNumberFormat="1" applyFont="1" applyBorder="1" applyAlignment="1"/>
    <xf numFmtId="173" fontId="25" fillId="20" borderId="0" xfId="138" applyNumberFormat="1" applyFont="1" applyFill="1" applyBorder="1"/>
    <xf numFmtId="173" fontId="112" fillId="0" borderId="0" xfId="137" applyNumberFormat="1" applyFont="1"/>
    <xf numFmtId="170" fontId="69" fillId="0" borderId="0" xfId="0" applyNumberFormat="1" applyFont="1" applyAlignment="1">
      <alignment vertical="center"/>
    </xf>
    <xf numFmtId="172" fontId="115" fillId="0" borderId="0" xfId="0" applyFont="1"/>
    <xf numFmtId="0" fontId="115" fillId="0" borderId="0" xfId="0" applyNumberFormat="1" applyFont="1"/>
    <xf numFmtId="0" fontId="115" fillId="0" borderId="0" xfId="0" applyNumberFormat="1" applyFont="1" applyAlignment="1">
      <alignment horizontal="left"/>
    </xf>
    <xf numFmtId="0" fontId="115" fillId="0" borderId="0" xfId="0" applyNumberFormat="1" applyFont="1" applyAlignment="1">
      <alignment horizontal="right"/>
    </xf>
    <xf numFmtId="0" fontId="115" fillId="20" borderId="0" xfId="0" applyNumberFormat="1" applyFont="1" applyFill="1"/>
    <xf numFmtId="172" fontId="115" fillId="20" borderId="0" xfId="0" applyFont="1" applyFill="1"/>
    <xf numFmtId="3" fontId="115" fillId="0" borderId="0" xfId="0" applyNumberFormat="1" applyFont="1"/>
    <xf numFmtId="0" fontId="115" fillId="0" borderId="0" xfId="0" applyNumberFormat="1" applyFont="1" applyAlignment="1">
      <alignment horizontal="center"/>
    </xf>
    <xf numFmtId="49" fontId="115" fillId="0" borderId="0" xfId="0" applyNumberFormat="1" applyFont="1"/>
    <xf numFmtId="49" fontId="115" fillId="0" borderId="0" xfId="0" applyNumberFormat="1" applyFont="1" applyAlignment="1">
      <alignment horizontal="left"/>
    </xf>
    <xf numFmtId="49" fontId="115" fillId="0" borderId="0" xfId="0" applyNumberFormat="1" applyFont="1" applyAlignment="1">
      <alignment horizontal="center"/>
    </xf>
    <xf numFmtId="0" fontId="115" fillId="0" borderId="6" xfId="0" applyNumberFormat="1" applyFont="1" applyBorder="1" applyAlignment="1">
      <alignment horizontal="center"/>
    </xf>
    <xf numFmtId="42" fontId="115" fillId="0" borderId="0" xfId="0" applyNumberFormat="1" applyFont="1"/>
    <xf numFmtId="176" fontId="115" fillId="0" borderId="0" xfId="59" applyNumberFormat="1" applyFont="1"/>
    <xf numFmtId="177" fontId="115" fillId="0" borderId="0" xfId="85" applyNumberFormat="1" applyFont="1" applyAlignment="1"/>
    <xf numFmtId="186" fontId="115" fillId="0" borderId="0" xfId="0" applyNumberFormat="1" applyFont="1"/>
    <xf numFmtId="0" fontId="115" fillId="0" borderId="6" xfId="0" applyNumberFormat="1" applyFont="1" applyBorder="1" applyAlignment="1">
      <alignment horizontal="centerContinuous"/>
    </xf>
    <xf numFmtId="176" fontId="115" fillId="0" borderId="0" xfId="0" applyNumberFormat="1" applyFont="1" applyAlignment="1">
      <alignment horizontal="center"/>
    </xf>
    <xf numFmtId="166" fontId="115" fillId="0" borderId="0" xfId="0" applyNumberFormat="1" applyFont="1"/>
    <xf numFmtId="176" fontId="115" fillId="0" borderId="0" xfId="59" applyNumberFormat="1" applyFont="1" applyFill="1"/>
    <xf numFmtId="176" fontId="115" fillId="0" borderId="0" xfId="59" applyNumberFormat="1" applyFont="1" applyFill="1" applyAlignment="1"/>
    <xf numFmtId="176" fontId="115" fillId="20" borderId="0" xfId="59" applyNumberFormat="1" applyFont="1" applyFill="1" applyAlignment="1"/>
    <xf numFmtId="176" fontId="115" fillId="0" borderId="0" xfId="63" applyNumberFormat="1" applyFont="1" applyFill="1" applyAlignment="1">
      <alignment horizontal="right"/>
    </xf>
    <xf numFmtId="176" fontId="115" fillId="0" borderId="0" xfId="63" applyNumberFormat="1" applyFont="1" applyFill="1" applyBorder="1"/>
    <xf numFmtId="173" fontId="115" fillId="0" borderId="0" xfId="63" applyNumberFormat="1" applyFont="1" applyFill="1" applyAlignment="1">
      <alignment horizontal="right"/>
    </xf>
    <xf numFmtId="176" fontId="115" fillId="0" borderId="0" xfId="59" applyNumberFormat="1" applyFont="1" applyFill="1" applyBorder="1"/>
    <xf numFmtId="3" fontId="115" fillId="0" borderId="0" xfId="0" applyNumberFormat="1" applyFont="1" applyAlignment="1">
      <alignment horizontal="fill"/>
    </xf>
    <xf numFmtId="42" fontId="115" fillId="0" borderId="0" xfId="0" applyNumberFormat="1" applyFont="1" applyAlignment="1">
      <alignment horizontal="right"/>
    </xf>
    <xf numFmtId="3" fontId="115" fillId="0" borderId="6" xfId="0" applyNumberFormat="1" applyFont="1" applyBorder="1" applyAlignment="1">
      <alignment horizontal="center"/>
    </xf>
    <xf numFmtId="43" fontId="115" fillId="0" borderId="0" xfId="59" applyFont="1" applyAlignment="1"/>
    <xf numFmtId="168" fontId="115" fillId="0" borderId="0" xfId="0" applyNumberFormat="1" applyFont="1"/>
    <xf numFmtId="168" fontId="115" fillId="0" borderId="0" xfId="0" applyNumberFormat="1" applyFont="1" applyAlignment="1">
      <alignment horizontal="center"/>
    </xf>
    <xf numFmtId="43" fontId="115" fillId="0" borderId="0" xfId="59" applyFont="1" applyFill="1" applyBorder="1"/>
    <xf numFmtId="43" fontId="115" fillId="0" borderId="0" xfId="59" applyFont="1" applyBorder="1"/>
    <xf numFmtId="43" fontId="115" fillId="0" borderId="0" xfId="59" applyFont="1"/>
    <xf numFmtId="43" fontId="115" fillId="0" borderId="0" xfId="59" applyFont="1" applyFill="1"/>
    <xf numFmtId="43" fontId="115" fillId="0" borderId="0" xfId="59" applyFont="1" applyFill="1" applyAlignment="1"/>
    <xf numFmtId="43" fontId="115" fillId="0" borderId="0" xfId="59" applyFont="1" applyFill="1" applyBorder="1" applyAlignment="1"/>
    <xf numFmtId="43" fontId="115" fillId="0" borderId="0" xfId="59" applyFont="1" applyBorder="1" applyAlignment="1"/>
    <xf numFmtId="44" fontId="115" fillId="0" borderId="0" xfId="63" applyFont="1" applyFill="1" applyBorder="1" applyAlignment="1"/>
    <xf numFmtId="172" fontId="116" fillId="0" borderId="0" xfId="0" applyFont="1" applyAlignment="1">
      <alignment horizontal="center"/>
    </xf>
    <xf numFmtId="0" fontId="116" fillId="0" borderId="0" xfId="0" applyNumberFormat="1" applyFont="1" applyAlignment="1">
      <alignment horizontal="center"/>
    </xf>
    <xf numFmtId="0" fontId="116" fillId="0" borderId="0" xfId="0" applyNumberFormat="1" applyFont="1" applyAlignment="1">
      <alignment horizontal="right"/>
    </xf>
    <xf numFmtId="3" fontId="116" fillId="0" borderId="0" xfId="0" applyNumberFormat="1" applyFont="1"/>
    <xf numFmtId="3" fontId="115" fillId="0" borderId="0" xfId="0" applyNumberFormat="1" applyFont="1" applyAlignment="1">
      <alignment horizontal="right"/>
    </xf>
    <xf numFmtId="0" fontId="116" fillId="0" borderId="0" xfId="0" applyNumberFormat="1" applyFont="1"/>
    <xf numFmtId="165" fontId="115" fillId="0" borderId="0" xfId="0" applyNumberFormat="1" applyFont="1"/>
    <xf numFmtId="176" fontId="115" fillId="0" borderId="0" xfId="59" applyNumberFormat="1" applyFont="1" applyAlignment="1"/>
    <xf numFmtId="176" fontId="115" fillId="0" borderId="6" xfId="59" applyNumberFormat="1" applyFont="1" applyFill="1" applyBorder="1" applyAlignment="1"/>
    <xf numFmtId="176" fontId="115" fillId="0" borderId="6" xfId="59" applyNumberFormat="1" applyFont="1" applyBorder="1" applyAlignment="1"/>
    <xf numFmtId="164" fontId="115" fillId="0" borderId="0" xfId="0" applyNumberFormat="1" applyFont="1" applyAlignment="1">
      <alignment horizontal="center"/>
    </xf>
    <xf numFmtId="43" fontId="115" fillId="0" borderId="0" xfId="59" applyFont="1" applyFill="1" applyBorder="1" applyAlignment="1">
      <alignment horizontal="center"/>
    </xf>
    <xf numFmtId="180" fontId="115" fillId="0" borderId="0" xfId="85" applyNumberFormat="1" applyFont="1" applyAlignment="1"/>
    <xf numFmtId="0" fontId="115" fillId="0" borderId="0" xfId="0" applyNumberFormat="1" applyFont="1" applyAlignment="1">
      <alignment horizontal="fill"/>
    </xf>
    <xf numFmtId="43" fontId="115" fillId="0" borderId="0" xfId="59" applyFont="1" applyAlignment="1">
      <alignment horizontal="center"/>
    </xf>
    <xf numFmtId="165" fontId="117" fillId="0" borderId="0" xfId="0" applyNumberFormat="1" applyFont="1" applyAlignment="1">
      <alignment horizontal="right"/>
    </xf>
    <xf numFmtId="164" fontId="115" fillId="0" borderId="0" xfId="0" applyNumberFormat="1" applyFont="1" applyAlignment="1">
      <alignment horizontal="left"/>
    </xf>
    <xf numFmtId="176" fontId="115" fillId="0" borderId="0" xfId="59" applyNumberFormat="1" applyFont="1" applyFill="1" applyBorder="1" applyAlignment="1"/>
    <xf numFmtId="176" fontId="115" fillId="0" borderId="0" xfId="59" applyNumberFormat="1" applyFont="1" applyBorder="1" applyAlignment="1"/>
    <xf numFmtId="37" fontId="115" fillId="0" borderId="0" xfId="0" applyNumberFormat="1" applyFont="1"/>
    <xf numFmtId="3" fontId="115" fillId="0" borderId="0" xfId="0" applyNumberFormat="1" applyFont="1" applyAlignment="1">
      <alignment horizontal="center"/>
    </xf>
    <xf numFmtId="176" fontId="115" fillId="0" borderId="18" xfId="59" applyNumberFormat="1" applyFont="1" applyBorder="1" applyAlignment="1"/>
    <xf numFmtId="0" fontId="115" fillId="0" borderId="0" xfId="0" applyNumberFormat="1" applyFont="1" applyProtection="1">
      <protection locked="0"/>
    </xf>
    <xf numFmtId="176" fontId="115" fillId="0" borderId="0" xfId="0" applyNumberFormat="1" applyFont="1"/>
    <xf numFmtId="171" fontId="115" fillId="0" borderId="0" xfId="0" applyNumberFormat="1" applyFont="1" applyAlignment="1">
      <alignment horizontal="left"/>
    </xf>
    <xf numFmtId="3" fontId="115" fillId="0" borderId="0" xfId="0" applyNumberFormat="1" applyFont="1" applyAlignment="1">
      <alignment horizontal="left"/>
    </xf>
    <xf numFmtId="166" fontId="117" fillId="0" borderId="0" xfId="0" applyNumberFormat="1" applyFont="1" applyAlignment="1">
      <alignment horizontal="right"/>
    </xf>
    <xf numFmtId="166" fontId="115" fillId="0" borderId="0" xfId="0" applyNumberFormat="1" applyFont="1" applyAlignment="1">
      <alignment horizontal="center"/>
    </xf>
    <xf numFmtId="10" fontId="115" fillId="0" borderId="0" xfId="85" applyNumberFormat="1" applyFont="1" applyAlignment="1"/>
    <xf numFmtId="175" fontId="115" fillId="0" borderId="0" xfId="0" applyNumberFormat="1" applyFont="1"/>
    <xf numFmtId="174" fontId="115" fillId="0" borderId="0" xfId="0" applyNumberFormat="1" applyFont="1"/>
    <xf numFmtId="179" fontId="115" fillId="0" borderId="0" xfId="0" applyNumberFormat="1" applyFont="1"/>
    <xf numFmtId="0" fontId="115" fillId="0" borderId="6" xfId="0" applyNumberFormat="1" applyFont="1" applyBorder="1"/>
    <xf numFmtId="176" fontId="115" fillId="20" borderId="6" xfId="59" applyNumberFormat="1" applyFont="1" applyFill="1" applyBorder="1" applyAlignment="1"/>
    <xf numFmtId="165" fontId="115" fillId="0" borderId="0" xfId="0" applyNumberFormat="1" applyFont="1" applyAlignment="1">
      <alignment horizontal="right"/>
    </xf>
    <xf numFmtId="3" fontId="115" fillId="0" borderId="6" xfId="0" applyNumberFormat="1" applyFont="1" applyBorder="1"/>
    <xf numFmtId="4" fontId="115" fillId="0" borderId="0" xfId="0" applyNumberFormat="1" applyFont="1"/>
    <xf numFmtId="3" fontId="115" fillId="0" borderId="0" xfId="0" quotePrefix="1" applyNumberFormat="1" applyFont="1"/>
    <xf numFmtId="3" fontId="116" fillId="0" borderId="0" xfId="0" applyNumberFormat="1" applyFont="1" applyAlignment="1">
      <alignment horizontal="center"/>
    </xf>
    <xf numFmtId="43" fontId="115" fillId="20" borderId="0" xfId="59" applyFont="1" applyFill="1" applyAlignment="1"/>
    <xf numFmtId="3" fontId="119" fillId="0" borderId="0" xfId="0" applyNumberFormat="1" applyFont="1"/>
    <xf numFmtId="172" fontId="119" fillId="0" borderId="0" xfId="0" applyFont="1"/>
    <xf numFmtId="172" fontId="118" fillId="0" borderId="0" xfId="0" applyFont="1"/>
    <xf numFmtId="43" fontId="115" fillId="20" borderId="6" xfId="59" applyFont="1" applyFill="1" applyBorder="1" applyAlignment="1"/>
    <xf numFmtId="3" fontId="118" fillId="0" borderId="0" xfId="0" applyNumberFormat="1" applyFont="1"/>
    <xf numFmtId="172" fontId="120" fillId="0" borderId="0" xfId="0" applyFont="1"/>
    <xf numFmtId="3" fontId="120" fillId="0" borderId="0" xfId="0" applyNumberFormat="1" applyFont="1"/>
    <xf numFmtId="0" fontId="120" fillId="0" borderId="0" xfId="0" applyNumberFormat="1" applyFont="1"/>
    <xf numFmtId="172" fontId="121" fillId="0" borderId="0" xfId="0" applyFont="1"/>
    <xf numFmtId="169" fontId="115" fillId="0" borderId="0" xfId="0" applyNumberFormat="1" applyFont="1"/>
    <xf numFmtId="169" fontId="115" fillId="0" borderId="6" xfId="0" applyNumberFormat="1" applyFont="1" applyBorder="1"/>
    <xf numFmtId="3" fontId="117" fillId="0" borderId="0" xfId="0" applyNumberFormat="1" applyFont="1"/>
    <xf numFmtId="172" fontId="115" fillId="0" borderId="0" xfId="0" applyFont="1" applyProtection="1"/>
    <xf numFmtId="176" fontId="115" fillId="20" borderId="0" xfId="59" applyNumberFormat="1" applyFont="1" applyFill="1" applyBorder="1" applyProtection="1">
      <protection locked="0"/>
    </xf>
    <xf numFmtId="38" fontId="115" fillId="0" borderId="0" xfId="0" applyNumberFormat="1" applyFont="1" applyProtection="1"/>
    <xf numFmtId="176" fontId="115" fillId="20" borderId="6" xfId="59" applyNumberFormat="1" applyFont="1" applyFill="1" applyBorder="1" applyProtection="1">
      <protection locked="0"/>
    </xf>
    <xf numFmtId="38" fontId="115" fillId="0" borderId="0" xfId="0" applyNumberFormat="1" applyFont="1"/>
    <xf numFmtId="176" fontId="115" fillId="0" borderId="0" xfId="59" applyNumberFormat="1" applyFont="1" applyFill="1" applyBorder="1" applyProtection="1"/>
    <xf numFmtId="1" fontId="115" fillId="0" borderId="0" xfId="0" applyNumberFormat="1" applyFont="1" applyAlignment="1" applyProtection="1">
      <alignment horizontal="right"/>
    </xf>
    <xf numFmtId="176" fontId="115" fillId="20" borderId="0" xfId="59" applyNumberFormat="1" applyFont="1" applyFill="1" applyBorder="1" applyProtection="1"/>
    <xf numFmtId="176" fontId="115" fillId="20" borderId="0" xfId="59" applyNumberFormat="1" applyFont="1" applyFill="1" applyBorder="1" applyAlignment="1" applyProtection="1">
      <protection locked="0"/>
    </xf>
    <xf numFmtId="3" fontId="115" fillId="0" borderId="0" xfId="0" applyNumberFormat="1" applyFont="1" applyProtection="1"/>
    <xf numFmtId="170" fontId="115" fillId="0" borderId="0" xfId="0" applyNumberFormat="1" applyFont="1" applyProtection="1"/>
    <xf numFmtId="170" fontId="115" fillId="0" borderId="0" xfId="0" applyNumberFormat="1" applyFont="1"/>
    <xf numFmtId="0" fontId="115" fillId="0" borderId="0" xfId="0" applyNumberFormat="1" applyFont="1" applyAlignment="1">
      <alignment horizontal="left" indent="8"/>
    </xf>
    <xf numFmtId="0" fontId="115" fillId="0" borderId="0" xfId="0" applyNumberFormat="1" applyFont="1" applyAlignment="1">
      <alignment horizontal="center" vertical="top" wrapText="1"/>
    </xf>
    <xf numFmtId="0" fontId="115" fillId="0" borderId="0" xfId="0" applyNumberFormat="1" applyFont="1" applyAlignment="1">
      <alignment horizontal="left" vertical="top" wrapText="1" indent="8"/>
    </xf>
    <xf numFmtId="0" fontId="115" fillId="0" borderId="0" xfId="0" applyNumberFormat="1" applyFont="1" applyAlignment="1">
      <alignment vertical="top" wrapText="1"/>
    </xf>
    <xf numFmtId="10" fontId="115" fillId="0" borderId="0" xfId="59" applyNumberFormat="1" applyFont="1" applyFill="1" applyAlignment="1">
      <alignment vertical="top" wrapText="1"/>
    </xf>
    <xf numFmtId="43" fontId="115" fillId="20" borderId="0" xfId="59" applyFont="1" applyFill="1" applyAlignment="1">
      <alignment vertical="top" wrapText="1"/>
    </xf>
    <xf numFmtId="172" fontId="115" fillId="0" borderId="0" xfId="0" applyFont="1" applyAlignment="1">
      <alignment wrapText="1"/>
    </xf>
    <xf numFmtId="172" fontId="115" fillId="0" borderId="0" xfId="0" applyFont="1" applyAlignment="1">
      <alignment horizontal="center"/>
    </xf>
    <xf numFmtId="172" fontId="116" fillId="0" borderId="0" xfId="0" applyFont="1"/>
    <xf numFmtId="0" fontId="115" fillId="0" borderId="0" xfId="0" applyNumberFormat="1" applyFont="1" applyAlignment="1">
      <alignment horizontal="left" indent="1"/>
    </xf>
    <xf numFmtId="172" fontId="94" fillId="0" borderId="0" xfId="0" applyFont="1"/>
    <xf numFmtId="1" fontId="94" fillId="0" borderId="0" xfId="80" applyNumberFormat="1" applyFont="1" applyAlignment="1">
      <alignment horizontal="center"/>
    </xf>
    <xf numFmtId="10" fontId="25" fillId="0" borderId="18" xfId="137" applyNumberFormat="1" applyFont="1" applyBorder="1"/>
    <xf numFmtId="0" fontId="11" fillId="0" borderId="0" xfId="148" applyFont="1" applyAlignment="1">
      <alignment horizontal="center"/>
    </xf>
    <xf numFmtId="3" fontId="125" fillId="0" borderId="0" xfId="79" applyNumberFormat="1" applyFont="1" applyAlignment="1">
      <alignment horizontal="center" wrapText="1"/>
    </xf>
    <xf numFmtId="0" fontId="107" fillId="0" borderId="29" xfId="148" applyFont="1" applyBorder="1" applyAlignment="1">
      <alignment horizontal="center"/>
    </xf>
    <xf numFmtId="37" fontId="13" fillId="0" borderId="30" xfId="148" applyNumberFormat="1" applyBorder="1"/>
    <xf numFmtId="0" fontId="107" fillId="0" borderId="34" xfId="148" applyFont="1" applyBorder="1" applyAlignment="1">
      <alignment wrapText="1"/>
    </xf>
    <xf numFmtId="0" fontId="107" fillId="0" borderId="0" xfId="148" applyFont="1" applyAlignment="1">
      <alignment horizontal="left" indent="2"/>
    </xf>
    <xf numFmtId="0" fontId="11" fillId="0" borderId="0" xfId="148" applyFont="1" applyAlignment="1">
      <alignment horizontal="center" wrapText="1"/>
    </xf>
    <xf numFmtId="0" fontId="107" fillId="0" borderId="0" xfId="148" applyFont="1" applyAlignment="1">
      <alignment horizontal="center" wrapText="1"/>
    </xf>
    <xf numFmtId="0" fontId="107" fillId="0" borderId="33" xfId="148" applyFont="1" applyBorder="1" applyAlignment="1">
      <alignment horizontal="center" wrapText="1"/>
    </xf>
    <xf numFmtId="0" fontId="13" fillId="0" borderId="0" xfId="148" applyAlignment="1">
      <alignment horizontal="center"/>
    </xf>
    <xf numFmtId="37" fontId="13" fillId="20" borderId="34" xfId="148" applyNumberFormat="1" applyFill="1" applyBorder="1"/>
    <xf numFmtId="37" fontId="13" fillId="20" borderId="0" xfId="148" applyNumberFormat="1" applyFill="1"/>
    <xf numFmtId="37" fontId="107" fillId="0" borderId="34" xfId="148" applyNumberFormat="1" applyFont="1" applyBorder="1" applyAlignment="1">
      <alignment wrapText="1"/>
    </xf>
    <xf numFmtId="176" fontId="11" fillId="0" borderId="0" xfId="59" applyNumberFormat="1" applyFont="1" applyBorder="1"/>
    <xf numFmtId="0" fontId="13" fillId="0" borderId="21" xfId="148" applyBorder="1"/>
    <xf numFmtId="0" fontId="11" fillId="0" borderId="11" xfId="148" applyFont="1" applyBorder="1"/>
    <xf numFmtId="0" fontId="123" fillId="0" borderId="11" xfId="79" applyFont="1" applyBorder="1" applyAlignment="1">
      <alignment horizontal="center" wrapText="1"/>
    </xf>
    <xf numFmtId="0" fontId="18" fillId="0" borderId="11" xfId="79" applyFont="1" applyBorder="1" applyAlignment="1">
      <alignment horizontal="center" wrapText="1"/>
    </xf>
    <xf numFmtId="0" fontId="11" fillId="0" borderId="0" xfId="148" applyFont="1"/>
    <xf numFmtId="176" fontId="11" fillId="20" borderId="0" xfId="59" applyNumberFormat="1" applyFont="1" applyFill="1"/>
    <xf numFmtId="176" fontId="107" fillId="0" borderId="0" xfId="148" applyNumberFormat="1" applyFont="1"/>
    <xf numFmtId="176" fontId="11" fillId="0" borderId="0" xfId="59" applyNumberFormat="1" applyFont="1"/>
    <xf numFmtId="37" fontId="11" fillId="20" borderId="0" xfId="148" applyNumberFormat="1" applyFont="1" applyFill="1"/>
    <xf numFmtId="0" fontId="13" fillId="0" borderId="40" xfId="148" applyBorder="1"/>
    <xf numFmtId="176" fontId="11" fillId="0" borderId="0" xfId="59" applyNumberFormat="1" applyFont="1" applyFill="1"/>
    <xf numFmtId="43" fontId="11" fillId="0" borderId="0" xfId="59" applyFont="1"/>
    <xf numFmtId="176" fontId="47" fillId="0" borderId="0" xfId="59" applyNumberFormat="1" applyFont="1" applyFill="1" applyBorder="1" applyAlignment="1"/>
    <xf numFmtId="176" fontId="47" fillId="0" borderId="0" xfId="59" applyNumberFormat="1" applyFont="1" applyFill="1" applyAlignment="1"/>
    <xf numFmtId="176" fontId="47" fillId="0" borderId="6" xfId="59" applyNumberFormat="1" applyFont="1" applyFill="1" applyBorder="1" applyAlignment="1"/>
    <xf numFmtId="3" fontId="47" fillId="0" borderId="0" xfId="0" applyNumberFormat="1" applyFont="1"/>
    <xf numFmtId="0" fontId="10" fillId="0" borderId="0" xfId="148" applyFont="1" applyAlignment="1">
      <alignment horizontal="center"/>
    </xf>
    <xf numFmtId="0" fontId="10" fillId="0" borderId="0" xfId="148" applyFont="1" applyAlignment="1">
      <alignment horizontal="center" wrapText="1"/>
    </xf>
    <xf numFmtId="0" fontId="97" fillId="0" borderId="0" xfId="132" applyFont="1" applyAlignment="1">
      <alignment horizontal="left" wrapText="1"/>
    </xf>
    <xf numFmtId="0" fontId="47" fillId="0" borderId="0" xfId="0" applyNumberFormat="1" applyFont="1" applyAlignment="1">
      <alignment horizontal="center"/>
    </xf>
    <xf numFmtId="43" fontId="47" fillId="0" borderId="0" xfId="59" applyFont="1" applyFill="1" applyAlignment="1"/>
    <xf numFmtId="176" fontId="47" fillId="0" borderId="18" xfId="59" applyNumberFormat="1" applyFont="1" applyFill="1" applyBorder="1" applyAlignment="1"/>
    <xf numFmtId="0" fontId="47" fillId="0" borderId="0" xfId="0" applyNumberFormat="1" applyFont="1" applyAlignment="1">
      <alignment horizontal="left"/>
    </xf>
    <xf numFmtId="176" fontId="47" fillId="20" borderId="0" xfId="59" applyNumberFormat="1" applyFont="1" applyFill="1" applyAlignment="1"/>
    <xf numFmtId="176" fontId="47" fillId="20" borderId="0" xfId="59" applyNumberFormat="1" applyFont="1" applyFill="1" applyBorder="1" applyAlignment="1"/>
    <xf numFmtId="176" fontId="47" fillId="0" borderId="0" xfId="59" applyNumberFormat="1" applyFont="1" applyAlignment="1"/>
    <xf numFmtId="3" fontId="48" fillId="0" borderId="0" xfId="0" applyNumberFormat="1" applyFont="1"/>
    <xf numFmtId="10" fontId="47" fillId="0" borderId="0" xfId="0" applyNumberFormat="1" applyFont="1" applyAlignment="1">
      <alignment horizontal="right"/>
    </xf>
    <xf numFmtId="10" fontId="47" fillId="0" borderId="0" xfId="0" applyNumberFormat="1" applyFont="1" applyAlignment="1">
      <alignment horizontal="left"/>
    </xf>
    <xf numFmtId="176" fontId="47" fillId="0" borderId="0" xfId="59" applyNumberFormat="1" applyFont="1" applyBorder="1" applyAlignment="1"/>
    <xf numFmtId="176" fontId="47" fillId="0" borderId="11" xfId="59" applyNumberFormat="1" applyFont="1" applyFill="1" applyBorder="1" applyAlignment="1"/>
    <xf numFmtId="176" fontId="47" fillId="0" borderId="38" xfId="59" applyNumberFormat="1" applyFont="1" applyFill="1" applyBorder="1" applyAlignment="1"/>
    <xf numFmtId="164" fontId="47" fillId="0" borderId="0" xfId="0" applyNumberFormat="1" applyFont="1" applyAlignment="1">
      <alignment horizontal="left"/>
    </xf>
    <xf numFmtId="167" fontId="47" fillId="0" borderId="0" xfId="0" applyNumberFormat="1" applyFont="1"/>
    <xf numFmtId="164" fontId="117" fillId="0" borderId="0" xfId="0" applyNumberFormat="1" applyFont="1" applyAlignment="1">
      <alignment horizontal="left"/>
    </xf>
    <xf numFmtId="0" fontId="47" fillId="0" borderId="0" xfId="0" applyNumberFormat="1" applyFont="1" applyAlignment="1">
      <alignment wrapText="1"/>
    </xf>
    <xf numFmtId="172" fontId="69" fillId="0" borderId="0" xfId="0" applyFont="1" applyAlignment="1">
      <alignment horizontal="center" vertical="top" wrapText="1"/>
    </xf>
    <xf numFmtId="170" fontId="25" fillId="0" borderId="0" xfId="59" applyNumberFormat="1" applyFont="1" applyFill="1" applyBorder="1" applyAlignment="1"/>
    <xf numFmtId="0" fontId="25" fillId="20" borderId="16" xfId="152" quotePrefix="1" applyFont="1" applyFill="1" applyBorder="1"/>
    <xf numFmtId="0" fontId="107" fillId="0" borderId="0" xfId="148" applyFont="1"/>
    <xf numFmtId="176" fontId="11" fillId="0" borderId="0" xfId="59" applyNumberFormat="1" applyFont="1" applyFill="1" applyBorder="1"/>
    <xf numFmtId="164" fontId="18" fillId="0" borderId="0" xfId="85" applyNumberFormat="1" applyFont="1" applyFill="1" applyBorder="1" applyAlignment="1"/>
    <xf numFmtId="3" fontId="47" fillId="0" borderId="0" xfId="0" applyNumberFormat="1" applyFont="1" applyAlignment="1">
      <alignment vertical="top"/>
    </xf>
    <xf numFmtId="3" fontId="115" fillId="0" borderId="0" xfId="0" applyNumberFormat="1" applyFont="1" applyAlignment="1">
      <alignment vertical="top"/>
    </xf>
    <xf numFmtId="172" fontId="47" fillId="0" borderId="0" xfId="0" applyFont="1" applyAlignment="1" applyProtection="1">
      <alignment vertical="top" wrapText="1"/>
    </xf>
    <xf numFmtId="0" fontId="17" fillId="0" borderId="0" xfId="132" applyFont="1" applyAlignment="1">
      <alignment vertical="top"/>
    </xf>
    <xf numFmtId="0" fontId="25" fillId="0" borderId="18" xfId="137" applyFont="1" applyBorder="1"/>
    <xf numFmtId="172" fontId="124" fillId="0" borderId="0" xfId="0" applyFont="1" applyAlignment="1">
      <alignment vertical="top"/>
    </xf>
    <xf numFmtId="0" fontId="8" fillId="0" borderId="0" xfId="148" applyFont="1" applyAlignment="1">
      <alignment horizontal="center" wrapText="1"/>
    </xf>
    <xf numFmtId="172" fontId="25" fillId="20" borderId="0" xfId="152" quotePrefix="1" applyNumberFormat="1" applyFont="1" applyFill="1" applyAlignment="1">
      <alignment horizontal="center"/>
    </xf>
    <xf numFmtId="172" fontId="69" fillId="0" borderId="0" xfId="0" applyFont="1" applyAlignment="1">
      <alignment horizontal="center" vertical="center" wrapText="1"/>
    </xf>
    <xf numFmtId="172" fontId="69" fillId="0" borderId="0" xfId="0" applyFont="1" applyAlignment="1">
      <alignment horizontal="right" vertical="center"/>
    </xf>
    <xf numFmtId="176" fontId="47" fillId="0" borderId="16" xfId="59" quotePrefix="1" applyNumberFormat="1" applyFont="1" applyFill="1" applyBorder="1" applyAlignment="1">
      <alignment horizontal="center"/>
    </xf>
    <xf numFmtId="176" fontId="47" fillId="0" borderId="0" xfId="59" applyNumberFormat="1" applyFont="1" applyFill="1" applyBorder="1" applyAlignment="1">
      <alignment horizontal="center"/>
    </xf>
    <xf numFmtId="176" fontId="47" fillId="0" borderId="0" xfId="59" applyNumberFormat="1" applyFont="1" applyFill="1" applyBorder="1" applyAlignment="1">
      <alignment horizontal="left" wrapText="1"/>
    </xf>
    <xf numFmtId="176" fontId="47" fillId="0" borderId="0" xfId="59" applyNumberFormat="1" applyFont="1" applyFill="1" applyBorder="1" applyAlignment="1">
      <alignment horizontal="left"/>
    </xf>
    <xf numFmtId="176" fontId="47" fillId="0" borderId="0" xfId="59" applyNumberFormat="1" applyFont="1" applyFill="1" applyAlignment="1">
      <alignment horizontal="center"/>
    </xf>
    <xf numFmtId="176" fontId="115" fillId="0" borderId="0" xfId="59" applyNumberFormat="1" applyFont="1" applyFill="1" applyAlignment="1">
      <alignment horizontal="center"/>
    </xf>
    <xf numFmtId="176" fontId="68" fillId="0" borderId="0" xfId="59" applyNumberFormat="1" applyFont="1" applyFill="1" applyBorder="1" applyAlignment="1">
      <alignment horizontal="left"/>
    </xf>
    <xf numFmtId="0" fontId="25" fillId="0" borderId="13" xfId="0" applyNumberFormat="1" applyFont="1" applyBorder="1" applyAlignment="1">
      <alignment horizontal="center"/>
    </xf>
    <xf numFmtId="0" fontId="128" fillId="0" borderId="0" xfId="132" applyFont="1"/>
    <xf numFmtId="172" fontId="83" fillId="20" borderId="0" xfId="0" applyFont="1" applyFill="1" applyAlignment="1">
      <alignment horizontal="center" vertical="center"/>
    </xf>
    <xf numFmtId="176" fontId="47" fillId="0" borderId="0" xfId="157" applyNumberFormat="1" applyFont="1" applyAlignment="1">
      <alignment horizontal="center"/>
    </xf>
    <xf numFmtId="0" fontId="47" fillId="0" borderId="0" xfId="158" applyFont="1"/>
    <xf numFmtId="176" fontId="48" fillId="0" borderId="0" xfId="59" applyNumberFormat="1" applyFont="1" applyBorder="1" applyAlignment="1"/>
    <xf numFmtId="0" fontId="48" fillId="0" borderId="11" xfId="0" applyNumberFormat="1" applyFont="1" applyBorder="1" applyAlignment="1">
      <alignment horizontal="center"/>
    </xf>
    <xf numFmtId="172" fontId="48" fillId="0" borderId="11" xfId="0" applyFont="1" applyBorder="1" applyAlignment="1">
      <alignment horizontal="center"/>
    </xf>
    <xf numFmtId="172" fontId="47" fillId="0" borderId="0" xfId="0" quotePrefix="1" applyFont="1"/>
    <xf numFmtId="172" fontId="122" fillId="0" borderId="0" xfId="0" applyFont="1"/>
    <xf numFmtId="172" fontId="129" fillId="0" borderId="0" xfId="0" applyFont="1"/>
    <xf numFmtId="176" fontId="47" fillId="0" borderId="32" xfId="59" applyNumberFormat="1" applyFont="1" applyBorder="1" applyAlignment="1"/>
    <xf numFmtId="0" fontId="48" fillId="0" borderId="0" xfId="0" applyNumberFormat="1" applyFont="1" applyAlignment="1">
      <alignment horizontal="center"/>
    </xf>
    <xf numFmtId="0" fontId="131" fillId="0" borderId="0" xfId="159" applyFont="1"/>
    <xf numFmtId="0" fontId="0" fillId="0" borderId="0" xfId="0" applyNumberFormat="1"/>
    <xf numFmtId="0" fontId="48" fillId="0" borderId="0" xfId="160" applyNumberFormat="1" applyFont="1" applyFill="1" applyAlignment="1">
      <alignment vertical="top"/>
    </xf>
    <xf numFmtId="0" fontId="25" fillId="0" borderId="0" xfId="156" applyFont="1"/>
    <xf numFmtId="1" fontId="134" fillId="0" borderId="0" xfId="78" applyNumberFormat="1" applyFont="1" applyAlignment="1">
      <alignment vertical="center"/>
    </xf>
    <xf numFmtId="0" fontId="135" fillId="0" borderId="0" xfId="132" applyFont="1"/>
    <xf numFmtId="0" fontId="136" fillId="0" borderId="0" xfId="132" applyFont="1"/>
    <xf numFmtId="0" fontId="136" fillId="0" borderId="0" xfId="78" applyFont="1" applyAlignment="1">
      <alignment horizontal="right"/>
    </xf>
    <xf numFmtId="0" fontId="134" fillId="0" borderId="0" xfId="132" applyFont="1" applyAlignment="1">
      <alignment vertical="top"/>
    </xf>
    <xf numFmtId="0" fontId="107" fillId="0" borderId="0" xfId="132" applyFont="1"/>
    <xf numFmtId="0" fontId="134" fillId="0" borderId="0" xfId="154" applyFont="1" applyAlignment="1">
      <alignment horizontal="center" vertical="center"/>
    </xf>
    <xf numFmtId="0" fontId="136" fillId="0" borderId="0" xfId="154" applyFont="1" applyAlignment="1">
      <alignment horizontal="right"/>
    </xf>
    <xf numFmtId="0" fontId="134" fillId="0" borderId="0" xfId="78" applyFont="1" applyAlignment="1"/>
    <xf numFmtId="0" fontId="136" fillId="0" borderId="0" xfId="78" applyFont="1" applyAlignment="1"/>
    <xf numFmtId="0" fontId="135" fillId="0" borderId="0" xfId="132" applyFont="1" applyAlignment="1">
      <alignment horizontal="center" vertical="center"/>
    </xf>
    <xf numFmtId="0" fontId="137" fillId="0" borderId="0" xfId="156" applyFont="1" applyAlignment="1">
      <alignment horizontal="center"/>
    </xf>
    <xf numFmtId="0" fontId="134" fillId="0" borderId="12" xfId="132" applyFont="1" applyBorder="1" applyAlignment="1">
      <alignment horizontal="center" vertical="center" wrapText="1"/>
    </xf>
    <xf numFmtId="0" fontId="134" fillId="0" borderId="0" xfId="132" applyFont="1" applyAlignment="1">
      <alignment horizontal="center" vertical="center" wrapText="1"/>
    </xf>
    <xf numFmtId="0" fontId="134" fillId="0" borderId="0" xfId="132" applyFont="1" applyAlignment="1">
      <alignment vertical="center" wrapText="1"/>
    </xf>
    <xf numFmtId="0" fontId="134" fillId="0" borderId="0" xfId="132" applyFont="1" applyAlignment="1">
      <alignment horizontal="center" wrapText="1"/>
    </xf>
    <xf numFmtId="0" fontId="136" fillId="20" borderId="0" xfId="132" applyFont="1" applyFill="1" applyAlignment="1">
      <alignment horizontal="center"/>
    </xf>
    <xf numFmtId="0" fontId="136" fillId="20" borderId="0" xfId="132" applyFont="1" applyFill="1"/>
    <xf numFmtId="176" fontId="136" fillId="20" borderId="0" xfId="133" applyNumberFormat="1" applyFont="1" applyFill="1" applyAlignment="1">
      <alignment vertical="center"/>
    </xf>
    <xf numFmtId="176" fontId="136" fillId="0" borderId="0" xfId="132" applyNumberFormat="1" applyFont="1"/>
    <xf numFmtId="176" fontId="135" fillId="0" borderId="0" xfId="132" applyNumberFormat="1" applyFont="1"/>
    <xf numFmtId="0" fontId="136" fillId="0" borderId="0" xfId="132" applyFont="1" applyAlignment="1">
      <alignment horizontal="center"/>
    </xf>
    <xf numFmtId="176" fontId="136" fillId="0" borderId="0" xfId="133" applyNumberFormat="1" applyFont="1" applyFill="1" applyAlignment="1">
      <alignment vertical="center"/>
    </xf>
    <xf numFmtId="0" fontId="138" fillId="0" borderId="0" xfId="132" applyFont="1"/>
    <xf numFmtId="0" fontId="135" fillId="0" borderId="0" xfId="78" applyFont="1" applyAlignment="1"/>
    <xf numFmtId="176" fontId="135" fillId="0" borderId="0" xfId="78" applyNumberFormat="1" applyFont="1" applyAlignment="1"/>
    <xf numFmtId="0" fontId="134" fillId="20" borderId="0" xfId="132" applyFont="1" applyFill="1"/>
    <xf numFmtId="0" fontId="134" fillId="0" borderId="0" xfId="132" applyFont="1"/>
    <xf numFmtId="176" fontId="136" fillId="0" borderId="11" xfId="133" applyNumberFormat="1" applyFont="1" applyFill="1" applyBorder="1" applyAlignment="1">
      <alignment vertical="center"/>
    </xf>
    <xf numFmtId="176" fontId="136" fillId="0" borderId="11" xfId="132" applyNumberFormat="1" applyFont="1" applyBorder="1"/>
    <xf numFmtId="176" fontId="134" fillId="0" borderId="0" xfId="133" applyNumberFormat="1" applyFont="1" applyFill="1" applyBorder="1"/>
    <xf numFmtId="176" fontId="136" fillId="0" borderId="0" xfId="133" applyNumberFormat="1" applyFont="1"/>
    <xf numFmtId="176" fontId="136" fillId="0" borderId="0" xfId="133" applyNumberFormat="1" applyFont="1" applyAlignment="1">
      <alignment horizontal="center"/>
    </xf>
    <xf numFmtId="176" fontId="136" fillId="20" borderId="0" xfId="133" applyNumberFormat="1" applyFont="1" applyFill="1"/>
    <xf numFmtId="176" fontId="136" fillId="20" borderId="0" xfId="133" applyNumberFormat="1" applyFont="1" applyFill="1" applyBorder="1" applyAlignment="1">
      <alignment vertical="center"/>
    </xf>
    <xf numFmtId="176" fontId="136" fillId="20" borderId="11" xfId="133" applyNumberFormat="1" applyFont="1" applyFill="1" applyBorder="1" applyAlignment="1">
      <alignment vertical="center"/>
    </xf>
    <xf numFmtId="176" fontId="134" fillId="0" borderId="0" xfId="132" applyNumberFormat="1" applyFont="1"/>
    <xf numFmtId="176" fontId="134" fillId="0" borderId="0" xfId="133" applyNumberFormat="1" applyFont="1" applyFill="1" applyBorder="1" applyAlignment="1">
      <alignment vertical="center"/>
    </xf>
    <xf numFmtId="176" fontId="134" fillId="0" borderId="0" xfId="133" applyNumberFormat="1" applyFont="1" applyFill="1"/>
    <xf numFmtId="176" fontId="136" fillId="0" borderId="0" xfId="133" applyNumberFormat="1" applyFont="1" applyFill="1"/>
    <xf numFmtId="0" fontId="135" fillId="0" borderId="0" xfId="132" applyFont="1" applyAlignment="1">
      <alignment horizontal="center"/>
    </xf>
    <xf numFmtId="0" fontId="135" fillId="0" borderId="0" xfId="132" applyFont="1" applyAlignment="1">
      <alignment horizontal="left"/>
    </xf>
    <xf numFmtId="176" fontId="139" fillId="0" borderId="0" xfId="133" applyNumberFormat="1" applyFont="1" applyFill="1" applyBorder="1"/>
    <xf numFmtId="0" fontId="135" fillId="0" borderId="0" xfId="132" applyFont="1" applyAlignment="1">
      <alignment horizontal="center" vertical="top"/>
    </xf>
    <xf numFmtId="0" fontId="135" fillId="0" borderId="0" xfId="132" applyFont="1" applyAlignment="1">
      <alignment vertical="center"/>
    </xf>
    <xf numFmtId="0" fontId="135" fillId="0" borderId="0" xfId="132" applyFont="1" applyAlignment="1">
      <alignment vertical="top"/>
    </xf>
    <xf numFmtId="176" fontId="135" fillId="0" borderId="0" xfId="133" applyNumberFormat="1" applyFont="1" applyFill="1" applyAlignment="1">
      <alignment vertical="top"/>
    </xf>
    <xf numFmtId="176" fontId="135" fillId="0" borderId="0" xfId="133" applyNumberFormat="1" applyFont="1" applyAlignment="1">
      <alignment vertical="top"/>
    </xf>
    <xf numFmtId="176" fontId="139" fillId="0" borderId="0" xfId="133" applyNumberFormat="1" applyFont="1" applyFill="1" applyBorder="1" applyAlignment="1">
      <alignment vertical="top"/>
    </xf>
    <xf numFmtId="0" fontId="135" fillId="0" borderId="0" xfId="132" applyFont="1" applyAlignment="1">
      <alignment horizontal="right"/>
    </xf>
    <xf numFmtId="172" fontId="25" fillId="0" borderId="0" xfId="0" applyFont="1" applyAlignment="1">
      <alignment horizontal="left"/>
    </xf>
    <xf numFmtId="172" fontId="25" fillId="0" borderId="0" xfId="0" applyFont="1" applyAlignment="1">
      <alignment horizontal="left" wrapText="1"/>
    </xf>
    <xf numFmtId="0" fontId="47" fillId="0" borderId="0" xfId="158" applyFont="1" applyAlignment="1">
      <alignment horizontal="center"/>
    </xf>
    <xf numFmtId="0" fontId="48" fillId="0" borderId="11" xfId="157" applyNumberFormat="1" applyFont="1" applyBorder="1" applyAlignment="1">
      <alignment horizontal="center" wrapText="1"/>
    </xf>
    <xf numFmtId="0" fontId="48" fillId="0" borderId="11" xfId="158" applyFont="1" applyBorder="1" applyAlignment="1">
      <alignment horizontal="center" wrapText="1"/>
    </xf>
    <xf numFmtId="0" fontId="140" fillId="0" borderId="0" xfId="157" applyNumberFormat="1" applyFont="1" applyAlignment="1">
      <alignment horizontal="center" wrapText="1"/>
    </xf>
    <xf numFmtId="0" fontId="48" fillId="0" borderId="11" xfId="161" applyNumberFormat="1" applyFont="1" applyBorder="1"/>
    <xf numFmtId="49" fontId="48" fillId="0" borderId="11" xfId="157" applyNumberFormat="1" applyFont="1" applyBorder="1" applyAlignment="1">
      <alignment horizontal="left" wrapText="1"/>
    </xf>
    <xf numFmtId="0" fontId="48" fillId="0" borderId="11" xfId="161" applyNumberFormat="1" applyFont="1" applyBorder="1" applyAlignment="1">
      <alignment horizontal="center" wrapText="1"/>
    </xf>
    <xf numFmtId="49" fontId="48" fillId="0" borderId="11" xfId="157" applyNumberFormat="1" applyFont="1" applyBorder="1" applyAlignment="1">
      <alignment horizontal="center" wrapText="1"/>
    </xf>
    <xf numFmtId="0" fontId="48" fillId="0" borderId="0" xfId="156" applyFont="1" applyAlignment="1">
      <alignment horizontal="center"/>
    </xf>
    <xf numFmtId="0" fontId="47" fillId="0" borderId="0" xfId="158" applyFont="1" applyAlignment="1">
      <alignment horizontal="center" wrapText="1"/>
    </xf>
    <xf numFmtId="0" fontId="48" fillId="0" borderId="0" xfId="156" applyFont="1"/>
    <xf numFmtId="0" fontId="48" fillId="0" borderId="0" xfId="161" applyNumberFormat="1" applyFont="1"/>
    <xf numFmtId="176" fontId="48" fillId="0" borderId="0" xfId="157" applyNumberFormat="1" applyFont="1" applyAlignment="1">
      <alignment horizontal="center" wrapText="1"/>
    </xf>
    <xf numFmtId="176" fontId="47" fillId="20" borderId="0" xfId="157" applyNumberFormat="1" applyFont="1" applyFill="1" applyAlignment="1">
      <alignment horizontal="left"/>
    </xf>
    <xf numFmtId="176" fontId="47" fillId="0" borderId="0" xfId="157" applyNumberFormat="1" applyFont="1"/>
    <xf numFmtId="176" fontId="47" fillId="0" borderId="0" xfId="157" applyNumberFormat="1" applyFont="1" applyBorder="1"/>
    <xf numFmtId="176" fontId="47" fillId="0" borderId="32" xfId="157" applyNumberFormat="1" applyFont="1" applyBorder="1"/>
    <xf numFmtId="0" fontId="126" fillId="0" borderId="0" xfId="158" applyFont="1" applyAlignment="1">
      <alignment horizontal="left"/>
    </xf>
    <xf numFmtId="176" fontId="48" fillId="0" borderId="0" xfId="157" applyNumberFormat="1" applyFont="1" applyFill="1" applyAlignment="1">
      <alignment vertical="top"/>
    </xf>
    <xf numFmtId="0" fontId="47" fillId="0" borderId="0" xfId="158" applyFont="1" applyAlignment="1">
      <alignment wrapText="1"/>
    </xf>
    <xf numFmtId="0" fontId="122" fillId="0" borderId="0" xfId="158" applyFont="1"/>
    <xf numFmtId="0" fontId="117" fillId="0" borderId="0" xfId="0" applyNumberFormat="1" applyFont="1"/>
    <xf numFmtId="172" fontId="117" fillId="0" borderId="0" xfId="0" applyFont="1"/>
    <xf numFmtId="0" fontId="120" fillId="0" borderId="0" xfId="0" applyNumberFormat="1" applyFont="1" applyAlignment="1">
      <alignment horizontal="center"/>
    </xf>
    <xf numFmtId="170" fontId="0" fillId="0" borderId="0" xfId="0" applyNumberFormat="1"/>
    <xf numFmtId="49" fontId="132" fillId="20" borderId="0" xfId="0" applyNumberFormat="1" applyFont="1" applyFill="1"/>
    <xf numFmtId="176" fontId="47" fillId="20" borderId="16" xfId="59" quotePrefix="1" applyNumberFormat="1" applyFont="1" applyFill="1" applyBorder="1" applyAlignment="1">
      <alignment horizontal="center"/>
    </xf>
    <xf numFmtId="176" fontId="47" fillId="20" borderId="0" xfId="59" applyNumberFormat="1" applyFont="1" applyFill="1" applyBorder="1" applyAlignment="1">
      <alignment horizontal="left" wrapText="1"/>
    </xf>
    <xf numFmtId="176" fontId="47" fillId="20" borderId="0" xfId="59" applyNumberFormat="1" applyFont="1" applyFill="1" applyBorder="1" applyAlignment="1">
      <alignment horizontal="left"/>
    </xf>
    <xf numFmtId="3" fontId="133" fillId="0" borderId="0" xfId="0" applyNumberFormat="1" applyFont="1"/>
    <xf numFmtId="172" fontId="133" fillId="0" borderId="0" xfId="0" applyFont="1"/>
    <xf numFmtId="49" fontId="133" fillId="0" borderId="0" xfId="0" applyNumberFormat="1" applyFont="1" applyAlignment="1">
      <alignment horizontal="center"/>
    </xf>
    <xf numFmtId="172" fontId="142" fillId="0" borderId="0" xfId="0" applyFont="1" applyAlignment="1">
      <alignment horizontal="center"/>
    </xf>
    <xf numFmtId="3" fontId="133" fillId="0" borderId="0" xfId="0" applyNumberFormat="1" applyFont="1" applyAlignment="1">
      <alignment horizontal="center"/>
    </xf>
    <xf numFmtId="173" fontId="133" fillId="0" borderId="0" xfId="63" applyNumberFormat="1" applyFont="1" applyFill="1" applyBorder="1" applyAlignment="1"/>
    <xf numFmtId="177" fontId="133" fillId="0" borderId="0" xfId="0" applyNumberFormat="1" applyFont="1"/>
    <xf numFmtId="0" fontId="133" fillId="0" borderId="0" xfId="0" applyNumberFormat="1" applyFont="1"/>
    <xf numFmtId="164" fontId="133" fillId="0" borderId="0" xfId="0" applyNumberFormat="1" applyFont="1" applyAlignment="1">
      <alignment horizontal="center"/>
    </xf>
    <xf numFmtId="177" fontId="133" fillId="0" borderId="0" xfId="85" applyNumberFormat="1" applyFont="1" applyFill="1" applyBorder="1" applyAlignment="1"/>
    <xf numFmtId="0" fontId="142" fillId="0" borderId="0" xfId="0" applyNumberFormat="1" applyFont="1"/>
    <xf numFmtId="3" fontId="142" fillId="0" borderId="0" xfId="0" applyNumberFormat="1" applyFont="1" applyAlignment="1">
      <alignment horizontal="center"/>
    </xf>
    <xf numFmtId="3" fontId="142" fillId="0" borderId="0" xfId="0" applyNumberFormat="1" applyFont="1"/>
    <xf numFmtId="172" fontId="133" fillId="0" borderId="0" xfId="0" applyFont="1" applyAlignment="1">
      <alignment horizontal="center"/>
    </xf>
    <xf numFmtId="49" fontId="142" fillId="0" borderId="0" xfId="0" applyNumberFormat="1" applyFont="1" applyAlignment="1">
      <alignment horizontal="center"/>
    </xf>
    <xf numFmtId="177" fontId="142" fillId="0" borderId="0" xfId="85" applyNumberFormat="1" applyFont="1" applyFill="1" applyBorder="1" applyAlignment="1"/>
    <xf numFmtId="172" fontId="142" fillId="0" borderId="0" xfId="0" applyFont="1"/>
    <xf numFmtId="182" fontId="142" fillId="0" borderId="0" xfId="85" applyNumberFormat="1" applyFont="1" applyFill="1" applyBorder="1" applyAlignment="1"/>
    <xf numFmtId="0" fontId="25" fillId="0" borderId="10" xfId="59" applyNumberFormat="1" applyFont="1" applyFill="1" applyBorder="1" applyAlignment="1"/>
    <xf numFmtId="0" fontId="25" fillId="20" borderId="10" xfId="59" applyNumberFormat="1" applyFont="1" applyFill="1" applyBorder="1" applyAlignment="1"/>
    <xf numFmtId="0" fontId="48" fillId="20" borderId="11" xfId="157" applyNumberFormat="1" applyFont="1" applyFill="1" applyBorder="1" applyAlignment="1">
      <alignment horizontal="center" wrapText="1"/>
    </xf>
    <xf numFmtId="181" fontId="47" fillId="0" borderId="0" xfId="59" applyNumberFormat="1" applyFont="1" applyAlignment="1">
      <alignment horizontal="center"/>
    </xf>
    <xf numFmtId="0" fontId="126" fillId="0" borderId="0" xfId="158" applyFont="1" applyAlignment="1">
      <alignment horizontal="center" wrapText="1"/>
    </xf>
    <xf numFmtId="181" fontId="48" fillId="0" borderId="11" xfId="59" applyNumberFormat="1" applyFont="1" applyBorder="1" applyAlignment="1">
      <alignment horizontal="center" wrapText="1"/>
    </xf>
    <xf numFmtId="176" fontId="47" fillId="0" borderId="0" xfId="59" applyNumberFormat="1" applyFont="1"/>
    <xf numFmtId="0" fontId="47" fillId="20" borderId="0" xfId="162" applyFont="1" applyFill="1" applyAlignment="1">
      <alignment horizontal="left"/>
    </xf>
    <xf numFmtId="176" fontId="47" fillId="20" borderId="0" xfId="59" applyNumberFormat="1" applyFont="1" applyFill="1" applyAlignment="1">
      <alignment horizontal="left"/>
    </xf>
    <xf numFmtId="0" fontId="47" fillId="0" borderId="0" xfId="59" applyNumberFormat="1" applyFont="1" applyAlignment="1">
      <alignment horizontal="center"/>
    </xf>
    <xf numFmtId="43" fontId="47" fillId="20" borderId="0" xfId="59" applyFont="1" applyFill="1" applyAlignment="1">
      <alignment horizontal="center"/>
    </xf>
    <xf numFmtId="0" fontId="48" fillId="0" borderId="0" xfId="158" applyFont="1" applyAlignment="1">
      <alignment horizontal="center"/>
    </xf>
    <xf numFmtId="0" fontId="48" fillId="0" borderId="0" xfId="158" applyFont="1"/>
    <xf numFmtId="176" fontId="48" fillId="0" borderId="0" xfId="157" applyNumberFormat="1" applyFont="1"/>
    <xf numFmtId="176" fontId="48" fillId="0" borderId="0" xfId="158" applyNumberFormat="1" applyFont="1" applyAlignment="1">
      <alignment horizontal="center"/>
    </xf>
    <xf numFmtId="181" fontId="48" fillId="0" borderId="0" xfId="59" applyNumberFormat="1" applyFont="1" applyAlignment="1">
      <alignment horizontal="center"/>
    </xf>
    <xf numFmtId="172" fontId="124" fillId="0" borderId="0" xfId="0" applyFont="1"/>
    <xf numFmtId="172" fontId="143" fillId="0" borderId="0" xfId="0" applyFont="1"/>
    <xf numFmtId="172" fontId="132" fillId="0" borderId="0" xfId="0" applyFont="1" applyAlignment="1">
      <alignment horizontal="right" vertical="center"/>
    </xf>
    <xf numFmtId="0" fontId="132" fillId="0" borderId="0" xfId="0" applyNumberFormat="1" applyFont="1" applyAlignment="1">
      <alignment horizontal="right"/>
    </xf>
    <xf numFmtId="173" fontId="115" fillId="0" borderId="0" xfId="63" applyNumberFormat="1" applyFont="1" applyFill="1" applyBorder="1"/>
    <xf numFmtId="49" fontId="79" fillId="20" borderId="0" xfId="129" applyNumberFormat="1" applyFont="1" applyFill="1" applyAlignment="1">
      <alignment horizontal="center"/>
    </xf>
    <xf numFmtId="0" fontId="70" fillId="20" borderId="0" xfId="0" applyNumberFormat="1" applyFont="1" applyFill="1" applyAlignment="1">
      <alignment horizontal="center" vertical="center"/>
    </xf>
    <xf numFmtId="172" fontId="69" fillId="0" borderId="0" xfId="0" applyFont="1" applyAlignment="1">
      <alignment vertical="center" wrapText="1"/>
    </xf>
    <xf numFmtId="172" fontId="76" fillId="21" borderId="32" xfId="0" applyFont="1" applyFill="1" applyBorder="1" applyAlignment="1">
      <alignment vertical="center"/>
    </xf>
    <xf numFmtId="172" fontId="76" fillId="21" borderId="32" xfId="0" applyFont="1" applyFill="1" applyBorder="1" applyAlignment="1">
      <alignment horizontal="center" vertical="center"/>
    </xf>
    <xf numFmtId="172" fontId="76" fillId="0" borderId="0" xfId="0" applyFont="1" applyAlignment="1">
      <alignment horizontal="center" vertical="center"/>
    </xf>
    <xf numFmtId="172" fontId="76" fillId="0" borderId="0" xfId="0" applyFont="1" applyAlignment="1">
      <alignment vertical="center"/>
    </xf>
    <xf numFmtId="165" fontId="47" fillId="0" borderId="0" xfId="0" applyNumberFormat="1" applyFont="1"/>
    <xf numFmtId="176" fontId="47" fillId="0" borderId="0" xfId="157" applyNumberFormat="1" applyFont="1" applyBorder="1" applyAlignment="1">
      <alignment horizontal="center"/>
    </xf>
    <xf numFmtId="181" fontId="47" fillId="0" borderId="0" xfId="59" applyNumberFormat="1" applyFont="1" applyBorder="1" applyAlignment="1">
      <alignment horizontal="center"/>
    </xf>
    <xf numFmtId="181" fontId="48" fillId="0" borderId="0" xfId="59" applyNumberFormat="1" applyFont="1" applyBorder="1" applyAlignment="1">
      <alignment horizontal="center" wrapText="1"/>
    </xf>
    <xf numFmtId="49" fontId="48" fillId="0" borderId="0" xfId="157" applyNumberFormat="1" applyFont="1" applyBorder="1" applyAlignment="1">
      <alignment horizontal="center" wrapText="1"/>
    </xf>
    <xf numFmtId="0" fontId="47" fillId="0" borderId="0" xfId="59" applyNumberFormat="1" applyFont="1" applyBorder="1" applyAlignment="1">
      <alignment horizontal="center"/>
    </xf>
    <xf numFmtId="1" fontId="47" fillId="20" borderId="0" xfId="59" applyNumberFormat="1" applyFont="1" applyFill="1" applyAlignment="1">
      <alignment horizontal="center"/>
    </xf>
    <xf numFmtId="187" fontId="47" fillId="20" borderId="0" xfId="59" applyNumberFormat="1" applyFont="1" applyFill="1" applyAlignment="1">
      <alignment horizontal="center"/>
    </xf>
    <xf numFmtId="176" fontId="48" fillId="0" borderId="0" xfId="157" applyNumberFormat="1" applyFont="1" applyFill="1"/>
    <xf numFmtId="181" fontId="48" fillId="0" borderId="0" xfId="59" applyNumberFormat="1" applyFont="1" applyFill="1" applyAlignment="1">
      <alignment horizontal="center"/>
    </xf>
    <xf numFmtId="176" fontId="48" fillId="0" borderId="27" xfId="157" applyNumberFormat="1" applyFont="1" applyFill="1" applyBorder="1"/>
    <xf numFmtId="176" fontId="48" fillId="0" borderId="27" xfId="158" applyNumberFormat="1" applyFont="1" applyBorder="1" applyAlignment="1">
      <alignment horizontal="center"/>
    </xf>
    <xf numFmtId="172" fontId="0" fillId="0" borderId="0" xfId="0" applyAlignment="1">
      <alignment horizontal="center"/>
    </xf>
    <xf numFmtId="172" fontId="50" fillId="0" borderId="0" xfId="0" applyFont="1"/>
    <xf numFmtId="172" fontId="71" fillId="0" borderId="0" xfId="0" quotePrefix="1" applyFont="1" applyAlignment="1">
      <alignment horizontal="center" vertical="center"/>
    </xf>
    <xf numFmtId="172" fontId="25" fillId="0" borderId="0" xfId="0" applyFont="1" applyAlignment="1">
      <alignment horizontal="center" vertical="center"/>
    </xf>
    <xf numFmtId="172" fontId="0" fillId="0" borderId="0" xfId="0" quotePrefix="1"/>
    <xf numFmtId="0" fontId="48" fillId="0" borderId="11" xfId="157" applyNumberFormat="1" applyFont="1" applyFill="1" applyBorder="1" applyAlignment="1">
      <alignment horizontal="center" wrapText="1"/>
    </xf>
    <xf numFmtId="172" fontId="144" fillId="0" borderId="0" xfId="0" applyFont="1" applyAlignment="1">
      <alignment vertical="center" wrapText="1"/>
    </xf>
    <xf numFmtId="176" fontId="47" fillId="0" borderId="0" xfId="157" applyNumberFormat="1" applyFont="1" applyAlignment="1"/>
    <xf numFmtId="10" fontId="79" fillId="0" borderId="0" xfId="129" applyNumberFormat="1" applyFont="1"/>
    <xf numFmtId="176" fontId="70" fillId="0" borderId="0" xfId="59" applyNumberFormat="1" applyFont="1" applyFill="1" applyBorder="1" applyAlignment="1">
      <alignment horizontal="center" vertical="center"/>
    </xf>
    <xf numFmtId="172" fontId="71" fillId="0" borderId="0" xfId="0" applyFont="1" applyAlignment="1">
      <alignment horizontal="center" vertical="center" wrapText="1"/>
    </xf>
    <xf numFmtId="172" fontId="70" fillId="0" borderId="0" xfId="0" applyFont="1" applyAlignment="1">
      <alignment vertical="center" wrapText="1"/>
    </xf>
    <xf numFmtId="172" fontId="71" fillId="0" borderId="0" xfId="0" applyFont="1" applyAlignment="1">
      <alignment vertical="center" wrapText="1"/>
    </xf>
    <xf numFmtId="0" fontId="70" fillId="20" borderId="0" xfId="0" applyNumberFormat="1" applyFont="1" applyFill="1" applyAlignment="1">
      <alignment vertical="center" wrapText="1"/>
    </xf>
    <xf numFmtId="0" fontId="72" fillId="0" borderId="0" xfId="0" applyNumberFormat="1" applyFont="1" applyAlignment="1">
      <alignment horizontal="right" vertical="center" wrapText="1"/>
    </xf>
    <xf numFmtId="172" fontId="72" fillId="0" borderId="0" xfId="0" applyFont="1" applyAlignment="1">
      <alignment horizontal="right" vertical="center" wrapText="1"/>
    </xf>
    <xf numFmtId="172" fontId="70" fillId="20" borderId="0" xfId="0" applyFont="1" applyFill="1" applyAlignment="1">
      <alignment vertical="center" wrapText="1"/>
    </xf>
    <xf numFmtId="172" fontId="47" fillId="0" borderId="6" xfId="0" applyFont="1" applyBorder="1"/>
    <xf numFmtId="183" fontId="18" fillId="0" borderId="0" xfId="0" quotePrefix="1" applyNumberFormat="1" applyFont="1" applyAlignment="1">
      <alignment horizontal="right"/>
    </xf>
    <xf numFmtId="172" fontId="115" fillId="0" borderId="0" xfId="0" applyFont="1" applyAlignment="1">
      <alignment vertical="center" wrapText="1"/>
    </xf>
    <xf numFmtId="172" fontId="115" fillId="0" borderId="0" xfId="0" applyFont="1" applyAlignment="1">
      <alignment vertical="center"/>
    </xf>
    <xf numFmtId="164" fontId="47" fillId="0" borderId="0" xfId="0" applyNumberFormat="1" applyFont="1" applyAlignment="1">
      <alignment horizontal="left" wrapText="1"/>
    </xf>
    <xf numFmtId="174" fontId="47" fillId="0" borderId="0" xfId="0" applyNumberFormat="1" applyFont="1"/>
    <xf numFmtId="0" fontId="47" fillId="0" borderId="0" xfId="0" applyNumberFormat="1" applyFont="1" applyAlignment="1">
      <alignment horizontal="left" indent="1"/>
    </xf>
    <xf numFmtId="176" fontId="48" fillId="0" borderId="41" xfId="59" applyNumberFormat="1" applyFont="1" applyFill="1" applyBorder="1" applyAlignment="1">
      <alignment horizontal="center"/>
    </xf>
    <xf numFmtId="176" fontId="48" fillId="0" borderId="16" xfId="59" applyNumberFormat="1" applyFont="1" applyFill="1" applyBorder="1" applyAlignment="1"/>
    <xf numFmtId="0" fontId="132" fillId="0" borderId="0" xfId="159" applyFont="1"/>
    <xf numFmtId="169" fontId="25" fillId="0" borderId="0" xfId="133" applyNumberFormat="1" applyFont="1" applyFill="1" applyBorder="1" applyAlignment="1"/>
    <xf numFmtId="172" fontId="0" fillId="0" borderId="14" xfId="0" applyBorder="1" applyAlignment="1">
      <alignment horizontal="center"/>
    </xf>
    <xf numFmtId="172" fontId="0" fillId="0" borderId="23" xfId="0" applyBorder="1" applyAlignment="1">
      <alignment horizontal="center"/>
    </xf>
    <xf numFmtId="0" fontId="25" fillId="0" borderId="12" xfId="0" applyNumberFormat="1" applyFont="1" applyBorder="1" applyAlignment="1">
      <alignment horizontal="center" vertical="center" wrapText="1"/>
    </xf>
    <xf numFmtId="164" fontId="115" fillId="0" borderId="0" xfId="0" applyNumberFormat="1" applyFont="1" applyAlignment="1">
      <alignment horizontal="right"/>
    </xf>
    <xf numFmtId="42" fontId="115" fillId="0" borderId="0" xfId="0" applyNumberFormat="1" applyFont="1" applyAlignment="1">
      <alignment horizontal="center"/>
    </xf>
    <xf numFmtId="176" fontId="115" fillId="0" borderId="32" xfId="63" applyNumberFormat="1" applyFont="1" applyFill="1" applyBorder="1" applyAlignment="1">
      <alignment horizontal="center"/>
    </xf>
    <xf numFmtId="176" fontId="115" fillId="0" borderId="32" xfId="63" applyNumberFormat="1" applyFont="1" applyFill="1" applyBorder="1"/>
    <xf numFmtId="176" fontId="47" fillId="0" borderId="0" xfId="59" applyNumberFormat="1" applyFont="1" applyFill="1"/>
    <xf numFmtId="172" fontId="145" fillId="0" borderId="0" xfId="0" applyFont="1"/>
    <xf numFmtId="176" fontId="145" fillId="0" borderId="0" xfId="157" applyNumberFormat="1" applyFont="1"/>
    <xf numFmtId="0" fontId="145" fillId="0" borderId="0" xfId="158" applyFont="1"/>
    <xf numFmtId="0" fontId="47" fillId="0" borderId="6" xfId="0" applyNumberFormat="1" applyFont="1" applyBorder="1" applyAlignment="1">
      <alignment horizontal="centerContinuous"/>
    </xf>
    <xf numFmtId="9" fontId="115" fillId="20" borderId="0" xfId="85" applyFont="1" applyFill="1" applyAlignment="1"/>
    <xf numFmtId="172" fontId="0" fillId="0" borderId="0" xfId="0" applyAlignment="1">
      <alignment horizontal="right"/>
    </xf>
    <xf numFmtId="10" fontId="18" fillId="0" borderId="0" xfId="85" applyNumberFormat="1" applyFont="1" applyFill="1" applyAlignment="1">
      <alignment vertical="top" wrapText="1"/>
    </xf>
    <xf numFmtId="0" fontId="85" fillId="0" borderId="0" xfId="129" applyFont="1" applyAlignment="1">
      <alignment vertical="top" wrapText="1"/>
    </xf>
    <xf numFmtId="10" fontId="79" fillId="0" borderId="0" xfId="85" applyNumberFormat="1" applyFont="1" applyFill="1" applyAlignment="1">
      <alignment horizontal="center"/>
    </xf>
    <xf numFmtId="10" fontId="110" fillId="0" borderId="0" xfId="85" applyNumberFormat="1" applyFont="1" applyAlignment="1">
      <alignment horizontal="center" wrapText="1"/>
    </xf>
    <xf numFmtId="10" fontId="79" fillId="0" borderId="0" xfId="85" applyNumberFormat="1" applyFont="1" applyAlignment="1">
      <alignment horizontal="center"/>
    </xf>
    <xf numFmtId="0" fontId="79" fillId="0" borderId="0" xfId="129" quotePrefix="1" applyFont="1" applyAlignment="1">
      <alignment horizontal="right"/>
    </xf>
    <xf numFmtId="0" fontId="2" fillId="0" borderId="11" xfId="148" applyFont="1" applyBorder="1" applyAlignment="1">
      <alignment horizontal="center" wrapText="1"/>
    </xf>
    <xf numFmtId="176" fontId="25" fillId="0" borderId="0" xfId="133" applyNumberFormat="1" applyFont="1" applyFill="1" applyAlignment="1"/>
    <xf numFmtId="49" fontId="94" fillId="0" borderId="0" xfId="80" applyNumberFormat="1" applyFont="1"/>
    <xf numFmtId="0" fontId="69" fillId="0" borderId="0" xfId="154" applyFont="1" applyAlignment="1">
      <alignment vertical="center"/>
    </xf>
    <xf numFmtId="172" fontId="146" fillId="0" borderId="0" xfId="0" applyFont="1" applyAlignment="1">
      <alignment vertical="center"/>
    </xf>
    <xf numFmtId="172" fontId="147" fillId="0" borderId="0" xfId="0" applyFont="1" applyAlignment="1">
      <alignment horizontal="center" vertical="center"/>
    </xf>
    <xf numFmtId="0" fontId="69" fillId="0" borderId="0" xfId="0" applyNumberFormat="1" applyFont="1" applyAlignment="1">
      <alignment horizontal="right"/>
    </xf>
    <xf numFmtId="0" fontId="69" fillId="0" borderId="0" xfId="158" applyFont="1" applyAlignment="1">
      <alignment horizontal="center"/>
    </xf>
    <xf numFmtId="0" fontId="69" fillId="0" borderId="0" xfId="158" applyFont="1"/>
    <xf numFmtId="176" fontId="69" fillId="0" borderId="0" xfId="157" applyNumberFormat="1" applyFont="1" applyAlignment="1">
      <alignment horizontal="center"/>
    </xf>
    <xf numFmtId="0" fontId="71" fillId="20" borderId="11" xfId="157" applyNumberFormat="1" applyFont="1" applyFill="1" applyBorder="1" applyAlignment="1">
      <alignment horizontal="center" wrapText="1"/>
    </xf>
    <xf numFmtId="0" fontId="71" fillId="0" borderId="11" xfId="157" applyNumberFormat="1" applyFont="1" applyBorder="1" applyAlignment="1">
      <alignment horizontal="center" wrapText="1"/>
    </xf>
    <xf numFmtId="0" fontId="71" fillId="0" borderId="11" xfId="158" applyFont="1" applyBorder="1" applyAlignment="1">
      <alignment horizontal="center" wrapText="1"/>
    </xf>
    <xf numFmtId="0" fontId="148" fillId="0" borderId="0" xfId="158" applyFont="1"/>
    <xf numFmtId="49" fontId="71" fillId="0" borderId="11" xfId="157" applyNumberFormat="1" applyFont="1" applyBorder="1" applyAlignment="1">
      <alignment horizontal="left" wrapText="1"/>
    </xf>
    <xf numFmtId="0" fontId="71" fillId="0" borderId="0" xfId="158" applyFont="1"/>
    <xf numFmtId="49" fontId="71" fillId="0" borderId="0" xfId="157" applyNumberFormat="1" applyFont="1" applyFill="1" applyBorder="1" applyAlignment="1">
      <alignment horizontal="left" wrapText="1"/>
    </xf>
    <xf numFmtId="49" fontId="71" fillId="0" borderId="11" xfId="157" applyNumberFormat="1" applyFont="1" applyBorder="1" applyAlignment="1">
      <alignment horizontal="center" wrapText="1"/>
    </xf>
    <xf numFmtId="0" fontId="71" fillId="0" borderId="0" xfId="156" applyFont="1" applyAlignment="1">
      <alignment horizontal="center"/>
    </xf>
    <xf numFmtId="49" fontId="71" fillId="0" borderId="11" xfId="157" applyNumberFormat="1" applyFont="1" applyFill="1" applyBorder="1" applyAlignment="1">
      <alignment horizontal="center" wrapText="1"/>
    </xf>
    <xf numFmtId="0" fontId="71" fillId="0" borderId="0" xfId="158" applyFont="1" applyAlignment="1">
      <alignment horizontal="center" wrapText="1"/>
    </xf>
    <xf numFmtId="49" fontId="71" fillId="0" borderId="0" xfId="157" applyNumberFormat="1" applyFont="1" applyBorder="1" applyAlignment="1">
      <alignment horizontal="left" wrapText="1"/>
    </xf>
    <xf numFmtId="49" fontId="71" fillId="0" borderId="0" xfId="157" applyNumberFormat="1" applyFont="1" applyBorder="1" applyAlignment="1">
      <alignment horizontal="center" wrapText="1"/>
    </xf>
    <xf numFmtId="49" fontId="71" fillId="0" borderId="0" xfId="157" applyNumberFormat="1" applyFont="1" applyFill="1" applyBorder="1" applyAlignment="1">
      <alignment horizontal="center" wrapText="1"/>
    </xf>
    <xf numFmtId="0" fontId="69" fillId="0" borderId="0" xfId="158" applyFont="1" applyAlignment="1">
      <alignment horizontal="center" wrapText="1"/>
    </xf>
    <xf numFmtId="0" fontId="71" fillId="0" borderId="0" xfId="161" applyNumberFormat="1" applyFont="1"/>
    <xf numFmtId="0" fontId="71" fillId="0" borderId="0" xfId="161" applyNumberFormat="1" applyFont="1" applyFill="1"/>
    <xf numFmtId="176" fontId="69" fillId="0" borderId="0" xfId="157" applyNumberFormat="1" applyFont="1"/>
    <xf numFmtId="176" fontId="69" fillId="0" borderId="0" xfId="157" applyNumberFormat="1" applyFont="1" applyFill="1" applyAlignment="1">
      <alignment horizontal="left"/>
    </xf>
    <xf numFmtId="0" fontId="69" fillId="20" borderId="0" xfId="158" applyFont="1" applyFill="1" applyAlignment="1">
      <alignment horizontal="center"/>
    </xf>
    <xf numFmtId="176" fontId="69" fillId="20" borderId="0" xfId="157" applyNumberFormat="1" applyFont="1" applyFill="1" applyAlignment="1">
      <alignment horizontal="left"/>
    </xf>
    <xf numFmtId="49" fontId="71" fillId="20" borderId="0" xfId="157" applyNumberFormat="1" applyFont="1" applyFill="1" applyBorder="1" applyAlignment="1">
      <alignment horizontal="center" wrapText="1"/>
    </xf>
    <xf numFmtId="176" fontId="69" fillId="0" borderId="32" xfId="157" applyNumberFormat="1" applyFont="1" applyBorder="1"/>
    <xf numFmtId="0" fontId="71" fillId="20" borderId="0" xfId="158" applyFont="1" applyFill="1"/>
    <xf numFmtId="176" fontId="69" fillId="0" borderId="0" xfId="157" applyNumberFormat="1" applyFont="1" applyAlignment="1">
      <alignment horizontal="left"/>
    </xf>
    <xf numFmtId="0" fontId="69" fillId="0" borderId="0" xfId="162" applyFont="1" applyAlignment="1">
      <alignment horizontal="left"/>
    </xf>
    <xf numFmtId="172" fontId="147" fillId="0" borderId="0" xfId="0" applyFont="1" applyAlignment="1">
      <alignment vertical="center"/>
    </xf>
    <xf numFmtId="176" fontId="71" fillId="0" borderId="0" xfId="157" applyNumberFormat="1" applyFont="1" applyAlignment="1">
      <alignment horizontal="center" wrapText="1"/>
    </xf>
    <xf numFmtId="43" fontId="69" fillId="20" borderId="0" xfId="59" applyFont="1" applyFill="1" applyAlignment="1">
      <alignment horizontal="center"/>
    </xf>
    <xf numFmtId="0" fontId="69" fillId="20" borderId="0" xfId="162" applyFont="1" applyFill="1" applyAlignment="1">
      <alignment horizontal="left"/>
    </xf>
    <xf numFmtId="176" fontId="69" fillId="0" borderId="0" xfId="157" applyNumberFormat="1" applyFont="1" applyFill="1"/>
    <xf numFmtId="176" fontId="69" fillId="0" borderId="0" xfId="157" applyNumberFormat="1" applyFont="1" applyAlignment="1">
      <alignment horizontal="right"/>
    </xf>
    <xf numFmtId="0" fontId="146" fillId="0" borderId="0" xfId="158" applyFont="1"/>
    <xf numFmtId="176" fontId="69" fillId="0" borderId="11" xfId="158" applyNumberFormat="1" applyFont="1" applyBorder="1"/>
    <xf numFmtId="0" fontId="71" fillId="0" borderId="0" xfId="157" applyNumberFormat="1" applyFont="1" applyFill="1" applyAlignment="1">
      <alignment vertical="top"/>
    </xf>
    <xf numFmtId="0" fontId="148" fillId="0" borderId="0" xfId="158" applyFont="1" applyAlignment="1">
      <alignment horizontal="left"/>
    </xf>
    <xf numFmtId="176" fontId="82" fillId="0" borderId="0" xfId="157" applyNumberFormat="1" applyFont="1" applyFill="1"/>
    <xf numFmtId="176" fontId="149" fillId="0" borderId="0" xfId="157" applyNumberFormat="1" applyFont="1"/>
    <xf numFmtId="0" fontId="149" fillId="0" borderId="0" xfId="158" applyFont="1"/>
    <xf numFmtId="176" fontId="71" fillId="0" borderId="0" xfId="157" applyNumberFormat="1" applyFont="1" applyFill="1" applyAlignment="1">
      <alignment vertical="top"/>
    </xf>
    <xf numFmtId="176" fontId="48" fillId="0" borderId="11" xfId="157" applyNumberFormat="1" applyFont="1" applyBorder="1" applyAlignment="1">
      <alignment horizontal="left" wrapText="1"/>
    </xf>
    <xf numFmtId="176" fontId="48" fillId="0" borderId="0" xfId="157" applyNumberFormat="1" applyFont="1" applyBorder="1" applyAlignment="1">
      <alignment horizontal="left" wrapText="1"/>
    </xf>
    <xf numFmtId="176" fontId="48" fillId="0" borderId="11" xfId="157" applyNumberFormat="1" applyFont="1" applyBorder="1" applyAlignment="1">
      <alignment horizontal="center" wrapText="1"/>
    </xf>
    <xf numFmtId="0" fontId="47" fillId="0" borderId="0" xfId="158" quotePrefix="1" applyFont="1" applyAlignment="1">
      <alignment horizontal="center" wrapText="1"/>
    </xf>
    <xf numFmtId="176" fontId="48" fillId="0" borderId="11" xfId="157" applyNumberFormat="1" applyFont="1" applyFill="1" applyBorder="1" applyAlignment="1">
      <alignment horizontal="center" wrapText="1"/>
    </xf>
    <xf numFmtId="0" fontId="48" fillId="0" borderId="0" xfId="158" quotePrefix="1" applyFont="1" applyAlignment="1">
      <alignment horizontal="center" wrapText="1"/>
    </xf>
    <xf numFmtId="176" fontId="48" fillId="0" borderId="0" xfId="157" applyNumberFormat="1" applyFont="1" applyFill="1" applyBorder="1" applyAlignment="1">
      <alignment horizontal="center" wrapText="1"/>
    </xf>
    <xf numFmtId="176" fontId="47" fillId="0" borderId="0" xfId="157" applyNumberFormat="1" applyFont="1" applyAlignment="1">
      <alignment wrapText="1"/>
    </xf>
    <xf numFmtId="181" fontId="47" fillId="0" borderId="0" xfId="59" applyNumberFormat="1" applyFont="1" applyAlignment="1">
      <alignment horizontal="center" wrapText="1"/>
    </xf>
    <xf numFmtId="0" fontId="47" fillId="0" borderId="0" xfId="158" applyFont="1" applyAlignment="1">
      <alignment horizontal="left" indent="1"/>
    </xf>
    <xf numFmtId="176" fontId="47" fillId="20" borderId="0" xfId="157" applyNumberFormat="1" applyFont="1" applyFill="1"/>
    <xf numFmtId="184" fontId="47" fillId="0" borderId="0" xfId="59" applyNumberFormat="1" applyFont="1" applyFill="1"/>
    <xf numFmtId="176" fontId="47" fillId="0" borderId="0" xfId="157" applyNumberFormat="1" applyFont="1" applyFill="1" applyBorder="1"/>
    <xf numFmtId="0" fontId="48" fillId="0" borderId="0" xfId="157" applyNumberFormat="1" applyFont="1" applyFill="1" applyBorder="1" applyAlignment="1">
      <alignment vertical="top"/>
    </xf>
    <xf numFmtId="176" fontId="47" fillId="0" borderId="11" xfId="59" applyNumberFormat="1" applyFont="1" applyFill="1" applyBorder="1"/>
    <xf numFmtId="0" fontId="47" fillId="0" borderId="0" xfId="158" applyFont="1" applyAlignment="1">
      <alignment horizontal="right"/>
    </xf>
    <xf numFmtId="176" fontId="47" fillId="0" borderId="0" xfId="158" applyNumberFormat="1" applyFont="1" applyAlignment="1">
      <alignment horizontal="center"/>
    </xf>
    <xf numFmtId="176" fontId="47" fillId="0" borderId="0" xfId="157" applyNumberFormat="1" applyFont="1" applyFill="1"/>
    <xf numFmtId="169" fontId="47" fillId="0" borderId="0" xfId="158" applyNumberFormat="1" applyFont="1" applyAlignment="1">
      <alignment horizontal="center"/>
    </xf>
    <xf numFmtId="176" fontId="48" fillId="0" borderId="11" xfId="157" applyNumberFormat="1" applyFont="1" applyFill="1" applyBorder="1" applyAlignment="1">
      <alignment horizontal="left" wrapText="1"/>
    </xf>
    <xf numFmtId="176" fontId="48" fillId="0" borderId="0" xfId="157" applyNumberFormat="1" applyFont="1" applyFill="1" applyBorder="1" applyAlignment="1">
      <alignment horizontal="left" wrapText="1"/>
    </xf>
    <xf numFmtId="181" fontId="47" fillId="0" borderId="0" xfId="59" applyNumberFormat="1" applyFont="1" applyFill="1"/>
    <xf numFmtId="43" fontId="47" fillId="0" borderId="0" xfId="59" applyFont="1"/>
    <xf numFmtId="0" fontId="47" fillId="0" borderId="0" xfId="158" applyFont="1" applyAlignment="1">
      <alignment horizontal="right" indent="1"/>
    </xf>
    <xf numFmtId="170" fontId="47" fillId="0" borderId="0" xfId="0" applyNumberFormat="1" applyFont="1"/>
    <xf numFmtId="172" fontId="47" fillId="0" borderId="0" xfId="0" applyFont="1" applyAlignment="1">
      <alignment vertical="top"/>
    </xf>
    <xf numFmtId="172" fontId="47" fillId="0" borderId="0" xfId="0" applyFont="1" applyAlignment="1">
      <alignment vertical="top" wrapText="1"/>
    </xf>
    <xf numFmtId="0" fontId="47" fillId="0" borderId="0" xfId="0" applyNumberFormat="1" applyFont="1" applyAlignment="1">
      <alignment horizontal="center" vertical="top"/>
    </xf>
    <xf numFmtId="0" fontId="47" fillId="0" borderId="0" xfId="0" applyNumberFormat="1" applyFont="1" applyAlignment="1">
      <alignment vertical="top"/>
    </xf>
    <xf numFmtId="170" fontId="115" fillId="20" borderId="0" xfId="0" applyNumberFormat="1" applyFont="1" applyFill="1" applyProtection="1">
      <protection locked="0"/>
    </xf>
    <xf numFmtId="172" fontId="48" fillId="0" borderId="0" xfId="0" applyFont="1" applyAlignment="1">
      <alignment horizontal="center" vertical="center"/>
    </xf>
    <xf numFmtId="0" fontId="47" fillId="0" borderId="11" xfId="0" applyNumberFormat="1" applyFont="1" applyBorder="1"/>
    <xf numFmtId="172" fontId="47" fillId="0" borderId="11" xfId="0" applyFont="1" applyBorder="1"/>
    <xf numFmtId="176" fontId="47" fillId="0" borderId="0" xfId="157" applyNumberFormat="1" applyFont="1" applyFill="1" applyAlignment="1">
      <alignment wrapText="1"/>
    </xf>
    <xf numFmtId="176" fontId="47" fillId="0" borderId="0" xfId="157" applyNumberFormat="1" applyFont="1" applyFill="1" applyBorder="1" applyAlignment="1">
      <alignment horizontal="center"/>
    </xf>
    <xf numFmtId="176" fontId="47" fillId="0" borderId="0" xfId="157" applyNumberFormat="1" applyFont="1" applyFill="1" applyBorder="1" applyAlignment="1">
      <alignment wrapText="1"/>
    </xf>
    <xf numFmtId="176" fontId="115" fillId="0" borderId="0" xfId="59" applyNumberFormat="1" applyFont="1" applyFill="1" applyBorder="1" applyAlignment="1" applyProtection="1">
      <protection locked="0"/>
    </xf>
    <xf numFmtId="176" fontId="47" fillId="0" borderId="36" xfId="59" applyNumberFormat="1" applyFont="1" applyBorder="1" applyAlignment="1"/>
    <xf numFmtId="176" fontId="115" fillId="0" borderId="36" xfId="59" applyNumberFormat="1" applyFont="1" applyBorder="1" applyAlignment="1"/>
    <xf numFmtId="1" fontId="25" fillId="20" borderId="0" xfId="152" applyNumberFormat="1" applyFont="1" applyFill="1" applyAlignment="1">
      <alignment horizontal="center"/>
    </xf>
    <xf numFmtId="1" fontId="115" fillId="0" borderId="0" xfId="59" applyNumberFormat="1" applyFont="1" applyFill="1" applyAlignment="1">
      <alignment horizontal="right"/>
    </xf>
    <xf numFmtId="181" fontId="47" fillId="0" borderId="0" xfId="160" applyNumberFormat="1" applyFont="1" applyFill="1"/>
    <xf numFmtId="181" fontId="77" fillId="0" borderId="0" xfId="0" applyNumberFormat="1" applyFont="1" applyProtection="1">
      <protection locked="0"/>
    </xf>
    <xf numFmtId="17" fontId="132" fillId="0" borderId="0" xfId="159" applyNumberFormat="1" applyFont="1" applyAlignment="1">
      <alignment horizontal="center"/>
    </xf>
    <xf numFmtId="181" fontId="47" fillId="0" borderId="0" xfId="160" applyNumberFormat="1" applyFont="1"/>
    <xf numFmtId="181" fontId="47" fillId="0" borderId="11" xfId="160" applyNumberFormat="1" applyFont="1" applyFill="1" applyBorder="1"/>
    <xf numFmtId="181" fontId="47" fillId="0" borderId="0" xfId="160" applyNumberFormat="1" applyFont="1" applyAlignment="1">
      <alignment horizontal="right"/>
    </xf>
    <xf numFmtId="181" fontId="47" fillId="0" borderId="0" xfId="160" applyNumberFormat="1" applyFont="1" applyFill="1" applyAlignment="1">
      <alignment horizontal="right"/>
    </xf>
    <xf numFmtId="189" fontId="122" fillId="0" borderId="0" xfId="159" applyNumberFormat="1" applyFont="1"/>
    <xf numFmtId="17" fontId="132" fillId="20" borderId="0" xfId="159" applyNumberFormat="1" applyFont="1" applyFill="1" applyAlignment="1">
      <alignment horizontal="center"/>
    </xf>
    <xf numFmtId="181" fontId="77" fillId="20" borderId="0" xfId="0" applyNumberFormat="1" applyFont="1" applyFill="1" applyProtection="1">
      <protection locked="0"/>
    </xf>
    <xf numFmtId="0" fontId="150" fillId="0" borderId="0" xfId="159" applyFont="1"/>
    <xf numFmtId="181" fontId="77" fillId="0" borderId="0" xfId="160" applyNumberFormat="1" applyFont="1" applyAlignment="1">
      <alignment horizontal="right"/>
    </xf>
    <xf numFmtId="176" fontId="78" fillId="0" borderId="0" xfId="59" applyNumberFormat="1" applyFont="1" applyAlignment="1">
      <alignment horizontal="center"/>
    </xf>
    <xf numFmtId="176" fontId="78" fillId="0" borderId="0" xfId="0" applyNumberFormat="1" applyFont="1" applyAlignment="1" applyProtection="1">
      <alignment horizontal="center"/>
      <protection locked="0"/>
    </xf>
    <xf numFmtId="172" fontId="48" fillId="0" borderId="0" xfId="0" applyFont="1" applyAlignment="1">
      <alignment vertical="center"/>
    </xf>
    <xf numFmtId="172" fontId="25" fillId="0" borderId="0" xfId="0" applyFont="1" applyAlignment="1" applyProtection="1">
      <alignment horizontal="center"/>
      <protection locked="0"/>
    </xf>
    <xf numFmtId="184" fontId="47" fillId="0" borderId="0" xfId="160" applyNumberFormat="1" applyFont="1" applyFill="1"/>
    <xf numFmtId="184" fontId="47" fillId="20" borderId="18" xfId="160" applyNumberFormat="1" applyFont="1" applyFill="1" applyBorder="1"/>
    <xf numFmtId="0" fontId="118" fillId="0" borderId="0" xfId="135" applyFont="1" applyAlignment="1">
      <alignment vertical="top" wrapText="1"/>
    </xf>
    <xf numFmtId="0" fontId="115" fillId="0" borderId="0" xfId="0" applyNumberFormat="1" applyFont="1" applyAlignment="1">
      <alignment wrapText="1"/>
    </xf>
    <xf numFmtId="3" fontId="47" fillId="0" borderId="0" xfId="0" applyNumberFormat="1" applyFont="1" applyAlignment="1">
      <alignment wrapText="1"/>
    </xf>
    <xf numFmtId="188" fontId="115" fillId="0" borderId="0" xfId="59" applyNumberFormat="1" applyFont="1" applyFill="1" applyAlignment="1">
      <alignment horizontal="right"/>
    </xf>
    <xf numFmtId="165" fontId="117" fillId="0" borderId="0" xfId="0" applyNumberFormat="1" applyFont="1"/>
    <xf numFmtId="10" fontId="117" fillId="0" borderId="0" xfId="59" applyNumberFormat="1" applyFont="1" applyFill="1" applyAlignment="1">
      <alignment horizontal="right"/>
    </xf>
    <xf numFmtId="176" fontId="47" fillId="0" borderId="36" xfId="59" applyNumberFormat="1" applyFont="1" applyFill="1" applyBorder="1" applyAlignment="1"/>
    <xf numFmtId="176" fontId="115" fillId="0" borderId="36" xfId="59" applyNumberFormat="1" applyFont="1" applyFill="1" applyBorder="1" applyAlignment="1"/>
    <xf numFmtId="0" fontId="47" fillId="0" borderId="6" xfId="0" applyNumberFormat="1" applyFont="1" applyBorder="1"/>
    <xf numFmtId="3" fontId="47" fillId="0" borderId="0" xfId="0" applyNumberFormat="1" applyFont="1" applyAlignment="1">
      <alignment horizontal="center"/>
    </xf>
    <xf numFmtId="181" fontId="115" fillId="20" borderId="0" xfId="59" applyNumberFormat="1" applyFont="1" applyFill="1" applyAlignment="1"/>
    <xf numFmtId="0" fontId="115" fillId="0" borderId="0" xfId="0" applyNumberFormat="1" applyFont="1" applyAlignment="1">
      <alignment horizontal="center" vertical="center" wrapText="1"/>
    </xf>
    <xf numFmtId="0" fontId="47" fillId="0" borderId="0" xfId="0" applyNumberFormat="1" applyFont="1" applyAlignment="1">
      <alignment horizontal="center" vertical="top" wrapText="1"/>
    </xf>
    <xf numFmtId="0" fontId="47" fillId="0" borderId="0" xfId="0" applyNumberFormat="1" applyFont="1" applyAlignment="1">
      <alignment horizontal="center" vertical="center" wrapText="1"/>
    </xf>
    <xf numFmtId="3" fontId="25" fillId="0" borderId="0" xfId="132" applyNumberFormat="1" applyFont="1" applyAlignment="1">
      <alignment horizontal="left" wrapText="1"/>
    </xf>
    <xf numFmtId="0" fontId="142" fillId="0" borderId="0" xfId="137" applyFont="1" applyAlignment="1">
      <alignment horizontal="center"/>
    </xf>
    <xf numFmtId="0" fontId="133" fillId="0" borderId="0" xfId="137" applyFont="1" applyAlignment="1">
      <alignment horizontal="center"/>
    </xf>
    <xf numFmtId="44" fontId="20" fillId="0" borderId="21" xfId="137" applyNumberFormat="1" applyFont="1" applyBorder="1" applyAlignment="1">
      <alignment horizontal="center"/>
    </xf>
    <xf numFmtId="44" fontId="20" fillId="0" borderId="0" xfId="137" applyNumberFormat="1" applyFont="1" applyAlignment="1">
      <alignment horizontal="center"/>
    </xf>
    <xf numFmtId="0" fontId="25" fillId="0" borderId="0" xfId="137" applyFont="1" applyAlignment="1">
      <alignment horizontal="center" wrapText="1"/>
    </xf>
    <xf numFmtId="176" fontId="47" fillId="0" borderId="0" xfId="59" applyNumberFormat="1" applyFont="1" applyFill="1" applyAlignment="1">
      <alignment horizontal="center" vertical="center"/>
    </xf>
    <xf numFmtId="170" fontId="25" fillId="0" borderId="0" xfId="0" applyNumberFormat="1" applyFont="1"/>
    <xf numFmtId="42" fontId="25" fillId="0" borderId="22" xfId="139" applyNumberFormat="1" applyFont="1" applyBorder="1"/>
    <xf numFmtId="0" fontId="47" fillId="0" borderId="0" xfId="82" applyFont="1" applyAlignment="1">
      <alignment horizontal="center" vertical="center"/>
    </xf>
    <xf numFmtId="3" fontId="115" fillId="20" borderId="0" xfId="0" applyNumberFormat="1" applyFont="1" applyFill="1"/>
    <xf numFmtId="0" fontId="47" fillId="0" borderId="6" xfId="0" applyNumberFormat="1" applyFont="1" applyBorder="1" applyAlignment="1">
      <alignment horizontal="center"/>
    </xf>
    <xf numFmtId="0" fontId="78" fillId="20" borderId="0" xfId="0" applyNumberFormat="1" applyFont="1" applyFill="1" applyAlignment="1" applyProtection="1">
      <alignment horizontal="left"/>
      <protection locked="0"/>
    </xf>
    <xf numFmtId="172" fontId="77" fillId="20" borderId="0" xfId="0" applyFont="1" applyFill="1" applyAlignment="1" applyProtection="1">
      <alignment horizontal="center"/>
      <protection locked="0"/>
    </xf>
    <xf numFmtId="172" fontId="25" fillId="20" borderId="0" xfId="0" applyFont="1" applyFill="1" applyProtection="1">
      <protection locked="0"/>
    </xf>
    <xf numFmtId="180" fontId="77" fillId="20" borderId="0" xfId="85" applyNumberFormat="1" applyFont="1" applyFill="1" applyProtection="1">
      <protection locked="0"/>
    </xf>
    <xf numFmtId="176" fontId="77" fillId="20" borderId="0" xfId="0" applyNumberFormat="1" applyFont="1" applyFill="1" applyProtection="1">
      <protection locked="0"/>
    </xf>
    <xf numFmtId="0" fontId="69" fillId="0" borderId="0" xfId="158" applyFont="1" applyAlignment="1">
      <alignment vertical="top"/>
    </xf>
    <xf numFmtId="0" fontId="132" fillId="0" borderId="0" xfId="0" applyNumberFormat="1" applyFont="1" applyAlignment="1">
      <alignment horizontal="center"/>
    </xf>
    <xf numFmtId="172" fontId="132" fillId="0" borderId="0" xfId="0" applyFont="1"/>
    <xf numFmtId="179" fontId="115" fillId="0" borderId="0" xfId="0" applyNumberFormat="1" applyFont="1" applyAlignment="1">
      <alignment horizontal="right"/>
    </xf>
    <xf numFmtId="0" fontId="47" fillId="0" borderId="0" xfId="0" quotePrefix="1" applyNumberFormat="1" applyFont="1"/>
    <xf numFmtId="0" fontId="1" fillId="0" borderId="0" xfId="148" applyFont="1" applyAlignment="1">
      <alignment horizontal="center" wrapText="1"/>
    </xf>
    <xf numFmtId="0" fontId="151" fillId="0" borderId="21" xfId="137" applyFont="1" applyBorder="1" applyAlignment="1">
      <alignment horizontal="center" wrapText="1"/>
    </xf>
    <xf numFmtId="176" fontId="69" fillId="0" borderId="0" xfId="157" applyNumberFormat="1" applyFont="1" applyBorder="1"/>
    <xf numFmtId="176" fontId="69" fillId="20" borderId="0" xfId="157" applyNumberFormat="1" applyFont="1" applyFill="1" applyBorder="1"/>
    <xf numFmtId="0" fontId="47" fillId="0" borderId="0" xfId="0" applyNumberFormat="1" applyFont="1" applyAlignment="1">
      <alignment vertical="top" wrapText="1"/>
    </xf>
    <xf numFmtId="172" fontId="18" fillId="20" borderId="0" xfId="0" applyFont="1" applyFill="1"/>
    <xf numFmtId="172" fontId="70" fillId="0" borderId="21" xfId="0" applyFont="1" applyBorder="1" applyAlignment="1">
      <alignment horizontal="center" vertical="center"/>
    </xf>
    <xf numFmtId="10" fontId="79" fillId="0" borderId="0" xfId="85" applyNumberFormat="1" applyFont="1" applyFill="1" applyAlignment="1">
      <alignment horizontal="center" vertical="top"/>
    </xf>
    <xf numFmtId="0" fontId="79" fillId="0" borderId="0" xfId="129" applyFont="1" applyAlignment="1">
      <alignment horizontal="left" vertical="top"/>
    </xf>
    <xf numFmtId="188" fontId="47" fillId="0" borderId="0" xfId="85" applyNumberFormat="1" applyFont="1" applyFill="1"/>
    <xf numFmtId="9" fontId="47" fillId="20" borderId="0" xfId="0" applyNumberFormat="1" applyFont="1" applyFill="1"/>
    <xf numFmtId="0" fontId="79" fillId="0" borderId="0" xfId="129" applyFont="1" applyAlignment="1">
      <alignment horizontal="right" vertical="top"/>
    </xf>
    <xf numFmtId="176" fontId="47" fillId="20" borderId="0" xfId="59" applyNumberFormat="1" applyFont="1" applyFill="1" applyAlignment="1">
      <alignment horizontal="center"/>
    </xf>
    <xf numFmtId="173" fontId="25" fillId="0" borderId="11" xfId="138" applyNumberFormat="1" applyFont="1" applyBorder="1" applyAlignment="1">
      <alignment horizontal="center"/>
    </xf>
    <xf numFmtId="172" fontId="46" fillId="20" borderId="16" xfId="0" applyFont="1" applyFill="1" applyBorder="1" applyAlignment="1">
      <alignment horizontal="center"/>
    </xf>
    <xf numFmtId="172" fontId="46" fillId="0" borderId="0" xfId="0" applyFont="1" applyAlignment="1">
      <alignment horizontal="center"/>
    </xf>
    <xf numFmtId="172" fontId="46" fillId="20" borderId="0" xfId="0" applyFont="1" applyFill="1" applyAlignment="1">
      <alignment horizontal="left" wrapText="1"/>
    </xf>
    <xf numFmtId="172" fontId="152" fillId="20" borderId="0" xfId="0" applyFont="1" applyFill="1" applyAlignment="1">
      <alignment horizontal="left"/>
    </xf>
    <xf numFmtId="176" fontId="46" fillId="20" borderId="0" xfId="59" applyNumberFormat="1" applyFont="1" applyFill="1" applyBorder="1" applyAlignment="1"/>
    <xf numFmtId="176" fontId="46" fillId="20" borderId="2" xfId="59" applyNumberFormat="1" applyFont="1" applyFill="1" applyBorder="1"/>
    <xf numFmtId="176" fontId="25" fillId="0" borderId="0" xfId="59" applyNumberFormat="1" applyFont="1" applyFill="1" applyBorder="1" applyAlignment="1"/>
    <xf numFmtId="43" fontId="46" fillId="0" borderId="0" xfId="59" applyFont="1" applyFill="1" applyBorder="1" applyAlignment="1"/>
    <xf numFmtId="176" fontId="46" fillId="0" borderId="0" xfId="59" applyNumberFormat="1" applyFont="1" applyFill="1" applyBorder="1" applyAlignment="1"/>
    <xf numFmtId="176" fontId="46" fillId="0" borderId="0" xfId="85" applyNumberFormat="1" applyFont="1" applyFill="1" applyBorder="1" applyAlignment="1"/>
    <xf numFmtId="176" fontId="25" fillId="0" borderId="0" xfId="59" applyNumberFormat="1" applyFont="1" applyFill="1" applyBorder="1" applyAlignment="1">
      <alignment horizontal="center"/>
    </xf>
    <xf numFmtId="172" fontId="47" fillId="20" borderId="0" xfId="143" applyFont="1" applyFill="1" applyAlignment="1">
      <alignment wrapText="1"/>
    </xf>
    <xf numFmtId="0" fontId="153" fillId="20" borderId="0" xfId="163" applyFont="1" applyFill="1"/>
    <xf numFmtId="0" fontId="153" fillId="20" borderId="0" xfId="132" applyFont="1" applyFill="1"/>
    <xf numFmtId="0" fontId="136" fillId="20" borderId="0" xfId="163" applyFont="1" applyFill="1" applyAlignment="1">
      <alignment horizontal="center"/>
    </xf>
    <xf numFmtId="0" fontId="136" fillId="20" borderId="0" xfId="163" applyFont="1" applyFill="1"/>
    <xf numFmtId="164" fontId="136" fillId="0" borderId="0" xfId="85" applyNumberFormat="1" applyFont="1" applyFill="1"/>
    <xf numFmtId="164" fontId="135" fillId="0" borderId="0" xfId="85" applyNumberFormat="1" applyFont="1" applyFill="1"/>
    <xf numFmtId="176" fontId="135" fillId="0" borderId="0" xfId="133" applyNumberFormat="1" applyFont="1" applyFill="1"/>
    <xf numFmtId="176" fontId="115" fillId="0" borderId="0" xfId="85" applyNumberFormat="1" applyFont="1" applyAlignment="1">
      <alignment horizontal="left"/>
    </xf>
    <xf numFmtId="164" fontId="115" fillId="0" borderId="0" xfId="85" applyNumberFormat="1" applyFont="1"/>
    <xf numFmtId="0" fontId="47" fillId="0" borderId="0" xfId="0" applyNumberFormat="1" applyFont="1" applyAlignment="1">
      <alignment vertical="top" wrapText="1"/>
    </xf>
    <xf numFmtId="0" fontId="115" fillId="0" borderId="0" xfId="0" applyNumberFormat="1" applyFont="1" applyAlignment="1">
      <alignment vertical="top" wrapText="1"/>
    </xf>
    <xf numFmtId="172" fontId="115" fillId="0" borderId="0" xfId="0" applyFont="1" applyAlignment="1">
      <alignment horizontal="left" vertical="top" wrapText="1"/>
    </xf>
    <xf numFmtId="0" fontId="47" fillId="0" borderId="0" xfId="0" applyNumberFormat="1" applyFont="1" applyAlignment="1">
      <alignment horizontal="left" vertical="top" wrapText="1"/>
    </xf>
    <xf numFmtId="0" fontId="115" fillId="0" borderId="0" xfId="0" applyNumberFormat="1" applyFont="1" applyAlignment="1">
      <alignment horizontal="left" vertical="top" wrapText="1"/>
    </xf>
    <xf numFmtId="0" fontId="47" fillId="0" borderId="0" xfId="0" applyNumberFormat="1" applyFont="1" applyAlignment="1">
      <alignment horizontal="left" wrapText="1"/>
    </xf>
    <xf numFmtId="0" fontId="47" fillId="0" borderId="0" xfId="0" applyNumberFormat="1" applyFont="1" applyAlignment="1">
      <alignment horizontal="left" vertical="center" wrapText="1"/>
    </xf>
    <xf numFmtId="0" fontId="115" fillId="0" borderId="0" xfId="0" applyNumberFormat="1" applyFont="1" applyAlignment="1">
      <alignment horizontal="left" vertical="center" wrapText="1"/>
    </xf>
    <xf numFmtId="172" fontId="115" fillId="0" borderId="0" xfId="0" applyFont="1"/>
    <xf numFmtId="0" fontId="120" fillId="0" borderId="0" xfId="0" applyNumberFormat="1" applyFont="1" applyAlignment="1">
      <alignment horizontal="center"/>
    </xf>
    <xf numFmtId="0" fontId="115" fillId="0" borderId="0" xfId="0" applyNumberFormat="1" applyFont="1" applyAlignment="1">
      <alignment horizontal="left"/>
    </xf>
    <xf numFmtId="0" fontId="115" fillId="0" borderId="0" xfId="0" applyNumberFormat="1" applyFont="1" applyAlignment="1">
      <alignment horizontal="left" wrapText="1"/>
    </xf>
    <xf numFmtId="0" fontId="47" fillId="0" borderId="0" xfId="82" applyFont="1" applyAlignment="1">
      <alignment horizontal="left" wrapText="1"/>
    </xf>
    <xf numFmtId="0" fontId="47" fillId="0" borderId="0" xfId="82" applyFont="1" applyAlignment="1">
      <alignment horizontal="left"/>
    </xf>
    <xf numFmtId="0" fontId="48" fillId="0" borderId="0" xfId="82" applyFont="1" applyAlignment="1">
      <alignment horizontal="center"/>
    </xf>
    <xf numFmtId="49" fontId="17" fillId="0" borderId="0" xfId="132" applyNumberFormat="1" applyFont="1" applyAlignment="1">
      <alignment horizontal="center"/>
    </xf>
    <xf numFmtId="0" fontId="17" fillId="0" borderId="0" xfId="132" applyFont="1" applyAlignment="1">
      <alignment horizontal="center"/>
    </xf>
    <xf numFmtId="0" fontId="87" fillId="0" borderId="0" xfId="132" applyFont="1" applyAlignment="1">
      <alignment horizontal="center"/>
    </xf>
    <xf numFmtId="0" fontId="25" fillId="0" borderId="0" xfId="132" applyFont="1" applyAlignment="1">
      <alignment horizontal="left" vertical="center" wrapText="1"/>
    </xf>
    <xf numFmtId="0" fontId="47" fillId="0" borderId="0" xfId="0" applyNumberFormat="1" applyFont="1" applyAlignment="1">
      <alignment horizontal="right"/>
    </xf>
    <xf numFmtId="0" fontId="47" fillId="0" borderId="0" xfId="0" applyNumberFormat="1" applyFont="1" applyAlignment="1">
      <alignment horizontal="center"/>
    </xf>
    <xf numFmtId="0" fontId="25" fillId="0" borderId="0" xfId="132" applyFont="1" applyAlignment="1">
      <alignment horizontal="left" wrapText="1"/>
    </xf>
    <xf numFmtId="172" fontId="48" fillId="0" borderId="0" xfId="0" applyFont="1" applyAlignment="1">
      <alignment horizontal="center"/>
    </xf>
    <xf numFmtId="3" fontId="47" fillId="0" borderId="0" xfId="0" applyNumberFormat="1" applyFont="1" applyAlignment="1" applyProtection="1">
      <alignment horizontal="center"/>
      <protection locked="0"/>
    </xf>
    <xf numFmtId="172" fontId="47" fillId="0" borderId="0" xfId="0" applyFont="1" applyAlignment="1">
      <alignment horizontal="left"/>
    </xf>
    <xf numFmtId="172" fontId="0" fillId="0" borderId="0" xfId="0"/>
    <xf numFmtId="172" fontId="47" fillId="0" borderId="0" xfId="0" applyFont="1" applyAlignment="1">
      <alignment horizontal="left" wrapText="1"/>
    </xf>
    <xf numFmtId="172" fontId="69" fillId="0" borderId="0" xfId="0" applyFont="1" applyAlignment="1">
      <alignment horizontal="left" vertical="top" wrapText="1"/>
    </xf>
    <xf numFmtId="172" fontId="69" fillId="0" borderId="0" xfId="0" applyFont="1" applyAlignment="1">
      <alignment horizontal="center" vertical="center"/>
    </xf>
    <xf numFmtId="172" fontId="69" fillId="0" borderId="0" xfId="0" applyFont="1" applyAlignment="1">
      <alignment horizontal="left" vertical="center"/>
    </xf>
    <xf numFmtId="0" fontId="42" fillId="0" borderId="0" xfId="132" applyFont="1" applyAlignment="1">
      <alignment horizontal="center"/>
    </xf>
    <xf numFmtId="0" fontId="20" fillId="0" borderId="0" xfId="132" applyFont="1" applyAlignment="1">
      <alignment horizontal="center"/>
    </xf>
    <xf numFmtId="49" fontId="127" fillId="0" borderId="35" xfId="132" applyNumberFormat="1" applyFont="1" applyBorder="1" applyAlignment="1">
      <alignment horizontal="center" vertical="center"/>
    </xf>
    <xf numFmtId="0" fontId="127" fillId="0" borderId="36" xfId="132" applyFont="1" applyBorder="1" applyAlignment="1">
      <alignment horizontal="center" vertical="center"/>
    </xf>
    <xf numFmtId="0" fontId="127" fillId="0" borderId="37" xfId="132" applyFont="1" applyBorder="1" applyAlignment="1">
      <alignment horizontal="center" vertical="center"/>
    </xf>
    <xf numFmtId="0" fontId="42" fillId="0" borderId="39" xfId="132" applyFont="1" applyBorder="1" applyAlignment="1">
      <alignment horizontal="center"/>
    </xf>
    <xf numFmtId="0" fontId="42" fillId="0" borderId="6" xfId="132" applyFont="1" applyBorder="1" applyAlignment="1">
      <alignment horizontal="center"/>
    </xf>
    <xf numFmtId="0" fontId="42" fillId="0" borderId="40" xfId="132" applyFont="1" applyBorder="1" applyAlignment="1">
      <alignment horizontal="center"/>
    </xf>
    <xf numFmtId="0" fontId="68" fillId="0" borderId="0" xfId="132" applyFont="1" applyAlignment="1">
      <alignment horizontal="left" wrapText="1"/>
    </xf>
    <xf numFmtId="0" fontId="42" fillId="0" borderId="29" xfId="132" applyFont="1" applyBorder="1" applyAlignment="1">
      <alignment horizontal="center"/>
    </xf>
    <xf numFmtId="0" fontId="42" fillId="0" borderId="30" xfId="132" applyFont="1" applyBorder="1" applyAlignment="1">
      <alignment horizontal="center"/>
    </xf>
    <xf numFmtId="0" fontId="42" fillId="0" borderId="31" xfId="132" applyFont="1" applyBorder="1" applyAlignment="1">
      <alignment horizontal="center"/>
    </xf>
    <xf numFmtId="0" fontId="42" fillId="0" borderId="35" xfId="132" applyFont="1" applyBorder="1" applyAlignment="1">
      <alignment horizontal="center" vertical="center"/>
    </xf>
    <xf numFmtId="0" fontId="42" fillId="0" borderId="36" xfId="132" applyFont="1" applyBorder="1" applyAlignment="1">
      <alignment horizontal="center" vertical="center"/>
    </xf>
    <xf numFmtId="0" fontId="42" fillId="0" borderId="37" xfId="132" applyFont="1" applyBorder="1" applyAlignment="1">
      <alignment horizontal="center" vertical="center"/>
    </xf>
    <xf numFmtId="0" fontId="107" fillId="20" borderId="30" xfId="148" applyFont="1" applyFill="1" applyBorder="1" applyAlignment="1">
      <alignment horizontal="center"/>
    </xf>
    <xf numFmtId="0" fontId="107" fillId="20" borderId="31" xfId="148" applyFont="1" applyFill="1" applyBorder="1" applyAlignment="1">
      <alignment horizontal="center"/>
    </xf>
    <xf numFmtId="0" fontId="3" fillId="20" borderId="0" xfId="148" applyFont="1" applyFill="1" applyAlignment="1">
      <alignment horizontal="center" wrapText="1"/>
    </xf>
    <xf numFmtId="0" fontId="13" fillId="20" borderId="0" xfId="148" applyFill="1" applyAlignment="1">
      <alignment horizontal="center" wrapText="1"/>
    </xf>
    <xf numFmtId="0" fontId="11" fillId="0" borderId="0" xfId="148" applyFont="1" applyAlignment="1">
      <alignment horizontal="left" wrapText="1"/>
    </xf>
    <xf numFmtId="0" fontId="9" fillId="0" borderId="0" xfId="148" applyFont="1" applyAlignment="1">
      <alignment horizontal="left" wrapText="1"/>
    </xf>
    <xf numFmtId="0" fontId="5" fillId="20" borderId="0" xfId="148" applyFont="1" applyFill="1" applyAlignment="1">
      <alignment horizontal="center" wrapText="1"/>
    </xf>
    <xf numFmtId="172" fontId="69" fillId="0" borderId="0" xfId="0" applyFont="1" applyAlignment="1">
      <alignment horizontal="left" vertical="center" wrapText="1"/>
    </xf>
    <xf numFmtId="0" fontId="18" fillId="0" borderId="0" xfId="129" applyFont="1" applyAlignment="1">
      <alignment horizontal="center" vertical="top" wrapText="1"/>
    </xf>
    <xf numFmtId="0" fontId="79" fillId="0" borderId="0" xfId="129" applyFont="1" applyAlignment="1">
      <alignment horizontal="left" vertical="top" wrapText="1"/>
    </xf>
    <xf numFmtId="0" fontId="25" fillId="0" borderId="0" xfId="137" applyFont="1" applyAlignment="1">
      <alignment horizontal="center"/>
    </xf>
    <xf numFmtId="172" fontId="25" fillId="0" borderId="0" xfId="0" applyFont="1" applyAlignment="1">
      <alignment horizontal="left"/>
    </xf>
    <xf numFmtId="172" fontId="20" fillId="0" borderId="0" xfId="0" applyFont="1" applyAlignment="1">
      <alignment horizontal="center"/>
    </xf>
    <xf numFmtId="3" fontId="25" fillId="0" borderId="0" xfId="0" applyNumberFormat="1" applyFont="1" applyAlignment="1" applyProtection="1">
      <alignment horizontal="center"/>
      <protection locked="0"/>
    </xf>
    <xf numFmtId="49" fontId="20" fillId="0" borderId="0" xfId="0" applyNumberFormat="1" applyFont="1" applyAlignment="1">
      <alignment horizontal="center"/>
    </xf>
    <xf numFmtId="3" fontId="25" fillId="0" borderId="0" xfId="0" applyNumberFormat="1" applyFont="1" applyAlignment="1">
      <alignment horizontal="center"/>
    </xf>
    <xf numFmtId="172" fontId="25" fillId="0" borderId="0" xfId="0" applyFont="1" applyAlignment="1">
      <alignment horizontal="left" wrapText="1"/>
    </xf>
    <xf numFmtId="172" fontId="133" fillId="0" borderId="0" xfId="0" applyFont="1" applyAlignment="1">
      <alignment horizontal="center"/>
    </xf>
    <xf numFmtId="0" fontId="25" fillId="0" borderId="0" xfId="0" applyNumberFormat="1" applyFont="1" applyAlignment="1" applyProtection="1">
      <alignment horizontal="center"/>
      <protection locked="0"/>
    </xf>
    <xf numFmtId="172" fontId="48" fillId="0" borderId="0" xfId="0" applyFont="1" applyAlignment="1">
      <alignment horizontal="center" vertical="center"/>
    </xf>
    <xf numFmtId="172" fontId="47" fillId="0" borderId="0" xfId="0" applyFont="1" applyAlignment="1">
      <alignment horizontal="left" vertical="top" wrapText="1"/>
    </xf>
    <xf numFmtId="172" fontId="47" fillId="0" borderId="0" xfId="0" applyFont="1" applyAlignment="1">
      <alignment horizontal="left" vertical="center"/>
    </xf>
    <xf numFmtId="172" fontId="47" fillId="0" borderId="0" xfId="0" applyFont="1" applyAlignment="1">
      <alignment horizontal="left" vertical="center" wrapText="1"/>
    </xf>
    <xf numFmtId="0" fontId="47" fillId="0" borderId="0" xfId="159" applyFont="1" applyAlignment="1">
      <alignment horizontal="left" vertical="top" wrapText="1"/>
    </xf>
    <xf numFmtId="0" fontId="132" fillId="0" borderId="0" xfId="159" applyFont="1" applyAlignment="1">
      <alignment horizontal="left" vertical="top" wrapText="1"/>
    </xf>
    <xf numFmtId="0" fontId="69" fillId="0" borderId="0" xfId="158" applyFont="1" applyAlignment="1">
      <alignment horizontal="left"/>
    </xf>
    <xf numFmtId="0" fontId="69" fillId="0" borderId="0" xfId="158" applyFont="1" applyAlignment="1">
      <alignment horizontal="left" wrapText="1"/>
    </xf>
    <xf numFmtId="0" fontId="69" fillId="0" borderId="0" xfId="158" applyFont="1" applyAlignment="1">
      <alignment horizontal="left" vertical="top" wrapText="1"/>
    </xf>
    <xf numFmtId="0" fontId="134" fillId="0" borderId="0" xfId="78" applyFont="1" applyAlignment="1">
      <alignment horizontal="center"/>
    </xf>
    <xf numFmtId="0" fontId="135" fillId="0" borderId="0" xfId="132" applyFont="1" applyAlignment="1">
      <alignment horizontal="left" vertical="top" wrapText="1"/>
    </xf>
    <xf numFmtId="0" fontId="47" fillId="0" borderId="0" xfId="158" applyFont="1" applyAlignment="1">
      <alignment horizontal="right"/>
    </xf>
    <xf numFmtId="172" fontId="47" fillId="0" borderId="0" xfId="0" applyFont="1" applyAlignment="1">
      <alignment horizontal="right" vertical="center"/>
    </xf>
    <xf numFmtId="170" fontId="69" fillId="0" borderId="0" xfId="0" applyNumberFormat="1" applyFont="1" applyFill="1" applyAlignment="1">
      <alignment vertical="center"/>
    </xf>
    <xf numFmtId="172" fontId="69" fillId="0" borderId="0" xfId="0" applyFont="1" applyFill="1" applyAlignment="1">
      <alignment vertical="center"/>
    </xf>
    <xf numFmtId="0" fontId="25" fillId="0" borderId="0" xfId="137" applyFont="1" applyFill="1" applyAlignment="1">
      <alignment horizontal="center"/>
    </xf>
    <xf numFmtId="0" fontId="20" fillId="0" borderId="0" xfId="152" applyFont="1" applyFill="1" applyAlignment="1">
      <alignment horizontal="left"/>
    </xf>
    <xf numFmtId="0" fontId="20" fillId="0" borderId="0" xfId="137" applyFont="1" applyFill="1" applyAlignment="1">
      <alignment horizontal="left"/>
    </xf>
    <xf numFmtId="0" fontId="20" fillId="0" borderId="21" xfId="137" applyFont="1" applyFill="1" applyBorder="1" applyAlignment="1">
      <alignment horizontal="left"/>
    </xf>
    <xf numFmtId="0" fontId="25" fillId="0" borderId="0" xfId="137" applyFont="1" applyFill="1"/>
  </cellXfs>
  <cellStyles count="1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61" xr:uid="{07B2F304-DCA3-486A-934E-08847D73644B}"/>
    <cellStyle name="Comma 2" xfId="60" xr:uid="{00000000-0005-0000-0000-00003B000000}"/>
    <cellStyle name="Comma 2 2" xfId="61" xr:uid="{00000000-0005-0000-0000-00003C000000}"/>
    <cellStyle name="Comma 2 3" xfId="136" xr:uid="{00000000-0005-0000-0000-00003D000000}"/>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4" xfId="140" xr:uid="{00000000-0005-0000-0000-000042000000}"/>
    <cellStyle name="Comma 5" xfId="149" xr:uid="{00000000-0005-0000-0000-000043000000}"/>
    <cellStyle name="Comma 6" xfId="151" xr:uid="{00000000-0005-0000-0000-000044000000}"/>
    <cellStyle name="Comma 7" xfId="157" xr:uid="{AE705269-E130-4ED3-A4E9-7FFA16C806D0}"/>
    <cellStyle name="Comma 8" xfId="160" xr:uid="{CB53FB3B-9328-4B96-86A7-4090C466A53E}"/>
    <cellStyle name="Comma 9" xfId="155" xr:uid="{A4571CB2-D93D-49BF-A7C2-D44C6A8CEF42}"/>
    <cellStyle name="Comma0" xfId="62" xr:uid="{00000000-0005-0000-0000-000045000000}"/>
    <cellStyle name="Currency" xfId="63" builtinId="4"/>
    <cellStyle name="Currency 2" xfId="131" xr:uid="{00000000-0005-0000-0000-000047000000}"/>
    <cellStyle name="Currency 2 2" xfId="142" xr:uid="{00000000-0005-0000-0000-000048000000}"/>
    <cellStyle name="Currency 3" xfId="138" xr:uid="{00000000-0005-0000-0000-000049000000}"/>
    <cellStyle name="Currency0" xfId="64" xr:uid="{00000000-0005-0000-0000-00004A000000}"/>
    <cellStyle name="Date" xfId="65" xr:uid="{00000000-0005-0000-0000-00004B000000}"/>
    <cellStyle name="Explanatory Text" xfId="66" builtinId="53" customBuiltin="1"/>
    <cellStyle name="Fixed" xfId="67" xr:uid="{00000000-0005-0000-0000-00004D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3000000}"/>
    <cellStyle name="Heading2" xfId="74" xr:uid="{00000000-0005-0000-0000-000054000000}"/>
    <cellStyle name="Input" xfId="75" builtinId="20" customBuiltin="1"/>
    <cellStyle name="Linked Cell" xfId="76" builtinId="24" customBuiltin="1"/>
    <cellStyle name="Neutral" xfId="77" builtinId="28" customBuiltin="1"/>
    <cellStyle name="Normal" xfId="0" builtinId="0"/>
    <cellStyle name="Normal 10" xfId="154" xr:uid="{767CFB30-76F7-46BF-B7FF-9EBA9CC227CB}"/>
    <cellStyle name="Normal 10 2" xfId="144" xr:uid="{00000000-0005-0000-0000-000059000000}"/>
    <cellStyle name="Normal 11" xfId="159" xr:uid="{3893BC9C-C9FE-4315-95B7-1C6E40B4D033}"/>
    <cellStyle name="Normal 2" xfId="78" xr:uid="{00000000-0005-0000-0000-00005A000000}"/>
    <cellStyle name="Normal 2 2" xfId="79" xr:uid="{00000000-0005-0000-0000-00005B000000}"/>
    <cellStyle name="Normal 2 3" xfId="156" xr:uid="{1453020E-E75E-45DD-938E-F0CC83AC8E22}"/>
    <cellStyle name="Normal 20" xfId="145" xr:uid="{00000000-0005-0000-0000-00005C000000}"/>
    <cellStyle name="Normal 3" xfId="80" xr:uid="{00000000-0005-0000-0000-00005D000000}"/>
    <cellStyle name="Normal 3 2" xfId="81" xr:uid="{00000000-0005-0000-0000-00005E000000}"/>
    <cellStyle name="Normal 4" xfId="129" xr:uid="{00000000-0005-0000-0000-00005F000000}"/>
    <cellStyle name="Normal 4 2" xfId="158" xr:uid="{83DA8D5B-8D39-42E7-B6F0-0C26C0938D1F}"/>
    <cellStyle name="Normal 5" xfId="132" xr:uid="{00000000-0005-0000-0000-000060000000}"/>
    <cellStyle name="Normal 5 5" xfId="163" xr:uid="{ED566271-349B-455D-AD72-B910B5C426EF}"/>
    <cellStyle name="Normal 6" xfId="137" xr:uid="{00000000-0005-0000-0000-000061000000}"/>
    <cellStyle name="Normal 6 2" xfId="152" xr:uid="{00000000-0005-0000-0000-000062000000}"/>
    <cellStyle name="Normal 7" xfId="148" xr:uid="{00000000-0005-0000-0000-000063000000}"/>
    <cellStyle name="Normal 8" xfId="150" xr:uid="{00000000-0005-0000-0000-000064000000}"/>
    <cellStyle name="Normal 9" xfId="162" xr:uid="{FF83C6D7-6E35-417E-96AE-B8638D900175}"/>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Output" xfId="84" builtinId="21" customBuiltin="1"/>
    <cellStyle name="Percent" xfId="85" builtinId="5"/>
    <cellStyle name="Percent 2" xfId="130" xr:uid="{00000000-0005-0000-0000-00006B000000}"/>
    <cellStyle name="Percent 2 2" xfId="86" xr:uid="{00000000-0005-0000-0000-00006C000000}"/>
    <cellStyle name="Percent 2 2 2" xfId="141" xr:uid="{00000000-0005-0000-0000-00006D000000}"/>
    <cellStyle name="Percent 3" xfId="134" xr:uid="{00000000-0005-0000-0000-00006E000000}"/>
    <cellStyle name="Percent 4" xfId="153" xr:uid="{00000000-0005-0000-0000-00006F000000}"/>
    <cellStyle name="PSChar" xfId="87" xr:uid="{00000000-0005-0000-0000-000070000000}"/>
    <cellStyle name="PSDate" xfId="88" xr:uid="{00000000-0005-0000-0000-000071000000}"/>
    <cellStyle name="PSDec" xfId="89" xr:uid="{00000000-0005-0000-0000-000072000000}"/>
    <cellStyle name="PSdesc" xfId="90" xr:uid="{00000000-0005-0000-0000-000073000000}"/>
    <cellStyle name="PSHeading" xfId="91" xr:uid="{00000000-0005-0000-0000-000074000000}"/>
    <cellStyle name="PSInt" xfId="92" xr:uid="{00000000-0005-0000-0000-000075000000}"/>
    <cellStyle name="PSSpacer" xfId="93" xr:uid="{00000000-0005-0000-0000-000076000000}"/>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Title" xfId="126" builtinId="15" customBuiltin="1"/>
    <cellStyle name="Total" xfId="127" builtinId="25" customBuiltin="1"/>
    <cellStyle name="Warning Text" xfId="128" builtinId="11" customBuiltin="1"/>
  </cellStyles>
  <dxfs count="2">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twork.com\Data\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enetwork.com\Data\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68"/>
  <sheetViews>
    <sheetView tabSelected="1" view="pageBreakPreview" zoomScale="80" zoomScaleNormal="100" zoomScaleSheetLayoutView="80" workbookViewId="0">
      <selection activeCell="A2" sqref="A2"/>
    </sheetView>
  </sheetViews>
  <sheetFormatPr defaultColWidth="8.88671875" defaultRowHeight="15.75"/>
  <cols>
    <col min="1" max="1" width="5.88671875" style="505" bestFit="1" customWidth="1"/>
    <col min="2" max="2" width="49.33203125" style="505" customWidth="1"/>
    <col min="3" max="3" width="44" style="505" customWidth="1"/>
    <col min="4" max="4" width="23.5546875" style="505" bestFit="1" customWidth="1"/>
    <col min="5" max="5" width="10.33203125" style="505" customWidth="1"/>
    <col min="6" max="6" width="21.21875" style="505" bestFit="1" customWidth="1"/>
    <col min="7" max="7" width="13" style="505" bestFit="1" customWidth="1"/>
    <col min="8" max="8" width="4.109375" style="505" customWidth="1"/>
    <col min="9" max="9" width="18.109375" style="505" customWidth="1"/>
    <col min="10" max="10" width="15.6640625" style="505" customWidth="1"/>
    <col min="11" max="11" width="16.109375" style="505" customWidth="1"/>
    <col min="12" max="12" width="15.5546875" style="615" customWidth="1"/>
    <col min="13" max="13" width="10.88671875" style="505" customWidth="1"/>
    <col min="14" max="14" width="10.44140625" style="505" customWidth="1"/>
    <col min="15" max="15" width="10.5546875" style="505" customWidth="1"/>
    <col min="16" max="16384" width="8.88671875" style="505"/>
  </cols>
  <sheetData>
    <row r="1" spans="1:14" ht="16.5" customHeight="1">
      <c r="B1" s="506"/>
      <c r="C1" s="506"/>
      <c r="D1" s="507"/>
      <c r="E1" s="506"/>
      <c r="F1" s="506"/>
      <c r="G1" s="506"/>
      <c r="H1" s="506"/>
      <c r="I1" s="506"/>
      <c r="K1" s="3" t="s">
        <v>933</v>
      </c>
      <c r="L1" s="506"/>
      <c r="M1" s="506"/>
      <c r="N1" s="506"/>
    </row>
    <row r="2" spans="1:14" ht="16.5" customHeight="1">
      <c r="B2" s="506"/>
      <c r="C2" s="506"/>
      <c r="D2" s="507"/>
      <c r="E2" s="506"/>
      <c r="F2" s="506"/>
      <c r="G2" s="506"/>
      <c r="H2" s="506"/>
      <c r="I2" s="506"/>
      <c r="J2" s="506"/>
      <c r="K2" s="508" t="s">
        <v>0</v>
      </c>
      <c r="L2" s="506"/>
      <c r="M2" s="506"/>
      <c r="N2" s="506"/>
    </row>
    <row r="3" spans="1:14" ht="16.5" customHeight="1">
      <c r="B3" s="506"/>
      <c r="C3" s="506"/>
      <c r="D3" s="507"/>
      <c r="E3" s="506"/>
      <c r="F3" s="506"/>
      <c r="G3" s="506"/>
      <c r="H3" s="506"/>
      <c r="I3" s="506"/>
      <c r="J3" s="506"/>
      <c r="K3" s="506"/>
      <c r="L3" s="506"/>
      <c r="M3" s="506"/>
      <c r="N3" s="506"/>
    </row>
    <row r="4" spans="1:14">
      <c r="B4" s="506" t="s">
        <v>1</v>
      </c>
      <c r="C4" s="506"/>
      <c r="D4" s="507" t="s">
        <v>2</v>
      </c>
      <c r="E4" s="506"/>
      <c r="F4" s="506"/>
      <c r="G4" s="506"/>
      <c r="H4" s="509"/>
      <c r="I4" s="510"/>
      <c r="J4" s="509"/>
      <c r="K4" s="32" t="s">
        <v>1303</v>
      </c>
      <c r="L4" s="506"/>
      <c r="M4" s="506"/>
      <c r="N4" s="506"/>
    </row>
    <row r="5" spans="1:14">
      <c r="B5" s="506"/>
      <c r="C5" s="511"/>
      <c r="D5" s="511" t="s">
        <v>4</v>
      </c>
      <c r="E5" s="511"/>
      <c r="F5" s="511"/>
      <c r="G5" s="511"/>
      <c r="H5" s="506"/>
      <c r="I5" s="506"/>
      <c r="J5" s="506"/>
      <c r="K5" s="506"/>
      <c r="L5" s="506"/>
      <c r="M5" s="506"/>
      <c r="N5" s="506"/>
    </row>
    <row r="6" spans="1:14">
      <c r="B6" s="506"/>
      <c r="C6" s="506"/>
      <c r="D6" s="506"/>
      <c r="E6" s="506"/>
      <c r="F6" s="506"/>
      <c r="G6" s="506"/>
      <c r="H6" s="506"/>
      <c r="I6" s="506"/>
      <c r="J6" s="506"/>
      <c r="K6" s="506"/>
      <c r="L6" s="506"/>
      <c r="M6" s="506"/>
      <c r="N6" s="506"/>
    </row>
    <row r="7" spans="1:14">
      <c r="A7" s="512"/>
      <c r="B7" s="506"/>
      <c r="C7" s="506"/>
      <c r="D7" s="789" t="s">
        <v>1252</v>
      </c>
      <c r="E7" s="506"/>
      <c r="F7" s="506"/>
      <c r="G7" s="506"/>
      <c r="H7" s="506"/>
      <c r="I7" s="506"/>
      <c r="J7" s="506"/>
      <c r="K7" s="506"/>
      <c r="L7" s="506"/>
      <c r="M7" s="506"/>
      <c r="N7" s="506"/>
    </row>
    <row r="8" spans="1:14">
      <c r="A8" s="512"/>
      <c r="B8" s="512" t="s">
        <v>18</v>
      </c>
      <c r="C8" s="512" t="s">
        <v>19</v>
      </c>
      <c r="D8" s="512" t="s">
        <v>20</v>
      </c>
      <c r="E8" s="511" t="s">
        <v>3</v>
      </c>
      <c r="F8" s="511"/>
      <c r="G8" s="514" t="s">
        <v>21</v>
      </c>
      <c r="H8" s="511"/>
      <c r="I8" s="515" t="s">
        <v>22</v>
      </c>
      <c r="J8" s="506"/>
      <c r="K8" s="506"/>
      <c r="L8" s="506"/>
      <c r="M8" s="506"/>
      <c r="N8" s="506"/>
    </row>
    <row r="9" spans="1:14">
      <c r="A9" s="512" t="s">
        <v>5</v>
      </c>
      <c r="B9" s="506"/>
      <c r="C9" s="506"/>
      <c r="D9" s="513"/>
      <c r="E9" s="506"/>
      <c r="F9" s="506"/>
      <c r="G9" s="506"/>
      <c r="H9" s="506"/>
      <c r="I9" s="512" t="s">
        <v>6</v>
      </c>
      <c r="J9" s="506"/>
      <c r="K9" s="506"/>
      <c r="L9" s="506"/>
      <c r="M9" s="506"/>
      <c r="N9" s="506"/>
    </row>
    <row r="10" spans="1:14" ht="16.5" thickBot="1">
      <c r="A10" s="516" t="s">
        <v>7</v>
      </c>
      <c r="B10" s="506"/>
      <c r="C10" s="506"/>
      <c r="D10" s="506"/>
      <c r="E10" s="506"/>
      <c r="F10" s="506"/>
      <c r="G10" s="512"/>
      <c r="H10" s="506"/>
      <c r="I10" s="516" t="s">
        <v>8</v>
      </c>
      <c r="J10" s="506"/>
      <c r="K10" s="508"/>
      <c r="L10" s="506"/>
      <c r="M10" s="506"/>
      <c r="N10" s="506"/>
    </row>
    <row r="11" spans="1:14">
      <c r="A11" s="512">
        <v>1</v>
      </c>
      <c r="B11" s="2" t="s">
        <v>1075</v>
      </c>
      <c r="C11" s="506"/>
      <c r="D11" s="511"/>
      <c r="E11" s="506"/>
      <c r="F11" s="506"/>
      <c r="G11" s="506"/>
      <c r="H11" s="506"/>
      <c r="I11" s="517">
        <f>I167</f>
        <v>66714222.130462594</v>
      </c>
      <c r="J11" s="518"/>
      <c r="K11" s="831"/>
      <c r="L11" s="506"/>
      <c r="M11" s="506"/>
      <c r="N11" s="506"/>
    </row>
    <row r="12" spans="1:14">
      <c r="A12" s="512"/>
      <c r="B12" s="506"/>
      <c r="C12" s="506"/>
      <c r="D12" s="506"/>
      <c r="E12" s="506"/>
      <c r="F12" s="506"/>
      <c r="G12" s="519"/>
      <c r="H12" s="506"/>
      <c r="I12" s="511"/>
      <c r="J12" s="518"/>
      <c r="K12" s="831"/>
      <c r="L12" s="506"/>
      <c r="M12" s="506"/>
      <c r="N12" s="506"/>
    </row>
    <row r="13" spans="1:14" ht="16.5" thickBot="1">
      <c r="A13" s="512" t="s">
        <v>3</v>
      </c>
      <c r="B13" s="506" t="s">
        <v>95</v>
      </c>
      <c r="C13" s="651" t="s">
        <v>1086</v>
      </c>
      <c r="D13" s="516" t="s">
        <v>9</v>
      </c>
      <c r="E13" s="511"/>
      <c r="F13" s="890" t="s">
        <v>10</v>
      </c>
      <c r="G13" s="521"/>
      <c r="H13" s="506"/>
      <c r="I13" s="511"/>
      <c r="J13" s="518"/>
      <c r="K13" s="831"/>
      <c r="L13" s="506"/>
      <c r="M13" s="506"/>
      <c r="N13" s="506"/>
    </row>
    <row r="14" spans="1:14">
      <c r="A14" s="512">
        <v>2</v>
      </c>
      <c r="B14" s="506" t="s">
        <v>421</v>
      </c>
      <c r="C14" s="651" t="s">
        <v>852</v>
      </c>
      <c r="D14" s="522">
        <f>I257</f>
        <v>0</v>
      </c>
      <c r="E14" s="511"/>
      <c r="F14" s="651" t="s">
        <v>12</v>
      </c>
      <c r="G14" s="523">
        <f>I196</f>
        <v>1</v>
      </c>
      <c r="H14" s="506"/>
      <c r="I14" s="524">
        <f t="shared" ref="I14:I18" si="0">+G14*D14</f>
        <v>0</v>
      </c>
      <c r="J14" s="518"/>
      <c r="K14" s="831"/>
      <c r="L14" s="506"/>
      <c r="M14" s="506"/>
      <c r="N14" s="506"/>
    </row>
    <row r="15" spans="1:14">
      <c r="A15" s="512">
        <v>3</v>
      </c>
      <c r="B15" s="506" t="s">
        <v>11</v>
      </c>
      <c r="C15" s="651" t="s">
        <v>853</v>
      </c>
      <c r="D15" s="525">
        <f>I259</f>
        <v>0</v>
      </c>
      <c r="E15" s="511"/>
      <c r="F15" s="511" t="s">
        <v>12</v>
      </c>
      <c r="G15" s="523">
        <f>I196</f>
        <v>1</v>
      </c>
      <c r="H15" s="511"/>
      <c r="I15" s="524">
        <f t="shared" si="0"/>
        <v>0</v>
      </c>
      <c r="J15" s="524"/>
      <c r="K15" s="831"/>
      <c r="L15" s="506"/>
      <c r="M15" s="506"/>
      <c r="N15" s="506"/>
    </row>
    <row r="16" spans="1:14">
      <c r="A16" s="512">
        <v>4</v>
      </c>
      <c r="B16" s="506" t="s">
        <v>456</v>
      </c>
      <c r="C16" s="651" t="s">
        <v>854</v>
      </c>
      <c r="D16" s="525">
        <f>I261</f>
        <v>744096.07</v>
      </c>
      <c r="E16" s="511"/>
      <c r="F16" s="651" t="s">
        <v>12</v>
      </c>
      <c r="G16" s="523">
        <f>I196</f>
        <v>1</v>
      </c>
      <c r="H16" s="511"/>
      <c r="I16" s="524">
        <f t="shared" si="0"/>
        <v>744096.07</v>
      </c>
      <c r="J16" s="518"/>
      <c r="K16" s="831"/>
      <c r="L16" s="506"/>
      <c r="M16" s="506"/>
      <c r="N16" s="506"/>
    </row>
    <row r="17" spans="1:14">
      <c r="A17" s="512">
        <v>5</v>
      </c>
      <c r="B17" s="2" t="s">
        <v>1080</v>
      </c>
      <c r="C17" s="651" t="s">
        <v>1035</v>
      </c>
      <c r="D17" s="525">
        <f>I265</f>
        <v>0</v>
      </c>
      <c r="E17" s="511"/>
      <c r="F17" s="651" t="s">
        <v>12</v>
      </c>
      <c r="G17" s="523">
        <f>I196</f>
        <v>1</v>
      </c>
      <c r="H17" s="511"/>
      <c r="I17" s="524">
        <f t="shared" si="0"/>
        <v>0</v>
      </c>
      <c r="J17" s="524"/>
      <c r="K17" s="831"/>
      <c r="L17" s="506"/>
      <c r="M17" s="506"/>
      <c r="N17" s="506"/>
    </row>
    <row r="18" spans="1:14">
      <c r="A18" s="512">
        <v>6</v>
      </c>
      <c r="B18" s="2" t="s">
        <v>1081</v>
      </c>
      <c r="C18" s="651" t="s">
        <v>1036</v>
      </c>
      <c r="D18" s="525">
        <f>I267</f>
        <v>0</v>
      </c>
      <c r="E18" s="511"/>
      <c r="F18" s="651" t="s">
        <v>299</v>
      </c>
      <c r="G18" s="523">
        <v>1</v>
      </c>
      <c r="H18" s="511"/>
      <c r="I18" s="524">
        <f t="shared" si="0"/>
        <v>0</v>
      </c>
      <c r="J18" s="524"/>
      <c r="K18" s="831"/>
      <c r="L18" s="506"/>
      <c r="M18" s="506"/>
      <c r="N18" s="506"/>
    </row>
    <row r="19" spans="1:14">
      <c r="A19" s="512">
        <v>7</v>
      </c>
      <c r="B19" s="511" t="s">
        <v>444</v>
      </c>
      <c r="C19" s="651" t="s">
        <v>763</v>
      </c>
      <c r="D19" s="649">
        <f>'Attachment 11 - TEC'!O78</f>
        <v>16533001.180266386</v>
      </c>
      <c r="E19" s="511"/>
      <c r="F19" s="651" t="s">
        <v>299</v>
      </c>
      <c r="G19" s="523">
        <v>1</v>
      </c>
      <c r="H19" s="511"/>
      <c r="I19" s="886">
        <f>D19*G19</f>
        <v>16533001.180266386</v>
      </c>
      <c r="J19" s="518"/>
      <c r="K19" s="831"/>
      <c r="L19" s="511"/>
      <c r="N19" s="506"/>
    </row>
    <row r="20" spans="1:14">
      <c r="A20" s="512">
        <v>8</v>
      </c>
      <c r="B20" s="2" t="s">
        <v>1076</v>
      </c>
      <c r="C20" s="506"/>
      <c r="D20" s="884">
        <f>SUM(D14:D19)</f>
        <v>17277097.250266384</v>
      </c>
      <c r="E20" s="511"/>
      <c r="F20" s="511"/>
      <c r="G20" s="523"/>
      <c r="H20" s="511"/>
      <c r="I20" s="885">
        <f>SUM(I14:I19)</f>
        <v>17277097.250266384</v>
      </c>
      <c r="J20" s="524"/>
      <c r="K20" s="831"/>
      <c r="L20" s="506"/>
      <c r="N20" s="506"/>
    </row>
    <row r="21" spans="1:14">
      <c r="A21" s="512"/>
      <c r="B21" s="506"/>
      <c r="C21" s="506"/>
      <c r="D21" s="527"/>
      <c r="E21" s="511"/>
      <c r="F21" s="511"/>
      <c r="G21" s="523"/>
      <c r="H21" s="511"/>
      <c r="I21" s="528"/>
      <c r="J21" s="506"/>
      <c r="K21" s="520"/>
      <c r="L21" s="3"/>
      <c r="N21" s="506"/>
    </row>
    <row r="22" spans="1:14">
      <c r="A22" s="512">
        <v>9</v>
      </c>
      <c r="B22" s="1009" t="s">
        <v>437</v>
      </c>
      <c r="C22" s="2" t="s">
        <v>1159</v>
      </c>
      <c r="D22" s="529"/>
      <c r="E22" s="511"/>
      <c r="F22" s="511"/>
      <c r="G22" s="523"/>
      <c r="H22" s="511"/>
      <c r="I22" s="530">
        <v>0</v>
      </c>
      <c r="J22" s="506"/>
      <c r="K22" s="517"/>
      <c r="L22" s="506"/>
      <c r="N22" s="506"/>
    </row>
    <row r="23" spans="1:14" ht="15.75" customHeight="1">
      <c r="A23" s="512">
        <v>10</v>
      </c>
      <c r="B23" s="506" t="s">
        <v>436</v>
      </c>
      <c r="C23" s="2" t="s">
        <v>1074</v>
      </c>
      <c r="D23" s="531"/>
      <c r="E23" s="511"/>
      <c r="F23" s="511"/>
      <c r="G23" s="511"/>
      <c r="H23" s="511"/>
      <c r="I23" s="883">
        <f>I11-I20+I22</f>
        <v>49437124.880196214</v>
      </c>
      <c r="J23" s="518"/>
      <c r="K23" s="530"/>
      <c r="L23" s="506"/>
      <c r="N23" s="506"/>
    </row>
    <row r="24" spans="1:14" ht="17.25" customHeight="1">
      <c r="A24" s="512"/>
      <c r="B24" s="506"/>
      <c r="C24" s="506"/>
      <c r="D24" s="531"/>
      <c r="E24" s="511"/>
      <c r="F24" s="511"/>
      <c r="G24" s="511"/>
      <c r="H24" s="511"/>
      <c r="I24" s="532"/>
      <c r="J24" s="518"/>
      <c r="K24" s="530"/>
      <c r="L24" s="506"/>
      <c r="N24" s="506"/>
    </row>
    <row r="25" spans="1:14" ht="17.25" customHeight="1">
      <c r="A25" s="512"/>
      <c r="B25" s="2"/>
      <c r="C25" s="506"/>
      <c r="D25" s="531"/>
      <c r="E25" s="511"/>
      <c r="F25" s="511"/>
      <c r="G25" s="511"/>
      <c r="H25" s="511"/>
      <c r="I25" s="532"/>
      <c r="J25" s="524"/>
      <c r="K25" s="530"/>
      <c r="L25" s="506"/>
      <c r="N25" s="506"/>
    </row>
    <row r="26" spans="1:14">
      <c r="A26" s="512"/>
      <c r="B26" s="506"/>
      <c r="C26" s="506"/>
      <c r="D26" s="531"/>
      <c r="E26" s="511"/>
      <c r="F26" s="511"/>
      <c r="G26" s="511"/>
      <c r="H26" s="511"/>
      <c r="I26" s="532"/>
      <c r="J26" s="506"/>
      <c r="K26" s="520"/>
      <c r="L26" s="506"/>
      <c r="N26" s="506"/>
    </row>
    <row r="27" spans="1:14">
      <c r="A27" s="512"/>
      <c r="C27" s="511"/>
      <c r="I27" s="511"/>
      <c r="J27" s="506"/>
      <c r="K27" s="520"/>
      <c r="L27" s="506"/>
      <c r="N27" s="506"/>
    </row>
    <row r="28" spans="1:14">
      <c r="A28" s="512"/>
      <c r="B28" s="506"/>
      <c r="C28" s="506"/>
      <c r="D28" s="538"/>
      <c r="E28" s="537"/>
      <c r="F28" s="537"/>
      <c r="G28" s="542"/>
      <c r="H28" s="538"/>
      <c r="I28" s="543"/>
      <c r="J28" s="544"/>
      <c r="K28" s="506" t="s">
        <v>3</v>
      </c>
      <c r="L28" s="506"/>
      <c r="M28" s="506"/>
    </row>
    <row r="29" spans="1:14">
      <c r="A29" s="512"/>
      <c r="B29" s="506"/>
      <c r="C29" s="506"/>
      <c r="D29" s="539"/>
      <c r="E29" s="539"/>
      <c r="F29" s="541"/>
      <c r="G29" s="540"/>
      <c r="H29" s="539"/>
      <c r="I29" s="534"/>
      <c r="J29" s="506"/>
      <c r="K29" s="506" t="s">
        <v>3</v>
      </c>
      <c r="L29" s="506"/>
      <c r="M29" s="506"/>
    </row>
    <row r="30" spans="1:14" ht="16.5" customHeight="1">
      <c r="B30" s="506"/>
      <c r="C30" s="506"/>
      <c r="D30" s="507"/>
      <c r="E30" s="506"/>
      <c r="F30" s="506"/>
      <c r="G30" s="506"/>
      <c r="H30" s="506"/>
      <c r="I30" s="506"/>
      <c r="K30" s="508" t="str">
        <f>K1</f>
        <v>Attachment H -11A</v>
      </c>
      <c r="L30" s="506"/>
      <c r="M30" s="506"/>
    </row>
    <row r="31" spans="1:14" ht="16.5" customHeight="1">
      <c r="B31" s="506"/>
      <c r="C31" s="506"/>
      <c r="D31" s="507"/>
      <c r="E31" s="506"/>
      <c r="F31" s="506"/>
      <c r="G31" s="506"/>
      <c r="H31" s="506"/>
      <c r="I31" s="506"/>
      <c r="J31" s="506"/>
      <c r="K31" s="508" t="s">
        <v>17</v>
      </c>
      <c r="L31" s="506"/>
      <c r="M31" s="506"/>
    </row>
    <row r="32" spans="1:14" ht="16.5" customHeight="1">
      <c r="B32" s="506"/>
      <c r="C32" s="506"/>
      <c r="D32" s="507"/>
      <c r="E32" s="506"/>
      <c r="F32" s="506"/>
      <c r="G32" s="506"/>
      <c r="H32" s="506"/>
      <c r="I32" s="506"/>
      <c r="J32" s="506"/>
      <c r="K32" s="508"/>
      <c r="L32" s="506"/>
      <c r="M32" s="506"/>
    </row>
    <row r="33" spans="1:13">
      <c r="B33" s="506" t="s">
        <v>1</v>
      </c>
      <c r="C33" s="506"/>
      <c r="D33" s="507" t="s">
        <v>2</v>
      </c>
      <c r="E33" s="506"/>
      <c r="F33" s="506"/>
      <c r="G33" s="506"/>
      <c r="H33" s="506"/>
      <c r="J33" s="506"/>
      <c r="K33" s="508" t="str">
        <f>K4</f>
        <v>For the 12 months ended 12/31/2022</v>
      </c>
      <c r="L33" s="506"/>
      <c r="M33" s="506"/>
    </row>
    <row r="34" spans="1:13">
      <c r="B34" s="506"/>
      <c r="C34" s="511" t="s">
        <v>3</v>
      </c>
      <c r="D34" s="511" t="s">
        <v>4</v>
      </c>
      <c r="E34" s="511"/>
      <c r="F34" s="511"/>
      <c r="G34" s="511"/>
      <c r="H34" s="506"/>
      <c r="I34" s="506"/>
      <c r="J34" s="506"/>
      <c r="K34" s="506"/>
      <c r="L34" s="506"/>
      <c r="M34" s="506"/>
    </row>
    <row r="35" spans="1:13">
      <c r="B35" s="506"/>
      <c r="C35" s="511"/>
      <c r="D35" s="511"/>
      <c r="E35" s="511"/>
      <c r="F35" s="511"/>
      <c r="G35" s="511"/>
      <c r="H35" s="506"/>
      <c r="I35" s="506"/>
      <c r="J35" s="506"/>
      <c r="K35" s="506"/>
      <c r="L35" s="506"/>
      <c r="M35" s="506"/>
    </row>
    <row r="36" spans="1:13">
      <c r="B36" s="506"/>
      <c r="C36" s="506"/>
      <c r="D36" s="511" t="str">
        <f>D7</f>
        <v>WEST PENN POWER</v>
      </c>
      <c r="E36" s="511"/>
      <c r="F36" s="511"/>
      <c r="G36" s="511"/>
      <c r="H36" s="511"/>
      <c r="I36" s="511"/>
      <c r="J36" s="511"/>
      <c r="K36" s="511"/>
      <c r="L36" s="511"/>
      <c r="M36" s="511"/>
    </row>
    <row r="37" spans="1:13">
      <c r="B37" s="512" t="s">
        <v>18</v>
      </c>
      <c r="C37" s="512" t="s">
        <v>19</v>
      </c>
      <c r="D37" s="512" t="s">
        <v>20</v>
      </c>
      <c r="E37" s="511" t="s">
        <v>3</v>
      </c>
      <c r="F37" s="511"/>
      <c r="G37" s="514" t="s">
        <v>21</v>
      </c>
      <c r="H37" s="511"/>
      <c r="I37" s="515" t="s">
        <v>22</v>
      </c>
      <c r="J37" s="511"/>
      <c r="K37" s="515"/>
      <c r="L37" s="512"/>
      <c r="M37" s="511"/>
    </row>
    <row r="38" spans="1:13">
      <c r="B38" s="506"/>
      <c r="C38" s="545"/>
      <c r="D38" s="511"/>
      <c r="E38" s="511"/>
      <c r="F38" s="511"/>
      <c r="G38" s="512"/>
      <c r="H38" s="511"/>
      <c r="I38" s="546" t="s">
        <v>24</v>
      </c>
      <c r="J38" s="511"/>
      <c r="K38" s="547"/>
      <c r="L38" s="512"/>
      <c r="M38" s="512"/>
    </row>
    <row r="39" spans="1:13">
      <c r="A39" s="512" t="s">
        <v>5</v>
      </c>
      <c r="B39" s="506"/>
      <c r="C39" s="545" t="s">
        <v>280</v>
      </c>
      <c r="D39" s="546" t="s">
        <v>25</v>
      </c>
      <c r="E39" s="548"/>
      <c r="F39" s="546" t="s">
        <v>26</v>
      </c>
      <c r="H39" s="548"/>
      <c r="I39" s="512" t="s">
        <v>27</v>
      </c>
      <c r="J39" s="511"/>
      <c r="K39" s="549"/>
      <c r="L39" s="512"/>
      <c r="M39" s="512"/>
    </row>
    <row r="40" spans="1:13" ht="16.5" thickBot="1">
      <c r="A40" s="516" t="s">
        <v>7</v>
      </c>
      <c r="B40" s="2" t="s">
        <v>28</v>
      </c>
      <c r="C40" s="511"/>
      <c r="D40" s="511"/>
      <c r="E40" s="511"/>
      <c r="F40" s="511"/>
      <c r="G40" s="511"/>
      <c r="H40" s="511"/>
      <c r="I40" s="511"/>
      <c r="J40" s="511"/>
      <c r="K40" s="511"/>
      <c r="L40" s="511"/>
      <c r="M40" s="511"/>
    </row>
    <row r="41" spans="1:13">
      <c r="A41" s="512"/>
      <c r="B41" s="506" t="s">
        <v>29</v>
      </c>
      <c r="C41" s="511"/>
      <c r="D41" s="511"/>
      <c r="E41" s="511"/>
      <c r="F41" s="511"/>
      <c r="G41" s="511"/>
      <c r="H41" s="511"/>
      <c r="I41" s="511"/>
      <c r="J41" s="511"/>
      <c r="L41" s="511"/>
      <c r="M41" s="511"/>
    </row>
    <row r="42" spans="1:13">
      <c r="A42" s="512">
        <v>1</v>
      </c>
      <c r="B42" s="506" t="s">
        <v>30</v>
      </c>
      <c r="C42" s="651" t="s">
        <v>1087</v>
      </c>
      <c r="D42" s="525">
        <f>'Attachment 3 - Gross Plant'!E22</f>
        <v>0</v>
      </c>
      <c r="E42" s="511"/>
      <c r="F42" s="511" t="s">
        <v>31</v>
      </c>
      <c r="G42" s="551" t="s">
        <v>3</v>
      </c>
      <c r="H42" s="511"/>
      <c r="I42" s="511" t="s">
        <v>3</v>
      </c>
      <c r="J42" s="511"/>
      <c r="K42" s="542"/>
      <c r="L42" s="505"/>
      <c r="M42" s="511"/>
    </row>
    <row r="43" spans="1:13">
      <c r="A43" s="512">
        <v>2</v>
      </c>
      <c r="B43" s="506" t="s">
        <v>32</v>
      </c>
      <c r="C43" s="651" t="s">
        <v>1088</v>
      </c>
      <c r="D43" s="525">
        <f>'Attachment 3 - Gross Plant'!G22</f>
        <v>571983242.21153951</v>
      </c>
      <c r="E43" s="511"/>
      <c r="F43" s="511" t="s">
        <v>12</v>
      </c>
      <c r="G43" s="551">
        <f>I196</f>
        <v>1</v>
      </c>
      <c r="H43" s="511"/>
      <c r="I43" s="552">
        <f>+G43*D43</f>
        <v>571983242.21153951</v>
      </c>
      <c r="J43" s="511"/>
      <c r="K43" s="542"/>
      <c r="L43" s="505"/>
      <c r="M43" s="511"/>
    </row>
    <row r="44" spans="1:13">
      <c r="A44" s="512">
        <v>3</v>
      </c>
      <c r="B44" s="506" t="s">
        <v>33</v>
      </c>
      <c r="C44" s="651" t="s">
        <v>1089</v>
      </c>
      <c r="D44" s="525">
        <f>'Attachment 3 - Gross Plant'!H22</f>
        <v>2794438190.8292313</v>
      </c>
      <c r="E44" s="511"/>
      <c r="F44" s="511" t="s">
        <v>31</v>
      </c>
      <c r="G44" s="551" t="s">
        <v>3</v>
      </c>
      <c r="H44" s="511"/>
      <c r="I44" s="552" t="s">
        <v>3</v>
      </c>
      <c r="J44" s="511"/>
      <c r="K44" s="542"/>
      <c r="L44" s="505"/>
      <c r="M44" s="511"/>
    </row>
    <row r="45" spans="1:13">
      <c r="A45" s="512">
        <v>4</v>
      </c>
      <c r="B45" s="2" t="s">
        <v>34</v>
      </c>
      <c r="C45" s="651" t="s">
        <v>1091</v>
      </c>
      <c r="D45" s="525">
        <f>'Attachment 3 - Gross Plant'!I22+'Attachment 3 - Gross Plant'!J22</f>
        <v>341769739.88692307</v>
      </c>
      <c r="E45" s="511"/>
      <c r="F45" s="651" t="s">
        <v>35</v>
      </c>
      <c r="G45" s="839">
        <f>I213</f>
        <v>9.333164788672195E-2</v>
      </c>
      <c r="H45" s="511"/>
      <c r="I45" s="525">
        <f>+G45*D45</f>
        <v>31897933.021462854</v>
      </c>
      <c r="J45" s="511"/>
      <c r="K45" s="542"/>
      <c r="L45" s="505"/>
      <c r="M45" s="512"/>
    </row>
    <row r="46" spans="1:13" ht="16.5" thickBot="1">
      <c r="A46" s="512">
        <v>5</v>
      </c>
      <c r="B46" s="506" t="s">
        <v>36</v>
      </c>
      <c r="C46" s="651" t="s">
        <v>1090</v>
      </c>
      <c r="D46" s="553">
        <f>'Attachment 3 - Gross Plant'!K22</f>
        <v>0</v>
      </c>
      <c r="E46" s="511"/>
      <c r="F46" s="511" t="s">
        <v>37</v>
      </c>
      <c r="G46" s="551">
        <f>K218</f>
        <v>9.333164788672195E-2</v>
      </c>
      <c r="H46" s="511"/>
      <c r="I46" s="554">
        <f>+G46*D46</f>
        <v>0</v>
      </c>
      <c r="J46" s="511"/>
      <c r="K46" s="542"/>
      <c r="L46" s="505"/>
      <c r="M46" s="512"/>
    </row>
    <row r="47" spans="1:13">
      <c r="A47" s="512">
        <v>6</v>
      </c>
      <c r="B47" s="506" t="s">
        <v>828</v>
      </c>
      <c r="C47" s="511"/>
      <c r="D47" s="552">
        <f>SUM(D42:D46)</f>
        <v>3708191172.9276934</v>
      </c>
      <c r="E47" s="511"/>
      <c r="F47" s="511" t="s">
        <v>38</v>
      </c>
      <c r="G47" s="882">
        <f>IF(I47&gt;0,I47/D47,0)</f>
        <v>0.16285060480207811</v>
      </c>
      <c r="H47" s="511"/>
      <c r="I47" s="552">
        <f>SUM(I42:I46)</f>
        <v>603881175.23300231</v>
      </c>
      <c r="J47" s="511"/>
      <c r="K47" s="556"/>
      <c r="L47" s="557"/>
      <c r="M47" s="511"/>
    </row>
    <row r="48" spans="1:13">
      <c r="B48" s="506"/>
      <c r="C48" s="511"/>
      <c r="D48" s="552"/>
      <c r="E48" s="511"/>
      <c r="F48" s="511"/>
      <c r="G48" s="555"/>
      <c r="H48" s="511"/>
      <c r="I48" s="552"/>
      <c r="J48" s="511"/>
      <c r="K48" s="556"/>
      <c r="L48" s="511"/>
      <c r="M48" s="511"/>
    </row>
    <row r="49" spans="1:13">
      <c r="B49" s="506" t="s">
        <v>39</v>
      </c>
      <c r="C49" s="511"/>
      <c r="D49" s="552"/>
      <c r="E49" s="511"/>
      <c r="F49" s="511"/>
      <c r="G49" s="511"/>
      <c r="H49" s="511"/>
      <c r="I49" s="552"/>
      <c r="J49" s="511"/>
      <c r="K49" s="542"/>
      <c r="L49" s="505"/>
      <c r="M49" s="511"/>
    </row>
    <row r="50" spans="1:13">
      <c r="A50" s="512">
        <v>7</v>
      </c>
      <c r="B50" s="506" t="str">
        <f>+B42</f>
        <v xml:space="preserve">  Production</v>
      </c>
      <c r="C50" s="651" t="s">
        <v>1092</v>
      </c>
      <c r="D50" s="525">
        <f>'Attachment 4 - Accum Depr'!E22</f>
        <v>0</v>
      </c>
      <c r="E50" s="511"/>
      <c r="F50" s="511" t="str">
        <f>+F42</f>
        <v>NA</v>
      </c>
      <c r="G50" s="551" t="str">
        <f>+G42</f>
        <v xml:space="preserve"> </v>
      </c>
      <c r="H50" s="511"/>
      <c r="I50" s="552" t="s">
        <v>3</v>
      </c>
      <c r="J50" s="511"/>
      <c r="K50" s="542"/>
      <c r="L50" s="505"/>
      <c r="M50" s="511"/>
    </row>
    <row r="51" spans="1:13">
      <c r="A51" s="512">
        <v>8</v>
      </c>
      <c r="B51" s="506" t="str">
        <f>+B43</f>
        <v xml:space="preserve">  Transmission</v>
      </c>
      <c r="C51" s="651" t="s">
        <v>1093</v>
      </c>
      <c r="D51" s="525">
        <f>'Attachment 4 - Accum Depr'!G22</f>
        <v>203094782.01094091</v>
      </c>
      <c r="E51" s="511"/>
      <c r="F51" s="511" t="str">
        <f>+F43</f>
        <v>TP</v>
      </c>
      <c r="G51" s="551">
        <f>I196</f>
        <v>1</v>
      </c>
      <c r="H51" s="511"/>
      <c r="I51" s="552">
        <f>+G51*D51</f>
        <v>203094782.01094091</v>
      </c>
      <c r="J51" s="511"/>
      <c r="K51" s="542"/>
      <c r="L51" s="511"/>
      <c r="M51" s="511"/>
    </row>
    <row r="52" spans="1:13">
      <c r="A52" s="512">
        <v>9</v>
      </c>
      <c r="B52" s="506" t="str">
        <f>+B44</f>
        <v xml:space="preserve">  Distribution</v>
      </c>
      <c r="C52" s="651" t="s">
        <v>1094</v>
      </c>
      <c r="D52" s="525">
        <f>'Attachment 4 - Accum Depr'!H22</f>
        <v>863695385.38688874</v>
      </c>
      <c r="E52" s="511"/>
      <c r="F52" s="511" t="str">
        <f>+F44</f>
        <v>NA</v>
      </c>
      <c r="G52" s="551" t="str">
        <f>+G44</f>
        <v xml:space="preserve"> </v>
      </c>
      <c r="H52" s="511"/>
      <c r="I52" s="552" t="s">
        <v>3</v>
      </c>
      <c r="J52" s="511"/>
      <c r="K52" s="542"/>
      <c r="L52" s="511"/>
      <c r="M52" s="511"/>
    </row>
    <row r="53" spans="1:13">
      <c r="A53" s="512">
        <v>10</v>
      </c>
      <c r="B53" s="506" t="str">
        <f>+B45</f>
        <v xml:space="preserve">  General &amp; Intangible</v>
      </c>
      <c r="C53" s="651" t="s">
        <v>1095</v>
      </c>
      <c r="D53" s="525">
        <f>'Attachment 4 - Accum Depr'!I22+'Attachment 4 - Accum Depr'!J22</f>
        <v>197526041.73618466</v>
      </c>
      <c r="E53" s="511"/>
      <c r="F53" s="651" t="s">
        <v>35</v>
      </c>
      <c r="G53" s="839">
        <f>I213</f>
        <v>9.333164788672195E-2</v>
      </c>
      <c r="H53" s="511"/>
      <c r="I53" s="525">
        <f>+G53*D53</f>
        <v>18435430.97577953</v>
      </c>
      <c r="J53" s="511"/>
      <c r="K53" s="542"/>
      <c r="L53" s="505"/>
      <c r="M53" s="512"/>
    </row>
    <row r="54" spans="1:13" ht="16.5" thickBot="1">
      <c r="A54" s="512">
        <v>11</v>
      </c>
      <c r="B54" s="506" t="str">
        <f>+B46</f>
        <v xml:space="preserve">  Common</v>
      </c>
      <c r="C54" s="651" t="s">
        <v>1096</v>
      </c>
      <c r="D54" s="553">
        <f>'Attachment 4 - Accum Depr'!K22</f>
        <v>0</v>
      </c>
      <c r="E54" s="511"/>
      <c r="F54" s="511" t="str">
        <f>+F46</f>
        <v>CE</v>
      </c>
      <c r="G54" s="551">
        <f>K218</f>
        <v>9.333164788672195E-2</v>
      </c>
      <c r="H54" s="511"/>
      <c r="I54" s="554">
        <f>+G54*D54</f>
        <v>0</v>
      </c>
      <c r="J54" s="511"/>
      <c r="K54" s="542"/>
      <c r="L54" s="511"/>
      <c r="M54" s="512"/>
    </row>
    <row r="55" spans="1:13">
      <c r="A55" s="512">
        <v>12</v>
      </c>
      <c r="B55" s="2" t="s">
        <v>938</v>
      </c>
      <c r="C55" s="511"/>
      <c r="D55" s="552">
        <f>SUM(D50:D54)</f>
        <v>1264316209.1340144</v>
      </c>
      <c r="E55" s="511"/>
      <c r="F55" s="511"/>
      <c r="G55" s="511"/>
      <c r="H55" s="511"/>
      <c r="I55" s="552">
        <f>SUM(I50:I54)</f>
        <v>221530212.98672044</v>
      </c>
      <c r="J55" s="511"/>
      <c r="K55" s="542"/>
      <c r="L55" s="558"/>
      <c r="M55" s="511"/>
    </row>
    <row r="56" spans="1:13">
      <c r="A56" s="512"/>
      <c r="C56" s="511" t="s">
        <v>3</v>
      </c>
      <c r="E56" s="511"/>
      <c r="F56" s="511"/>
      <c r="G56" s="555"/>
      <c r="H56" s="511"/>
      <c r="I56" s="534"/>
      <c r="J56" s="511"/>
      <c r="K56" s="556"/>
      <c r="L56" s="511"/>
      <c r="M56" s="511"/>
    </row>
    <row r="57" spans="1:13">
      <c r="A57" s="512"/>
      <c r="B57" s="506" t="s">
        <v>42</v>
      </c>
      <c r="C57" s="511"/>
      <c r="D57" s="511"/>
      <c r="E57" s="511"/>
      <c r="F57" s="511"/>
      <c r="G57" s="511"/>
      <c r="H57" s="511"/>
      <c r="I57" s="534"/>
      <c r="J57" s="511"/>
      <c r="K57" s="542"/>
      <c r="L57" s="511"/>
      <c r="M57" s="511"/>
    </row>
    <row r="58" spans="1:13">
      <c r="A58" s="512">
        <v>13</v>
      </c>
      <c r="B58" s="506" t="str">
        <f>+B50</f>
        <v xml:space="preserve">  Production</v>
      </c>
      <c r="C58" s="511" t="s">
        <v>829</v>
      </c>
      <c r="D58" s="552">
        <f>D42-D50</f>
        <v>0</v>
      </c>
      <c r="E58" s="511"/>
      <c r="F58" s="511"/>
      <c r="G58" s="555"/>
      <c r="H58" s="511"/>
      <c r="I58" s="552" t="s">
        <v>3</v>
      </c>
      <c r="J58" s="511"/>
      <c r="K58" s="556"/>
      <c r="L58" s="511"/>
      <c r="M58" s="511"/>
    </row>
    <row r="59" spans="1:13">
      <c r="A59" s="512">
        <v>14</v>
      </c>
      <c r="B59" s="506" t="str">
        <f>+B51</f>
        <v xml:space="preserve">  Transmission</v>
      </c>
      <c r="C59" s="511" t="s">
        <v>830</v>
      </c>
      <c r="D59" s="552">
        <f>D43-D51</f>
        <v>368888460.2005986</v>
      </c>
      <c r="E59" s="511"/>
      <c r="F59" s="511"/>
      <c r="G59" s="551"/>
      <c r="H59" s="511"/>
      <c r="I59" s="552">
        <f>I43-I51</f>
        <v>368888460.2005986</v>
      </c>
      <c r="J59" s="511"/>
      <c r="K59" s="542"/>
      <c r="L59" s="511"/>
      <c r="M59" s="511"/>
    </row>
    <row r="60" spans="1:13">
      <c r="A60" s="512">
        <v>15</v>
      </c>
      <c r="B60" s="506" t="str">
        <f>+B52</f>
        <v xml:space="preserve">  Distribution</v>
      </c>
      <c r="C60" s="511" t="s">
        <v>831</v>
      </c>
      <c r="D60" s="552">
        <f>D44-D52</f>
        <v>1930742805.4423425</v>
      </c>
      <c r="E60" s="511"/>
      <c r="F60" s="511"/>
      <c r="G60" s="555"/>
      <c r="H60" s="511"/>
      <c r="I60" s="552" t="s">
        <v>3</v>
      </c>
      <c r="J60" s="511"/>
      <c r="K60" s="559"/>
      <c r="L60" s="511"/>
      <c r="M60" s="511"/>
    </row>
    <row r="61" spans="1:13">
      <c r="A61" s="512">
        <v>16</v>
      </c>
      <c r="B61" s="506" t="str">
        <f>+B53</f>
        <v xml:space="preserve">  General &amp; Intangible</v>
      </c>
      <c r="C61" s="511" t="s">
        <v>832</v>
      </c>
      <c r="D61" s="525">
        <f>D45-D53</f>
        <v>144243698.15073842</v>
      </c>
      <c r="E61" s="511"/>
      <c r="F61" s="511"/>
      <c r="G61" s="555"/>
      <c r="H61" s="511"/>
      <c r="I61" s="525">
        <f>I45-I53</f>
        <v>13462502.045683324</v>
      </c>
      <c r="J61" s="511"/>
      <c r="K61" s="555"/>
      <c r="L61" s="511"/>
      <c r="M61" s="512"/>
    </row>
    <row r="62" spans="1:13" ht="16.5" thickBot="1">
      <c r="A62" s="512">
        <v>17</v>
      </c>
      <c r="B62" s="506" t="str">
        <f>+B54</f>
        <v xml:space="preserve">  Common</v>
      </c>
      <c r="C62" s="511" t="s">
        <v>833</v>
      </c>
      <c r="D62" s="554">
        <f>D46-D54</f>
        <v>0</v>
      </c>
      <c r="E62" s="511"/>
      <c r="F62" s="511"/>
      <c r="G62" s="555"/>
      <c r="H62" s="511"/>
      <c r="I62" s="554">
        <f>I46-I54</f>
        <v>0</v>
      </c>
      <c r="J62" s="511"/>
      <c r="K62" s="555"/>
      <c r="L62" s="511"/>
      <c r="M62" s="512"/>
    </row>
    <row r="63" spans="1:13">
      <c r="A63" s="512">
        <v>18</v>
      </c>
      <c r="B63" s="506" t="s">
        <v>834</v>
      </c>
      <c r="C63" s="511"/>
      <c r="D63" s="552">
        <f>SUM(D58:D62)</f>
        <v>2443874963.7936792</v>
      </c>
      <c r="E63" s="511"/>
      <c r="F63" s="511"/>
      <c r="G63" s="555"/>
      <c r="H63" s="511"/>
      <c r="I63" s="552">
        <f>SUM(I58:I62)</f>
        <v>382350962.24628192</v>
      </c>
      <c r="J63" s="511"/>
      <c r="K63" s="511"/>
      <c r="L63" s="531"/>
      <c r="M63" s="511"/>
    </row>
    <row r="64" spans="1:13">
      <c r="A64" s="512"/>
      <c r="C64" s="511"/>
      <c r="D64" s="552"/>
      <c r="E64" s="511"/>
      <c r="H64" s="511"/>
      <c r="I64" s="552"/>
      <c r="J64" s="511"/>
      <c r="K64" s="555"/>
      <c r="L64" s="511"/>
      <c r="M64" s="511"/>
    </row>
    <row r="65" spans="1:21">
      <c r="A65" s="512"/>
      <c r="B65" s="506" t="s">
        <v>522</v>
      </c>
      <c r="C65" s="511"/>
      <c r="D65" s="552"/>
      <c r="E65" s="511"/>
      <c r="F65" s="511"/>
      <c r="G65" s="511"/>
      <c r="H65" s="511"/>
      <c r="I65" s="552"/>
      <c r="J65" s="511"/>
      <c r="K65" s="511"/>
      <c r="L65" s="505"/>
      <c r="M65" s="511"/>
    </row>
    <row r="66" spans="1:21">
      <c r="A66" s="512">
        <v>19</v>
      </c>
      <c r="B66" s="506" t="s">
        <v>43</v>
      </c>
      <c r="C66" s="651" t="s">
        <v>633</v>
      </c>
      <c r="D66" s="525">
        <f>'Attachment 5 - ADIT Summary'!E10</f>
        <v>0</v>
      </c>
      <c r="E66" s="511"/>
      <c r="F66" s="511" t="str">
        <f>+F50</f>
        <v>NA</v>
      </c>
      <c r="G66" s="560"/>
      <c r="H66" s="511"/>
      <c r="I66" s="552"/>
      <c r="J66" s="511"/>
      <c r="K66" s="555"/>
      <c r="L66" s="561"/>
      <c r="M66" s="512"/>
    </row>
    <row r="67" spans="1:21">
      <c r="A67" s="512">
        <v>20</v>
      </c>
      <c r="B67" s="506" t="s">
        <v>44</v>
      </c>
      <c r="C67" s="651" t="s">
        <v>813</v>
      </c>
      <c r="D67" s="525">
        <f>'Attachment 5 - ADIT Summary'!F10</f>
        <v>-64941287.797385424</v>
      </c>
      <c r="E67" s="511"/>
      <c r="F67" s="511" t="s">
        <v>299</v>
      </c>
      <c r="G67" s="551">
        <v>1</v>
      </c>
      <c r="H67" s="511"/>
      <c r="I67" s="552">
        <f t="shared" ref="I67:I74" si="1">D67*G67</f>
        <v>-64941287.797385424</v>
      </c>
      <c r="J67" s="511"/>
      <c r="K67" s="555"/>
      <c r="L67" s="561"/>
      <c r="M67" s="512"/>
    </row>
    <row r="68" spans="1:21">
      <c r="A68" s="512">
        <v>21</v>
      </c>
      <c r="B68" s="506" t="s">
        <v>45</v>
      </c>
      <c r="C68" s="651" t="s">
        <v>634</v>
      </c>
      <c r="D68" s="562">
        <f>'Attachment 5 - ADIT Summary'!G10</f>
        <v>-5204793.9257359086</v>
      </c>
      <c r="E68" s="511"/>
      <c r="F68" s="511" t="s">
        <v>299</v>
      </c>
      <c r="G68" s="551">
        <f>+G67</f>
        <v>1</v>
      </c>
      <c r="H68" s="511"/>
      <c r="I68" s="552">
        <f t="shared" si="1"/>
        <v>-5204793.9257359086</v>
      </c>
      <c r="J68" s="511"/>
      <c r="K68" s="555"/>
      <c r="L68" s="561"/>
      <c r="M68" s="512"/>
    </row>
    <row r="69" spans="1:21">
      <c r="A69" s="512">
        <v>22</v>
      </c>
      <c r="B69" s="506" t="s">
        <v>46</v>
      </c>
      <c r="C69" s="651" t="s">
        <v>635</v>
      </c>
      <c r="D69" s="562">
        <f>'Attachment 5 - ADIT Summary'!H10</f>
        <v>4399048.7160847262</v>
      </c>
      <c r="E69" s="511"/>
      <c r="F69" s="511" t="s">
        <v>299</v>
      </c>
      <c r="G69" s="551">
        <f>+G68</f>
        <v>1</v>
      </c>
      <c r="H69" s="511"/>
      <c r="I69" s="552">
        <f t="shared" si="1"/>
        <v>4399048.7160847262</v>
      </c>
      <c r="J69" s="511"/>
      <c r="K69" s="555"/>
      <c r="L69" s="561"/>
      <c r="M69" s="512"/>
    </row>
    <row r="70" spans="1:21">
      <c r="A70" s="512">
        <v>23</v>
      </c>
      <c r="B70" s="505" t="s">
        <v>47</v>
      </c>
      <c r="C70" s="651" t="s">
        <v>636</v>
      </c>
      <c r="D70" s="562">
        <f>'Attachment 5 - ADIT Summary'!I10</f>
        <v>0</v>
      </c>
      <c r="E70" s="511"/>
      <c r="F70" s="511" t="s">
        <v>299</v>
      </c>
      <c r="G70" s="551">
        <f>G69</f>
        <v>1</v>
      </c>
      <c r="H70" s="511"/>
      <c r="I70" s="563">
        <f t="shared" si="1"/>
        <v>0</v>
      </c>
      <c r="J70" s="511"/>
      <c r="K70" s="555"/>
      <c r="L70" s="561"/>
      <c r="M70" s="512"/>
    </row>
    <row r="71" spans="1:21">
      <c r="A71" s="512">
        <v>24</v>
      </c>
      <c r="B71" s="2" t="s">
        <v>1248</v>
      </c>
      <c r="C71" s="1" t="s">
        <v>1155</v>
      </c>
      <c r="D71" s="562">
        <f>'Attachment 14 - Other RB'!AF61</f>
        <v>-730431.24340473907</v>
      </c>
      <c r="E71" s="511"/>
      <c r="F71" s="511" t="s">
        <v>299</v>
      </c>
      <c r="G71" s="551">
        <f>G70</f>
        <v>1</v>
      </c>
      <c r="H71" s="511"/>
      <c r="I71" s="563">
        <f t="shared" si="1"/>
        <v>-730431.24340473907</v>
      </c>
      <c r="J71" s="511"/>
      <c r="K71" s="555"/>
      <c r="L71" s="561"/>
      <c r="M71" s="512"/>
    </row>
    <row r="72" spans="1:21">
      <c r="A72" s="512">
        <v>25</v>
      </c>
      <c r="B72" s="1043" t="s">
        <v>1177</v>
      </c>
      <c r="C72" s="1"/>
      <c r="D72" s="648"/>
      <c r="E72" s="511"/>
      <c r="F72" s="511"/>
      <c r="G72" s="551"/>
      <c r="H72" s="511"/>
      <c r="I72" s="563"/>
      <c r="J72" s="511"/>
      <c r="K72" s="555"/>
      <c r="L72" s="561"/>
      <c r="M72" s="512"/>
    </row>
    <row r="73" spans="1:21">
      <c r="A73" s="512">
        <v>26</v>
      </c>
      <c r="B73" s="505" t="s">
        <v>281</v>
      </c>
      <c r="C73" s="1" t="s">
        <v>1156</v>
      </c>
      <c r="D73" s="562">
        <f>'Attachment 17 - CWIP in RB'!AG14</f>
        <v>0</v>
      </c>
      <c r="E73" s="511"/>
      <c r="F73" s="511" t="s">
        <v>299</v>
      </c>
      <c r="G73" s="551">
        <f>G69</f>
        <v>1</v>
      </c>
      <c r="H73" s="511"/>
      <c r="I73" s="562">
        <f t="shared" si="1"/>
        <v>0</v>
      </c>
      <c r="J73" s="511"/>
      <c r="K73" s="555"/>
      <c r="L73" s="511"/>
      <c r="M73" s="512"/>
    </row>
    <row r="74" spans="1:21" ht="16.5" thickBot="1">
      <c r="A74" s="655">
        <v>27</v>
      </c>
      <c r="B74" s="1" t="s">
        <v>754</v>
      </c>
      <c r="C74" s="1" t="s">
        <v>1157</v>
      </c>
      <c r="D74" s="553">
        <f>'Attachment 19 - Reg Asset'!AA26</f>
        <v>0</v>
      </c>
      <c r="E74" s="511"/>
      <c r="F74" s="651" t="s">
        <v>299</v>
      </c>
      <c r="G74" s="551">
        <v>1</v>
      </c>
      <c r="H74" s="511"/>
      <c r="I74" s="553">
        <f t="shared" si="1"/>
        <v>0</v>
      </c>
      <c r="J74" s="511"/>
      <c r="K74" s="555"/>
      <c r="L74" s="1008"/>
      <c r="M74" s="1008"/>
      <c r="N74" s="1008"/>
      <c r="O74" s="1008"/>
      <c r="P74" s="1008"/>
      <c r="Q74" s="1008"/>
      <c r="R74" s="1008"/>
      <c r="S74" s="1008"/>
      <c r="T74" s="1008"/>
      <c r="U74" s="1008"/>
    </row>
    <row r="75" spans="1:21">
      <c r="A75" s="655">
        <v>28</v>
      </c>
      <c r="B75" s="2" t="s">
        <v>939</v>
      </c>
      <c r="C75" s="511"/>
      <c r="D75" s="525">
        <f>SUM(D66:D74)</f>
        <v>-66477464.250441343</v>
      </c>
      <c r="E75" s="564"/>
      <c r="F75" s="564"/>
      <c r="G75" s="564"/>
      <c r="H75" s="564"/>
      <c r="I75" s="552">
        <f>SUM(I66:I74)</f>
        <v>-66477464.250441343</v>
      </c>
      <c r="J75" s="511"/>
      <c r="K75" s="511"/>
      <c r="L75" s="558"/>
      <c r="M75" s="511"/>
      <c r="N75" s="562"/>
    </row>
    <row r="76" spans="1:21">
      <c r="A76" s="512"/>
      <c r="C76" s="511"/>
      <c r="D76" s="552"/>
      <c r="E76" s="511"/>
      <c r="F76" s="511"/>
      <c r="G76" s="555"/>
      <c r="H76" s="511"/>
      <c r="I76" s="552"/>
      <c r="J76" s="511"/>
      <c r="K76" s="555"/>
      <c r="L76" s="511"/>
      <c r="M76" s="511"/>
    </row>
    <row r="77" spans="1:21">
      <c r="A77" s="655">
        <v>29</v>
      </c>
      <c r="B77" s="2" t="s">
        <v>48</v>
      </c>
      <c r="C77" s="651" t="s">
        <v>1162</v>
      </c>
      <c r="D77" s="649">
        <f>'Attachment 14 - Other RB'!AF20</f>
        <v>0</v>
      </c>
      <c r="E77" s="511"/>
      <c r="F77" s="511" t="str">
        <f>+F51</f>
        <v>TP</v>
      </c>
      <c r="G77" s="551">
        <f>I196</f>
        <v>1</v>
      </c>
      <c r="H77" s="511"/>
      <c r="I77" s="552">
        <f>+G77*D77</f>
        <v>0</v>
      </c>
      <c r="J77" s="511"/>
      <c r="K77" s="511"/>
      <c r="L77" s="511"/>
      <c r="M77" s="511"/>
    </row>
    <row r="78" spans="1:21">
      <c r="A78" s="655"/>
      <c r="B78" s="2"/>
      <c r="C78" s="651"/>
      <c r="D78" s="656"/>
      <c r="E78" s="511"/>
      <c r="F78" s="511"/>
      <c r="G78" s="511"/>
      <c r="H78" s="511"/>
      <c r="I78" s="552"/>
      <c r="J78" s="511"/>
      <c r="K78" s="511"/>
      <c r="L78" s="511"/>
      <c r="M78" s="511"/>
    </row>
    <row r="79" spans="1:21">
      <c r="A79" s="655">
        <v>30</v>
      </c>
      <c r="B79" s="2" t="s">
        <v>940</v>
      </c>
      <c r="C79" s="651" t="s">
        <v>3</v>
      </c>
      <c r="D79" s="656"/>
      <c r="E79" s="511"/>
      <c r="F79" s="511"/>
      <c r="G79" s="511"/>
      <c r="H79" s="511"/>
      <c r="I79" s="534"/>
      <c r="J79" s="511"/>
      <c r="K79" s="511"/>
      <c r="L79" s="511"/>
      <c r="M79" s="511"/>
    </row>
    <row r="80" spans="1:21" ht="31.5">
      <c r="A80" s="655">
        <v>31</v>
      </c>
      <c r="B80" s="2" t="s">
        <v>49</v>
      </c>
      <c r="C80" s="1069" t="s">
        <v>1341</v>
      </c>
      <c r="D80" s="659">
        <f>(I123-I122-(5510461.04)*I213)/8</f>
        <v>2883606.8545758291</v>
      </c>
      <c r="E80" s="511"/>
      <c r="F80" s="511" t="s">
        <v>299</v>
      </c>
      <c r="G80" s="551">
        <v>1</v>
      </c>
      <c r="H80" s="511"/>
      <c r="I80" s="552">
        <f>G80*D80</f>
        <v>2883606.8545758291</v>
      </c>
      <c r="J80" s="506"/>
      <c r="K80" s="555"/>
      <c r="L80" s="565"/>
      <c r="M80" s="512"/>
    </row>
    <row r="81" spans="1:13">
      <c r="A81" s="655">
        <v>32</v>
      </c>
      <c r="B81" s="2" t="s">
        <v>941</v>
      </c>
      <c r="C81" s="651" t="s">
        <v>1163</v>
      </c>
      <c r="D81" s="649">
        <f>'Attachment 14 - Other RB'!AF17</f>
        <v>0</v>
      </c>
      <c r="E81" s="511"/>
      <c r="F81" s="511" t="s">
        <v>50</v>
      </c>
      <c r="G81" s="551">
        <f>I205</f>
        <v>0.99211934550965897</v>
      </c>
      <c r="H81" s="511"/>
      <c r="I81" s="552">
        <f>+G81*D81</f>
        <v>0</v>
      </c>
      <c r="J81" s="511" t="s">
        <v>3</v>
      </c>
      <c r="K81" s="555"/>
      <c r="L81" s="565"/>
      <c r="M81" s="512"/>
    </row>
    <row r="82" spans="1:13" ht="16.5" thickBot="1">
      <c r="A82" s="655">
        <v>33</v>
      </c>
      <c r="B82" s="2" t="s">
        <v>51</v>
      </c>
      <c r="C82" s="651" t="s">
        <v>1251</v>
      </c>
      <c r="D82" s="650">
        <f>'Attachment 14 - Other RB'!AF14</f>
        <v>171801.21126802199</v>
      </c>
      <c r="E82" s="511"/>
      <c r="F82" s="511" t="s">
        <v>299</v>
      </c>
      <c r="G82" s="551">
        <v>1</v>
      </c>
      <c r="H82" s="511"/>
      <c r="I82" s="553">
        <f>+G82*D82</f>
        <v>171801.21126802199</v>
      </c>
      <c r="J82" s="511"/>
      <c r="K82" s="555"/>
      <c r="L82" s="565"/>
      <c r="M82" s="512"/>
    </row>
    <row r="83" spans="1:13">
      <c r="A83" s="655">
        <v>34</v>
      </c>
      <c r="B83" s="2" t="s">
        <v>942</v>
      </c>
      <c r="C83" s="2"/>
      <c r="D83" s="649">
        <f>SUM(D80:D82)</f>
        <v>3055408.0658438513</v>
      </c>
      <c r="E83" s="506"/>
      <c r="F83" s="506"/>
      <c r="G83" s="506"/>
      <c r="H83" s="506"/>
      <c r="I83" s="552">
        <f>SUM(I80:I82)</f>
        <v>3055408.0658438513</v>
      </c>
      <c r="J83" s="506"/>
      <c r="K83" s="506"/>
      <c r="L83" s="507"/>
      <c r="M83" s="511"/>
    </row>
    <row r="84" spans="1:13" ht="16.5" thickBot="1">
      <c r="A84" s="1"/>
      <c r="B84" s="1"/>
      <c r="C84" s="651"/>
      <c r="D84" s="650"/>
      <c r="E84" s="511"/>
      <c r="F84" s="511"/>
      <c r="G84" s="511"/>
      <c r="H84" s="511"/>
      <c r="I84" s="554"/>
      <c r="J84" s="511"/>
      <c r="K84" s="511"/>
      <c r="L84" s="511"/>
      <c r="M84" s="511"/>
    </row>
    <row r="85" spans="1:13" ht="16.5" thickBot="1">
      <c r="A85" s="655">
        <v>35</v>
      </c>
      <c r="B85" s="2" t="s">
        <v>943</v>
      </c>
      <c r="C85" s="651"/>
      <c r="D85" s="657">
        <f>+D83+D77+D75+D63</f>
        <v>2380452907.6090817</v>
      </c>
      <c r="E85" s="511"/>
      <c r="F85" s="511"/>
      <c r="G85" s="555"/>
      <c r="H85" s="511"/>
      <c r="I85" s="566">
        <f>+I83+I77+I75+I63</f>
        <v>318928906.06168443</v>
      </c>
      <c r="J85" s="511"/>
      <c r="K85" s="555"/>
      <c r="L85" s="511"/>
      <c r="M85" s="511"/>
    </row>
    <row r="86" spans="1:13" ht="16.5" thickTop="1">
      <c r="A86" s="512"/>
      <c r="B86" s="506"/>
      <c r="C86" s="511"/>
      <c r="D86" s="543"/>
      <c r="E86" s="511"/>
      <c r="F86" s="511"/>
      <c r="G86" s="555"/>
      <c r="H86" s="511"/>
      <c r="I86" s="511"/>
      <c r="J86" s="511"/>
      <c r="K86" s="555"/>
      <c r="L86" s="511"/>
      <c r="M86" s="511"/>
    </row>
    <row r="87" spans="1:13">
      <c r="A87" s="512"/>
      <c r="B87" s="506"/>
      <c r="C87" s="511"/>
      <c r="D87" s="543"/>
      <c r="E87" s="511"/>
      <c r="F87" s="511"/>
      <c r="G87" s="555"/>
      <c r="H87" s="511"/>
      <c r="I87" s="511"/>
      <c r="J87" s="511"/>
      <c r="K87" s="555"/>
      <c r="L87" s="511"/>
      <c r="M87" s="511"/>
    </row>
    <row r="88" spans="1:13">
      <c r="A88" s="512"/>
      <c r="B88" s="506"/>
      <c r="C88" s="511"/>
      <c r="D88" s="543"/>
      <c r="E88" s="511"/>
      <c r="F88" s="511"/>
      <c r="G88" s="555"/>
      <c r="H88" s="511"/>
      <c r="I88" s="511"/>
      <c r="J88" s="511"/>
      <c r="K88" s="555"/>
      <c r="L88" s="511"/>
      <c r="M88" s="511"/>
    </row>
    <row r="89" spans="1:13">
      <c r="A89" s="512"/>
      <c r="B89" s="506"/>
      <c r="C89" s="511"/>
      <c r="D89" s="511"/>
      <c r="E89" s="511"/>
      <c r="F89" s="511"/>
      <c r="G89" s="555"/>
      <c r="H89" s="511"/>
      <c r="I89" s="511"/>
      <c r="J89" s="511"/>
      <c r="K89" s="555"/>
      <c r="L89" s="511"/>
      <c r="M89" s="511"/>
    </row>
    <row r="90" spans="1:13">
      <c r="A90" s="512"/>
      <c r="B90" s="506"/>
      <c r="C90" s="511"/>
      <c r="D90" s="511"/>
      <c r="E90" s="511"/>
      <c r="F90" s="511"/>
      <c r="G90" s="555"/>
      <c r="H90" s="511"/>
      <c r="I90" s="511"/>
      <c r="J90" s="511"/>
      <c r="K90" s="555"/>
      <c r="L90" s="511"/>
      <c r="M90" s="511"/>
    </row>
    <row r="91" spans="1:13">
      <c r="A91" s="512"/>
      <c r="B91" s="506"/>
      <c r="C91" s="511"/>
      <c r="D91" s="511"/>
      <c r="E91" s="511"/>
      <c r="F91" s="511"/>
      <c r="G91" s="555"/>
      <c r="H91" s="511"/>
      <c r="I91" s="511"/>
      <c r="J91" s="511"/>
      <c r="K91" s="555"/>
      <c r="L91" s="511"/>
      <c r="M91" s="511"/>
    </row>
    <row r="92" spans="1:13">
      <c r="A92" s="512"/>
      <c r="B92" s="506"/>
      <c r="C92" s="511"/>
      <c r="D92" s="511"/>
      <c r="E92" s="511"/>
      <c r="F92" s="511"/>
      <c r="G92" s="555"/>
      <c r="H92" s="511"/>
      <c r="I92" s="511"/>
      <c r="J92" s="511"/>
      <c r="K92" s="555"/>
      <c r="L92" s="511"/>
      <c r="M92" s="511"/>
    </row>
    <row r="93" spans="1:13">
      <c r="A93" s="512"/>
      <c r="B93" s="506"/>
      <c r="C93" s="511"/>
      <c r="D93" s="511"/>
      <c r="E93" s="511"/>
      <c r="F93" s="511"/>
      <c r="G93" s="555"/>
      <c r="H93" s="511"/>
      <c r="I93" s="511"/>
      <c r="J93" s="511"/>
      <c r="K93" s="555"/>
      <c r="L93" s="511"/>
      <c r="M93" s="511"/>
    </row>
    <row r="94" spans="1:13">
      <c r="A94" s="512"/>
      <c r="B94" s="506"/>
      <c r="C94" s="511"/>
      <c r="D94" s="511"/>
      <c r="E94" s="511"/>
      <c r="F94" s="511"/>
      <c r="G94" s="555"/>
      <c r="H94" s="511"/>
      <c r="I94" s="511"/>
      <c r="J94" s="511"/>
      <c r="K94" s="555"/>
      <c r="L94" s="511"/>
      <c r="M94" s="511"/>
    </row>
    <row r="95" spans="1:13">
      <c r="A95" s="512"/>
      <c r="B95" s="506"/>
      <c r="C95" s="511"/>
      <c r="D95" s="511"/>
      <c r="E95" s="511"/>
      <c r="F95" s="511"/>
      <c r="G95" s="555"/>
      <c r="H95" s="511"/>
      <c r="I95" s="511"/>
      <c r="J95" s="511"/>
      <c r="K95" s="555"/>
      <c r="L95" s="511"/>
      <c r="M95" s="511"/>
    </row>
    <row r="96" spans="1:13">
      <c r="A96" s="512"/>
      <c r="B96" s="506"/>
      <c r="C96" s="511"/>
      <c r="D96" s="511"/>
      <c r="E96" s="511"/>
      <c r="F96" s="511"/>
      <c r="G96" s="555"/>
      <c r="H96" s="511"/>
      <c r="I96" s="511"/>
      <c r="J96" s="511"/>
      <c r="K96" s="555"/>
      <c r="L96" s="511"/>
      <c r="M96" s="511"/>
    </row>
    <row r="97" spans="1:13">
      <c r="A97" s="512"/>
      <c r="B97" s="506"/>
      <c r="C97" s="511"/>
      <c r="D97" s="511"/>
      <c r="E97" s="511"/>
      <c r="F97" s="511"/>
      <c r="G97" s="555"/>
      <c r="H97" s="511"/>
      <c r="I97" s="511"/>
      <c r="J97" s="511"/>
      <c r="K97" s="555"/>
      <c r="L97" s="511"/>
      <c r="M97" s="511"/>
    </row>
    <row r="98" spans="1:13">
      <c r="A98" s="512"/>
      <c r="B98" s="506"/>
      <c r="C98" s="511"/>
      <c r="D98" s="511"/>
      <c r="E98" s="511"/>
      <c r="F98" s="511"/>
      <c r="G98" s="555"/>
      <c r="H98" s="511"/>
      <c r="I98" s="511"/>
      <c r="J98" s="511"/>
      <c r="K98" s="555"/>
      <c r="L98" s="511"/>
      <c r="M98" s="511"/>
    </row>
    <row r="99" spans="1:13">
      <c r="A99" s="512"/>
      <c r="B99" s="506"/>
      <c r="C99" s="511"/>
      <c r="D99" s="511"/>
      <c r="E99" s="511"/>
      <c r="F99" s="511"/>
      <c r="G99" s="555"/>
      <c r="H99" s="511"/>
      <c r="I99" s="511"/>
      <c r="J99" s="511"/>
      <c r="K99" s="555"/>
      <c r="L99" s="511"/>
      <c r="M99" s="511"/>
    </row>
    <row r="100" spans="1:13">
      <c r="A100" s="567"/>
      <c r="B100" s="506"/>
      <c r="C100" s="511"/>
      <c r="D100" s="511"/>
      <c r="E100" s="511"/>
      <c r="F100" s="511"/>
      <c r="G100" s="555"/>
      <c r="H100" s="511"/>
      <c r="I100" s="511"/>
      <c r="J100" s="511"/>
      <c r="K100" s="549"/>
      <c r="L100" s="505"/>
    </row>
    <row r="101" spans="1:13">
      <c r="A101" s="567"/>
      <c r="B101" s="506"/>
      <c r="C101" s="511"/>
      <c r="D101" s="511"/>
      <c r="E101" s="511"/>
      <c r="F101" s="511"/>
      <c r="G101" s="555"/>
      <c r="H101" s="511"/>
      <c r="I101" s="511"/>
      <c r="J101" s="511"/>
      <c r="K101" s="549"/>
      <c r="L101" s="505"/>
    </row>
    <row r="102" spans="1:13">
      <c r="B102" s="506"/>
      <c r="C102" s="506"/>
      <c r="D102" s="507"/>
      <c r="E102" s="506"/>
      <c r="F102" s="506"/>
      <c r="G102" s="506"/>
      <c r="H102" s="506"/>
      <c r="I102" s="512"/>
      <c r="J102" s="512"/>
      <c r="K102" s="508"/>
      <c r="L102" s="506"/>
      <c r="M102" s="506"/>
    </row>
    <row r="103" spans="1:13">
      <c r="B103" s="506"/>
      <c r="C103" s="506"/>
      <c r="D103" s="507"/>
      <c r="E103" s="506"/>
      <c r="F103" s="506"/>
      <c r="G103" s="506"/>
      <c r="H103" s="506"/>
      <c r="I103" s="508"/>
      <c r="J103" s="508"/>
      <c r="K103" s="508"/>
      <c r="L103" s="506"/>
      <c r="M103" s="506"/>
    </row>
    <row r="104" spans="1:13" ht="16.5" customHeight="1">
      <c r="B104" s="506"/>
      <c r="C104" s="506"/>
      <c r="D104" s="507"/>
      <c r="E104" s="506"/>
      <c r="F104" s="506"/>
      <c r="G104" s="506"/>
      <c r="H104" s="506"/>
      <c r="I104" s="506"/>
      <c r="K104" s="508" t="str">
        <f>K30</f>
        <v>Attachment H -11A</v>
      </c>
      <c r="L104" s="506"/>
      <c r="M104" s="506"/>
    </row>
    <row r="105" spans="1:13" ht="16.5" customHeight="1">
      <c r="B105" s="506"/>
      <c r="C105" s="506"/>
      <c r="D105" s="507"/>
      <c r="E105" s="506"/>
      <c r="F105" s="506"/>
      <c r="G105" s="506"/>
      <c r="H105" s="506"/>
      <c r="I105" s="506"/>
      <c r="J105" s="506"/>
      <c r="K105" s="508" t="s">
        <v>129</v>
      </c>
      <c r="L105" s="506"/>
      <c r="M105" s="506"/>
    </row>
    <row r="106" spans="1:13" ht="16.5" customHeight="1">
      <c r="B106" s="506"/>
      <c r="C106" s="506"/>
      <c r="D106" s="507"/>
      <c r="E106" s="506"/>
      <c r="F106" s="506"/>
      <c r="G106" s="506"/>
      <c r="H106" s="506"/>
      <c r="I106" s="506"/>
      <c r="J106" s="506"/>
      <c r="K106" s="508"/>
      <c r="L106" s="506"/>
      <c r="M106" s="506"/>
    </row>
    <row r="107" spans="1:13">
      <c r="B107" s="506" t="s">
        <v>1</v>
      </c>
      <c r="C107" s="506"/>
      <c r="D107" s="507" t="s">
        <v>2</v>
      </c>
      <c r="E107" s="506"/>
      <c r="F107" s="506"/>
      <c r="G107" s="506"/>
      <c r="H107" s="506"/>
      <c r="J107" s="506"/>
      <c r="K107" s="508" t="str">
        <f>K4</f>
        <v>For the 12 months ended 12/31/2022</v>
      </c>
      <c r="L107" s="506"/>
      <c r="M107" s="506"/>
    </row>
    <row r="108" spans="1:13">
      <c r="B108" s="506"/>
      <c r="C108" s="511" t="s">
        <v>3</v>
      </c>
      <c r="D108" s="511" t="s">
        <v>4</v>
      </c>
      <c r="E108" s="511"/>
      <c r="F108" s="511"/>
      <c r="G108" s="511"/>
      <c r="H108" s="506"/>
      <c r="I108" s="506"/>
      <c r="J108" s="506"/>
      <c r="K108" s="506"/>
      <c r="L108" s="506"/>
      <c r="M108" s="506"/>
    </row>
    <row r="109" spans="1:13">
      <c r="B109" s="506"/>
      <c r="C109" s="511"/>
      <c r="D109" s="511"/>
      <c r="E109" s="511"/>
      <c r="F109" s="511"/>
      <c r="G109" s="511"/>
      <c r="H109" s="506"/>
      <c r="I109" s="506"/>
      <c r="J109" s="506"/>
      <c r="K109" s="506"/>
      <c r="L109" s="506"/>
      <c r="M109" s="506"/>
    </row>
    <row r="110" spans="1:13">
      <c r="A110" s="512"/>
      <c r="D110" s="505" t="str">
        <f>D7</f>
        <v>WEST PENN POWER</v>
      </c>
      <c r="J110" s="511"/>
      <c r="K110" s="511"/>
      <c r="L110" s="511"/>
      <c r="M110" s="511"/>
    </row>
    <row r="111" spans="1:13">
      <c r="A111" s="512"/>
      <c r="B111" s="512" t="s">
        <v>18</v>
      </c>
      <c r="C111" s="512" t="s">
        <v>19</v>
      </c>
      <c r="D111" s="512" t="s">
        <v>20</v>
      </c>
      <c r="E111" s="511" t="s">
        <v>3</v>
      </c>
      <c r="F111" s="511"/>
      <c r="G111" s="514" t="s">
        <v>21</v>
      </c>
      <c r="H111" s="511"/>
      <c r="I111" s="515" t="s">
        <v>22</v>
      </c>
      <c r="J111" s="511"/>
      <c r="K111" s="511"/>
      <c r="L111" s="506"/>
      <c r="M111" s="511"/>
    </row>
    <row r="112" spans="1:13">
      <c r="A112" s="512" t="s">
        <v>5</v>
      </c>
      <c r="B112" s="506"/>
      <c r="C112" s="545"/>
      <c r="D112" s="511"/>
      <c r="E112" s="511"/>
      <c r="F112" s="511"/>
      <c r="G112" s="512"/>
      <c r="H112" s="511"/>
      <c r="I112" s="546" t="s">
        <v>24</v>
      </c>
      <c r="J112" s="511"/>
      <c r="K112" s="546"/>
      <c r="L112" s="512"/>
      <c r="M112" s="511"/>
    </row>
    <row r="113" spans="1:13" ht="16.5" thickBot="1">
      <c r="A113" s="516" t="s">
        <v>7</v>
      </c>
      <c r="B113" s="506"/>
      <c r="C113" s="545" t="s">
        <v>280</v>
      </c>
      <c r="D113" s="546" t="s">
        <v>25</v>
      </c>
      <c r="E113" s="548"/>
      <c r="F113" s="546" t="s">
        <v>26</v>
      </c>
      <c r="H113" s="548"/>
      <c r="I113" s="512" t="s">
        <v>27</v>
      </c>
      <c r="J113" s="511"/>
      <c r="K113" s="546"/>
      <c r="L113" s="546"/>
      <c r="M113" s="511"/>
    </row>
    <row r="114" spans="1:13">
      <c r="A114" s="512"/>
      <c r="B114" s="2" t="s">
        <v>876</v>
      </c>
      <c r="C114" s="511"/>
      <c r="D114" s="511"/>
      <c r="E114" s="511"/>
      <c r="F114" s="511"/>
      <c r="G114" s="511"/>
      <c r="H114" s="511"/>
      <c r="I114" s="511"/>
      <c r="J114" s="511"/>
      <c r="K114" s="511"/>
      <c r="L114" s="511"/>
      <c r="M114" s="511"/>
    </row>
    <row r="115" spans="1:13">
      <c r="A115" s="512">
        <v>1</v>
      </c>
      <c r="B115" s="2" t="s">
        <v>877</v>
      </c>
      <c r="C115" s="651" t="s">
        <v>1038</v>
      </c>
      <c r="D115" s="525">
        <f>'Attachment 20 - O&amp;M and A&amp;G'!Q32</f>
        <v>31124230.378643751</v>
      </c>
      <c r="E115" s="511"/>
      <c r="F115" s="651" t="s">
        <v>299</v>
      </c>
      <c r="G115" s="551">
        <v>1</v>
      </c>
      <c r="H115" s="511"/>
      <c r="I115" s="552">
        <f>+G115*D115</f>
        <v>31124230.378643751</v>
      </c>
      <c r="J115" s="568"/>
      <c r="K115" s="511"/>
      <c r="L115" s="511"/>
      <c r="M115" s="512"/>
    </row>
    <row r="116" spans="1:13">
      <c r="A116" s="512">
        <v>2</v>
      </c>
      <c r="B116" s="874" t="s">
        <v>861</v>
      </c>
      <c r="C116" s="651" t="s">
        <v>1097</v>
      </c>
      <c r="D116" s="526">
        <v>9242915.5999999996</v>
      </c>
      <c r="E116" s="511"/>
      <c r="F116" s="511" t="s">
        <v>422</v>
      </c>
      <c r="G116" s="551">
        <v>1</v>
      </c>
      <c r="H116" s="511"/>
      <c r="I116" s="525">
        <f>G116*D116</f>
        <v>9242915.5999999996</v>
      </c>
      <c r="J116" s="506"/>
      <c r="K116" s="511"/>
      <c r="L116" s="511"/>
      <c r="M116" s="507"/>
    </row>
    <row r="117" spans="1:13">
      <c r="A117" s="512">
        <v>3</v>
      </c>
      <c r="B117" s="2" t="s">
        <v>878</v>
      </c>
      <c r="C117" s="651" t="s">
        <v>1053</v>
      </c>
      <c r="D117" s="525">
        <f>'Attachment 20 - O&amp;M and A&amp;G'!W52</f>
        <v>1473573.0785447306</v>
      </c>
      <c r="E117" s="511"/>
      <c r="F117" s="651" t="s">
        <v>299</v>
      </c>
      <c r="G117" s="551">
        <v>1</v>
      </c>
      <c r="H117" s="511"/>
      <c r="I117" s="552">
        <f>+G117*D117</f>
        <v>1473573.0785447306</v>
      </c>
      <c r="J117" s="511"/>
      <c r="K117" s="511" t="s">
        <v>3</v>
      </c>
      <c r="L117" s="511"/>
      <c r="M117" s="512"/>
    </row>
    <row r="118" spans="1:13">
      <c r="A118" s="512">
        <v>4</v>
      </c>
      <c r="B118" s="874" t="s">
        <v>755</v>
      </c>
      <c r="C118" s="651" t="s">
        <v>1037</v>
      </c>
      <c r="D118" s="1011">
        <f>D116/'Attachment 20 - O&amp;M and A&amp;G'!I32</f>
        <v>8.758319034012739E-2</v>
      </c>
      <c r="E118" s="511"/>
      <c r="F118" s="596"/>
      <c r="G118" s="1012"/>
      <c r="H118" s="596"/>
      <c r="I118" s="1013"/>
      <c r="J118" s="511"/>
      <c r="K118" s="511"/>
      <c r="L118" s="511"/>
      <c r="M118" s="512"/>
    </row>
    <row r="119" spans="1:13" ht="31.5">
      <c r="A119" s="512">
        <v>5</v>
      </c>
      <c r="B119" s="874" t="s">
        <v>756</v>
      </c>
      <c r="C119" s="1010" t="s">
        <v>1039</v>
      </c>
      <c r="D119" s="989">
        <f>D118*I213*(('Attachment 20 - O&amp;M and A&amp;G'!I52)-('Attachment 20 - O&amp;M and A&amp;G'!K52))</f>
        <v>122230.63775985688</v>
      </c>
      <c r="E119" s="511"/>
      <c r="F119" s="651" t="s">
        <v>299</v>
      </c>
      <c r="G119" s="551">
        <v>1</v>
      </c>
      <c r="H119" s="511"/>
      <c r="I119" s="989">
        <f>D119*G119</f>
        <v>122230.63775985688</v>
      </c>
      <c r="J119" s="511"/>
      <c r="K119" s="511"/>
      <c r="L119" s="511"/>
      <c r="M119" s="512"/>
    </row>
    <row r="120" spans="1:13">
      <c r="A120" s="655">
        <v>6</v>
      </c>
      <c r="B120" s="2" t="s">
        <v>1049</v>
      </c>
      <c r="C120" s="651" t="s">
        <v>627</v>
      </c>
      <c r="D120" s="649">
        <f>'Attachment 6 - PBOP'!E18</f>
        <v>350498.02665678493</v>
      </c>
      <c r="E120" s="511"/>
      <c r="F120" s="569" t="s">
        <v>422</v>
      </c>
      <c r="G120" s="551">
        <v>1</v>
      </c>
      <c r="H120" s="511"/>
      <c r="I120" s="552">
        <f>D120*G120</f>
        <v>350498.02665678493</v>
      </c>
      <c r="J120" s="511"/>
      <c r="K120" s="511"/>
      <c r="L120" s="505"/>
      <c r="M120" s="512"/>
    </row>
    <row r="121" spans="1:13" s="1" customFormat="1">
      <c r="A121" s="655">
        <v>7</v>
      </c>
      <c r="B121" s="2" t="s">
        <v>200</v>
      </c>
      <c r="C121" s="658" t="s">
        <v>1178</v>
      </c>
      <c r="D121" s="659"/>
      <c r="E121" s="651"/>
      <c r="F121" s="651" t="s">
        <v>37</v>
      </c>
      <c r="G121" s="839">
        <f>K218</f>
        <v>9.333164788672195E-2</v>
      </c>
      <c r="H121" s="651"/>
      <c r="I121" s="661">
        <f t="shared" ref="I121" si="2">+G121*D121</f>
        <v>0</v>
      </c>
      <c r="J121" s="651"/>
      <c r="K121" s="651"/>
      <c r="L121" s="651"/>
      <c r="M121" s="655"/>
    </row>
    <row r="122" spans="1:13" ht="16.5" thickBot="1">
      <c r="A122" s="655">
        <v>8</v>
      </c>
      <c r="B122" s="2" t="s">
        <v>869</v>
      </c>
      <c r="C122" s="658" t="s">
        <v>871</v>
      </c>
      <c r="D122" s="649">
        <f>'Attachment 19 - Reg Asset'!M26</f>
        <v>1771532.9784439998</v>
      </c>
      <c r="E122" s="511"/>
      <c r="F122" s="511" t="s">
        <v>422</v>
      </c>
      <c r="G122" s="551">
        <v>1</v>
      </c>
      <c r="H122" s="511"/>
      <c r="I122" s="525">
        <f>G122*D122</f>
        <v>1771532.9784439998</v>
      </c>
      <c r="J122" s="511"/>
      <c r="K122" s="511"/>
      <c r="L122" s="511"/>
      <c r="M122" s="512"/>
    </row>
    <row r="123" spans="1:13">
      <c r="A123" s="655">
        <v>9</v>
      </c>
      <c r="B123" s="2" t="s">
        <v>1040</v>
      </c>
      <c r="C123" s="651"/>
      <c r="D123" s="1014">
        <f>D115+D117+D120+D121-D116-D119+D122</f>
        <v>25354688.224529412</v>
      </c>
      <c r="E123" s="511"/>
      <c r="F123" s="511"/>
      <c r="G123" s="511"/>
      <c r="H123" s="511"/>
      <c r="I123" s="1015">
        <f>I115+I117+I120+I121-I116-I119+I122</f>
        <v>25354688.224529412</v>
      </c>
      <c r="J123" s="511"/>
      <c r="K123" s="511"/>
      <c r="L123" s="558"/>
      <c r="M123" s="511"/>
    </row>
    <row r="124" spans="1:13">
      <c r="A124" s="655"/>
      <c r="B124" s="1"/>
      <c r="C124" s="651"/>
      <c r="D124" s="661"/>
      <c r="E124" s="511"/>
      <c r="F124" s="511"/>
      <c r="G124" s="511"/>
      <c r="H124" s="511"/>
      <c r="I124" s="552"/>
      <c r="J124" s="511"/>
      <c r="K124" s="511"/>
      <c r="L124" s="511"/>
      <c r="M124" s="511"/>
    </row>
    <row r="125" spans="1:13">
      <c r="A125" s="655"/>
      <c r="B125" s="2" t="s">
        <v>179</v>
      </c>
      <c r="C125" s="651"/>
      <c r="D125" s="661"/>
      <c r="E125" s="511"/>
      <c r="F125" s="511"/>
      <c r="G125" s="511"/>
      <c r="H125" s="511"/>
      <c r="I125" s="552"/>
      <c r="J125" s="511"/>
      <c r="K125" s="511"/>
      <c r="L125" s="511"/>
      <c r="M125" s="511"/>
    </row>
    <row r="126" spans="1:13">
      <c r="A126" s="655">
        <v>10</v>
      </c>
      <c r="B126" s="2" t="s">
        <v>32</v>
      </c>
      <c r="C126" s="651" t="s">
        <v>1179</v>
      </c>
      <c r="D126" s="659">
        <v>11887880.5</v>
      </c>
      <c r="E126" s="511"/>
      <c r="F126" s="511" t="s">
        <v>12</v>
      </c>
      <c r="G126" s="551">
        <f>I196</f>
        <v>1</v>
      </c>
      <c r="H126" s="511"/>
      <c r="I126" s="552">
        <f>+G126*D126</f>
        <v>11887880.5</v>
      </c>
      <c r="J126" s="511"/>
      <c r="K126" s="555"/>
      <c r="L126" s="511"/>
      <c r="M126" s="512"/>
    </row>
    <row r="127" spans="1:13">
      <c r="A127" s="655">
        <v>11</v>
      </c>
      <c r="B127" s="658" t="s">
        <v>34</v>
      </c>
      <c r="C127" s="651" t="s">
        <v>1180</v>
      </c>
      <c r="D127" s="659">
        <v>18366983</v>
      </c>
      <c r="E127" s="511"/>
      <c r="F127" s="511" t="s">
        <v>35</v>
      </c>
      <c r="G127" s="551">
        <f>I213</f>
        <v>9.333164788672195E-2</v>
      </c>
      <c r="H127" s="511"/>
      <c r="I127" s="552">
        <f>+G127*D127</f>
        <v>1714220.790097408</v>
      </c>
      <c r="J127" s="511"/>
      <c r="K127" s="555"/>
      <c r="L127" s="505"/>
      <c r="M127" s="512"/>
    </row>
    <row r="128" spans="1:13">
      <c r="A128" s="655">
        <v>12</v>
      </c>
      <c r="B128" s="658" t="s">
        <v>748</v>
      </c>
      <c r="C128" s="651" t="s">
        <v>1097</v>
      </c>
      <c r="D128" s="659">
        <v>3084550.0485074585</v>
      </c>
      <c r="E128" s="511"/>
      <c r="F128" s="511" t="s">
        <v>299</v>
      </c>
      <c r="G128" s="551">
        <v>1</v>
      </c>
      <c r="H128" s="511"/>
      <c r="I128" s="552">
        <f>D128*G128</f>
        <v>3084550.0485074585</v>
      </c>
      <c r="J128" s="511"/>
      <c r="K128" s="555"/>
      <c r="L128" s="505"/>
      <c r="M128" s="512"/>
    </row>
    <row r="129" spans="1:13" ht="16.5" thickBot="1">
      <c r="A129" s="655">
        <v>13</v>
      </c>
      <c r="B129" s="2" t="str">
        <f>+B121</f>
        <v>Common</v>
      </c>
      <c r="C129" s="651" t="s">
        <v>1181</v>
      </c>
      <c r="D129" s="660"/>
      <c r="E129" s="511"/>
      <c r="F129" s="511" t="s">
        <v>37</v>
      </c>
      <c r="G129" s="551">
        <f>K218</f>
        <v>9.333164788672195E-2</v>
      </c>
      <c r="H129" s="511"/>
      <c r="I129" s="563">
        <f>+G129*D129</f>
        <v>0</v>
      </c>
      <c r="J129" s="511"/>
      <c r="K129" s="555"/>
      <c r="L129" s="511"/>
      <c r="M129" s="512"/>
    </row>
    <row r="130" spans="1:13">
      <c r="A130" s="655">
        <v>14</v>
      </c>
      <c r="B130" s="2" t="s">
        <v>1041</v>
      </c>
      <c r="C130" s="651"/>
      <c r="D130" s="986">
        <f>D126+D127+D129-D128</f>
        <v>27170313.451492541</v>
      </c>
      <c r="E130" s="511"/>
      <c r="F130" s="511"/>
      <c r="G130" s="511"/>
      <c r="H130" s="511"/>
      <c r="I130" s="987">
        <f>I126+I127+I129-I128</f>
        <v>10517551.241589949</v>
      </c>
      <c r="J130" s="511"/>
      <c r="K130" s="511"/>
      <c r="L130" s="511"/>
      <c r="M130" s="511"/>
    </row>
    <row r="131" spans="1:13">
      <c r="A131" s="655"/>
      <c r="B131" s="2"/>
      <c r="C131" s="651"/>
      <c r="D131" s="661"/>
      <c r="E131" s="511"/>
      <c r="F131" s="511"/>
      <c r="G131" s="511"/>
      <c r="H131" s="511"/>
      <c r="I131" s="552"/>
      <c r="J131" s="511"/>
      <c r="K131" s="511"/>
      <c r="L131" s="511"/>
      <c r="M131" s="511"/>
    </row>
    <row r="132" spans="1:13">
      <c r="A132" s="655" t="s">
        <v>3</v>
      </c>
      <c r="B132" s="2" t="s">
        <v>1098</v>
      </c>
      <c r="C132" s="1"/>
      <c r="D132" s="661"/>
      <c r="E132" s="511"/>
      <c r="F132" s="511"/>
      <c r="G132" s="511"/>
      <c r="H132" s="511"/>
      <c r="I132" s="552"/>
      <c r="J132" s="511"/>
      <c r="K132" s="511"/>
      <c r="L132" s="511"/>
      <c r="M132" s="511"/>
    </row>
    <row r="133" spans="1:13">
      <c r="A133" s="655"/>
      <c r="B133" s="2" t="s">
        <v>53</v>
      </c>
      <c r="C133" s="1"/>
      <c r="D133" s="661"/>
      <c r="E133" s="511"/>
      <c r="F133" s="511"/>
      <c r="H133" s="511"/>
      <c r="I133" s="552"/>
      <c r="J133" s="511"/>
      <c r="K133" s="555"/>
      <c r="L133" s="565"/>
      <c r="M133" s="512"/>
    </row>
    <row r="134" spans="1:13">
      <c r="A134" s="655">
        <v>15</v>
      </c>
      <c r="B134" s="2" t="s">
        <v>54</v>
      </c>
      <c r="C134" s="651" t="s">
        <v>1182</v>
      </c>
      <c r="D134" s="649">
        <f>'Attachment 7 - Taxes Other '!D12</f>
        <v>2361264</v>
      </c>
      <c r="E134" s="511"/>
      <c r="F134" s="511" t="s">
        <v>35</v>
      </c>
      <c r="G134" s="523">
        <f>I213</f>
        <v>9.333164788672195E-2</v>
      </c>
      <c r="H134" s="511"/>
      <c r="I134" s="552">
        <f>+G134*D134</f>
        <v>220380.66021559262</v>
      </c>
      <c r="J134" s="511"/>
      <c r="K134" s="555"/>
      <c r="L134" s="570"/>
      <c r="M134" s="512"/>
    </row>
    <row r="135" spans="1:13">
      <c r="A135" s="655">
        <v>16</v>
      </c>
      <c r="B135" s="2" t="s">
        <v>56</v>
      </c>
      <c r="C135" s="651" t="s">
        <v>1183</v>
      </c>
      <c r="D135" s="649">
        <f>'Attachment 7 - Taxes Other '!D17</f>
        <v>6976</v>
      </c>
      <c r="E135" s="511"/>
      <c r="F135" s="511" t="str">
        <f>+F134</f>
        <v>W/S</v>
      </c>
      <c r="G135" s="523">
        <f>I213</f>
        <v>9.333164788672195E-2</v>
      </c>
      <c r="H135" s="511"/>
      <c r="I135" s="552">
        <f>+G135*D135</f>
        <v>651.08157565777231</v>
      </c>
      <c r="J135" s="511"/>
      <c r="K135" s="555"/>
      <c r="L135" s="570"/>
      <c r="M135" s="512"/>
    </row>
    <row r="136" spans="1:13">
      <c r="A136" s="655">
        <v>17</v>
      </c>
      <c r="B136" s="2" t="s">
        <v>57</v>
      </c>
      <c r="C136" s="651" t="s">
        <v>3</v>
      </c>
      <c r="D136" s="649"/>
      <c r="E136" s="511"/>
      <c r="F136" s="511"/>
      <c r="H136" s="511"/>
      <c r="I136" s="552"/>
      <c r="J136" s="511"/>
      <c r="K136" s="555"/>
      <c r="L136" s="570"/>
      <c r="M136" s="512"/>
    </row>
    <row r="137" spans="1:13">
      <c r="A137" s="655">
        <v>18</v>
      </c>
      <c r="B137" s="2" t="s">
        <v>58</v>
      </c>
      <c r="C137" s="651" t="s">
        <v>1184</v>
      </c>
      <c r="D137" s="649">
        <f>'Attachment 7 - Taxes Other '!D23</f>
        <v>223043</v>
      </c>
      <c r="E137" s="511"/>
      <c r="F137" s="511" t="s">
        <v>52</v>
      </c>
      <c r="G137" s="523">
        <f>+G47</f>
        <v>0.16285060480207811</v>
      </c>
      <c r="H137" s="511"/>
      <c r="I137" s="552">
        <f>+G137*D137</f>
        <v>36322.68744686991</v>
      </c>
      <c r="J137" s="511"/>
      <c r="K137" s="555"/>
      <c r="L137" s="570"/>
      <c r="M137" s="507"/>
    </row>
    <row r="138" spans="1:13">
      <c r="A138" s="655">
        <v>19</v>
      </c>
      <c r="B138" s="2" t="s">
        <v>868</v>
      </c>
      <c r="C138" s="651" t="s">
        <v>1185</v>
      </c>
      <c r="D138" s="649">
        <f>'Attachment 7 - Taxes Other '!D31</f>
        <v>66253281</v>
      </c>
      <c r="E138" s="511"/>
      <c r="F138" s="511" t="str">
        <f>+F66</f>
        <v>NA</v>
      </c>
      <c r="G138" s="571"/>
      <c r="H138" s="511"/>
      <c r="I138" s="552">
        <v>0</v>
      </c>
      <c r="J138" s="511"/>
      <c r="K138" s="555"/>
      <c r="L138" s="570"/>
      <c r="M138" s="512"/>
    </row>
    <row r="139" spans="1:13">
      <c r="A139" s="655">
        <v>20</v>
      </c>
      <c r="B139" s="2" t="s">
        <v>59</v>
      </c>
      <c r="C139" s="651" t="s">
        <v>1186</v>
      </c>
      <c r="D139" s="649">
        <f>'Attachment 7 - Taxes Other '!D37</f>
        <v>2305425</v>
      </c>
      <c r="E139" s="511"/>
      <c r="F139" s="511" t="str">
        <f>+F137</f>
        <v>GP</v>
      </c>
      <c r="G139" s="523">
        <f>+G47</f>
        <v>0.16285060480207811</v>
      </c>
      <c r="H139" s="511"/>
      <c r="I139" s="552">
        <f>+G139*D139</f>
        <v>375439.85557583091</v>
      </c>
      <c r="J139" s="511"/>
      <c r="K139" s="555"/>
      <c r="L139" s="570"/>
      <c r="M139" s="512"/>
    </row>
    <row r="140" spans="1:13" ht="16.5" thickBot="1">
      <c r="A140" s="655">
        <v>21</v>
      </c>
      <c r="B140" s="2" t="s">
        <v>60</v>
      </c>
      <c r="C140" s="651" t="s">
        <v>835</v>
      </c>
      <c r="D140" s="650">
        <f>'Attachment 7 - Taxes Other '!D39</f>
        <v>0</v>
      </c>
      <c r="E140" s="511"/>
      <c r="F140" s="511" t="s">
        <v>52</v>
      </c>
      <c r="G140" s="523">
        <f>+G47</f>
        <v>0.16285060480207811</v>
      </c>
      <c r="H140" s="511"/>
      <c r="I140" s="554">
        <f>+G140*D140</f>
        <v>0</v>
      </c>
      <c r="J140" s="511"/>
      <c r="K140" s="555"/>
      <c r="L140" s="570"/>
      <c r="M140" s="512"/>
    </row>
    <row r="141" spans="1:13">
      <c r="A141" s="655">
        <v>22</v>
      </c>
      <c r="B141" s="2" t="s">
        <v>1042</v>
      </c>
      <c r="C141" s="651"/>
      <c r="D141" s="649">
        <f>SUM(D134:D140)</f>
        <v>71149989</v>
      </c>
      <c r="E141" s="511"/>
      <c r="F141" s="511"/>
      <c r="G141" s="523"/>
      <c r="H141" s="511"/>
      <c r="I141" s="552">
        <f>SUM(I134:I140)</f>
        <v>632794.28481395124</v>
      </c>
      <c r="J141" s="511"/>
      <c r="K141" s="511"/>
      <c r="L141" s="558"/>
      <c r="M141" s="511"/>
    </row>
    <row r="142" spans="1:13">
      <c r="A142" s="655"/>
      <c r="B142" s="2"/>
      <c r="C142" s="651"/>
      <c r="D142" s="651"/>
      <c r="E142" s="511"/>
      <c r="F142" s="511"/>
      <c r="G142" s="523"/>
      <c r="H142" s="511"/>
      <c r="I142" s="534"/>
      <c r="J142" s="511"/>
      <c r="K142" s="511"/>
      <c r="L142" s="558"/>
      <c r="M142" s="511"/>
    </row>
    <row r="143" spans="1:13">
      <c r="A143" s="655" t="s">
        <v>3</v>
      </c>
      <c r="B143" s="2" t="s">
        <v>61</v>
      </c>
      <c r="C143" s="651" t="s">
        <v>1099</v>
      </c>
      <c r="D143" s="662"/>
      <c r="E143" s="511"/>
      <c r="G143" s="572"/>
      <c r="H143" s="511"/>
      <c r="I143" s="534"/>
      <c r="J143" s="511"/>
      <c r="L143" s="511"/>
      <c r="M143" s="512"/>
    </row>
    <row r="144" spans="1:13">
      <c r="A144" s="655">
        <v>23</v>
      </c>
      <c r="B144" s="668" t="s">
        <v>62</v>
      </c>
      <c r="C144" s="651"/>
      <c r="D144" s="663">
        <f>IF(D297&gt;0,1-(((1-D298)*(1-D297))/(1-D298*D297*D299)),0)</f>
        <v>0.28892099999999998</v>
      </c>
      <c r="E144" s="548"/>
      <c r="G144" s="572"/>
      <c r="H144" s="511"/>
      <c r="I144" s="534"/>
      <c r="J144" s="511"/>
      <c r="L144" s="573"/>
      <c r="M144" s="512"/>
    </row>
    <row r="145" spans="1:13">
      <c r="A145" s="655">
        <v>24</v>
      </c>
      <c r="B145" s="1" t="s">
        <v>815</v>
      </c>
      <c r="C145" s="651"/>
      <c r="D145" s="663">
        <f>IF(I248&gt;0,(D144/(1-D144))*(1-I245/I248),0)</f>
        <v>0.30507154626542504</v>
      </c>
      <c r="E145" s="511"/>
      <c r="G145" s="572"/>
      <c r="H145" s="511"/>
      <c r="I145" s="534"/>
      <c r="J145" s="511"/>
      <c r="K145" s="573"/>
      <c r="L145" s="573"/>
      <c r="M145" s="512"/>
    </row>
    <row r="146" spans="1:13">
      <c r="A146" s="655"/>
      <c r="B146" s="2" t="s">
        <v>856</v>
      </c>
      <c r="C146" s="651"/>
      <c r="D146" s="651"/>
      <c r="E146" s="511"/>
      <c r="G146" s="572"/>
      <c r="H146" s="511"/>
      <c r="I146" s="534"/>
      <c r="J146" s="511"/>
      <c r="K146" s="573"/>
      <c r="L146" s="573"/>
      <c r="M146" s="512"/>
    </row>
    <row r="147" spans="1:13">
      <c r="A147" s="655"/>
      <c r="B147" s="2" t="s">
        <v>63</v>
      </c>
      <c r="C147" s="651"/>
      <c r="D147" s="651"/>
      <c r="E147" s="511"/>
      <c r="G147" s="572"/>
      <c r="H147" s="511"/>
      <c r="I147" s="534"/>
      <c r="J147" s="511"/>
      <c r="K147" s="573"/>
      <c r="L147" s="573"/>
      <c r="M147" s="512"/>
    </row>
    <row r="148" spans="1:13">
      <c r="A148" s="655">
        <v>25</v>
      </c>
      <c r="B148" s="668" t="s">
        <v>1043</v>
      </c>
      <c r="C148" s="651"/>
      <c r="D148" s="92">
        <f>IF(D144&gt;0,1/(1-D144),0)</f>
        <v>1.4063135038441579</v>
      </c>
      <c r="E148" s="511"/>
      <c r="G148" s="572"/>
      <c r="H148" s="511"/>
      <c r="I148" s="552"/>
      <c r="J148" s="511"/>
      <c r="K148" s="573"/>
      <c r="L148" s="574"/>
      <c r="M148" s="512"/>
    </row>
    <row r="149" spans="1:13">
      <c r="A149" s="655">
        <v>26</v>
      </c>
      <c r="B149" s="2" t="s">
        <v>248</v>
      </c>
      <c r="C149" s="651"/>
      <c r="D149" s="659">
        <v>-948000</v>
      </c>
      <c r="E149" s="511"/>
      <c r="G149" s="572"/>
      <c r="H149" s="511"/>
      <c r="I149" s="552"/>
      <c r="J149" s="511"/>
      <c r="K149" s="573"/>
      <c r="L149" s="511"/>
      <c r="M149" s="512"/>
    </row>
    <row r="150" spans="1:13">
      <c r="A150" s="655">
        <v>27</v>
      </c>
      <c r="B150" s="2" t="s">
        <v>757</v>
      </c>
      <c r="C150" s="651" t="s">
        <v>935</v>
      </c>
      <c r="D150" s="659">
        <f>88601*D144</f>
        <v>25598.689521</v>
      </c>
      <c r="E150" s="511"/>
      <c r="G150" s="572"/>
      <c r="H150" s="511"/>
      <c r="I150" s="552"/>
      <c r="J150" s="511"/>
      <c r="K150" s="573"/>
      <c r="L150" s="511"/>
      <c r="M150" s="512"/>
    </row>
    <row r="151" spans="1:13">
      <c r="A151" s="655">
        <v>28</v>
      </c>
      <c r="B151" s="2" t="s">
        <v>758</v>
      </c>
      <c r="C151" s="651" t="s">
        <v>936</v>
      </c>
      <c r="D151" s="649">
        <f>'Attach 15 - Excess_Def ADIT'!H92</f>
        <v>-731525.316613295</v>
      </c>
      <c r="E151" s="511"/>
      <c r="G151" s="572"/>
      <c r="H151" s="511"/>
      <c r="I151" s="552"/>
      <c r="J151" s="511"/>
      <c r="K151" s="573"/>
      <c r="L151" s="511"/>
      <c r="M151" s="512"/>
    </row>
    <row r="152" spans="1:13">
      <c r="A152" s="655">
        <v>29</v>
      </c>
      <c r="B152" s="668" t="s">
        <v>1044</v>
      </c>
      <c r="C152" s="664"/>
      <c r="D152" s="649">
        <f>D145*D158</f>
        <v>54818377.56780874</v>
      </c>
      <c r="E152" s="511"/>
      <c r="F152" s="511" t="s">
        <v>31</v>
      </c>
      <c r="G152" s="523"/>
      <c r="H152" s="511"/>
      <c r="I152" s="552">
        <f>D145*I158</f>
        <v>7344470.0938602695</v>
      </c>
      <c r="J152" s="511"/>
      <c r="K152" s="1077"/>
      <c r="L152" s="1078"/>
      <c r="M152" s="511"/>
    </row>
    <row r="153" spans="1:13">
      <c r="A153" s="655">
        <v>30</v>
      </c>
      <c r="B153" s="1" t="s">
        <v>1045</v>
      </c>
      <c r="C153" s="664"/>
      <c r="D153" s="648">
        <f>D148*D149</f>
        <v>-1333185.2016442616</v>
      </c>
      <c r="E153" s="575"/>
      <c r="F153" s="873" t="s">
        <v>52</v>
      </c>
      <c r="G153" s="576">
        <f>+G47</f>
        <v>0.16285060480207811</v>
      </c>
      <c r="H153" s="575"/>
      <c r="I153" s="563">
        <f>G153*D153</f>
        <v>-217110.01640094846</v>
      </c>
      <c r="J153" s="511"/>
      <c r="K153" s="570"/>
      <c r="L153" s="511"/>
      <c r="M153" s="511"/>
    </row>
    <row r="154" spans="1:13">
      <c r="A154" s="655">
        <v>31</v>
      </c>
      <c r="B154" s="1" t="s">
        <v>1046</v>
      </c>
      <c r="C154" s="664"/>
      <c r="D154" s="648">
        <f>D148*D150</f>
        <v>35999.782754096239</v>
      </c>
      <c r="E154" s="575"/>
      <c r="F154" s="575" t="s">
        <v>299</v>
      </c>
      <c r="G154" s="576">
        <v>1</v>
      </c>
      <c r="H154" s="575"/>
      <c r="I154" s="563">
        <f>G154*D154</f>
        <v>35999.782754096239</v>
      </c>
      <c r="J154" s="511"/>
      <c r="K154" s="570"/>
      <c r="L154" s="511"/>
      <c r="M154" s="511"/>
    </row>
    <row r="155" spans="1:13" ht="16.5" thickBot="1">
      <c r="A155" s="655">
        <v>32</v>
      </c>
      <c r="B155" s="1" t="s">
        <v>1047</v>
      </c>
      <c r="C155" s="664"/>
      <c r="D155" s="650">
        <f>D148*D151</f>
        <v>-1028753.9311571498</v>
      </c>
      <c r="E155" s="575"/>
      <c r="F155" s="575" t="s">
        <v>299</v>
      </c>
      <c r="G155" s="576">
        <f>G154</f>
        <v>1</v>
      </c>
      <c r="H155" s="575"/>
      <c r="I155" s="554">
        <f>D155*G155</f>
        <v>-1028753.9311571498</v>
      </c>
      <c r="J155" s="511"/>
      <c r="K155" s="570"/>
      <c r="L155" s="511"/>
      <c r="M155" s="511"/>
    </row>
    <row r="156" spans="1:13">
      <c r="A156" s="655">
        <v>33</v>
      </c>
      <c r="B156" s="668" t="s">
        <v>64</v>
      </c>
      <c r="C156" s="1" t="s">
        <v>1048</v>
      </c>
      <c r="D156" s="692">
        <f>+D152+D153+D154+D155</f>
        <v>52492438.21776142</v>
      </c>
      <c r="E156" s="511"/>
      <c r="F156" s="511" t="s">
        <v>3</v>
      </c>
      <c r="G156" s="523" t="s">
        <v>3</v>
      </c>
      <c r="H156" s="511"/>
      <c r="I156" s="693">
        <f>+I152+I153+I154+I155</f>
        <v>6134605.9290562682</v>
      </c>
      <c r="J156" s="511"/>
      <c r="K156" s="511"/>
      <c r="L156" s="511"/>
      <c r="M156" s="511"/>
    </row>
    <row r="157" spans="1:13">
      <c r="A157" s="655" t="s">
        <v>3</v>
      </c>
      <c r="B157" s="1"/>
      <c r="C157" s="669"/>
      <c r="D157" s="661"/>
      <c r="E157" s="511"/>
      <c r="F157" s="511"/>
      <c r="G157" s="523"/>
      <c r="H157" s="511"/>
      <c r="I157" s="552"/>
      <c r="J157" s="511"/>
      <c r="K157" s="511"/>
      <c r="L157" s="511"/>
      <c r="M157" s="511"/>
    </row>
    <row r="158" spans="1:13" ht="31.5">
      <c r="A158" s="655">
        <v>34</v>
      </c>
      <c r="B158" s="2" t="s">
        <v>65</v>
      </c>
      <c r="C158" s="872" t="s">
        <v>1247</v>
      </c>
      <c r="D158" s="661">
        <f>+$I248*D85</f>
        <v>179690234.10696733</v>
      </c>
      <c r="E158" s="511"/>
      <c r="F158" s="511" t="s">
        <v>31</v>
      </c>
      <c r="G158" s="572"/>
      <c r="H158" s="511"/>
      <c r="I158" s="552">
        <f>+$I248*I85</f>
        <v>24074582.450473018</v>
      </c>
      <c r="J158" s="511"/>
      <c r="L158" s="511"/>
      <c r="M158" s="512"/>
    </row>
    <row r="159" spans="1:13">
      <c r="A159" s="655"/>
      <c r="B159" s="670"/>
      <c r="C159" s="1"/>
      <c r="D159" s="661"/>
      <c r="E159" s="511"/>
      <c r="F159" s="511"/>
      <c r="G159" s="572"/>
      <c r="H159" s="511"/>
      <c r="I159" s="552"/>
      <c r="J159" s="511"/>
      <c r="K159" s="555"/>
      <c r="L159" s="511"/>
      <c r="M159" s="512"/>
    </row>
    <row r="160" spans="1:13">
      <c r="A160" s="655"/>
      <c r="B160" s="2"/>
      <c r="C160" s="1"/>
      <c r="D160" s="665"/>
      <c r="E160" s="511"/>
      <c r="F160" s="511"/>
      <c r="G160" s="572"/>
      <c r="H160" s="511"/>
      <c r="I160" s="563"/>
      <c r="J160" s="511"/>
      <c r="K160" s="555"/>
      <c r="L160" s="511"/>
      <c r="M160" s="512"/>
    </row>
    <row r="161" spans="1:14" s="1" customFormat="1">
      <c r="A161" s="655">
        <v>35</v>
      </c>
      <c r="B161" s="671" t="s">
        <v>435</v>
      </c>
      <c r="C161" s="668" t="s">
        <v>1246</v>
      </c>
      <c r="D161" s="666">
        <f>+D123+D130+D141+D156+D158</f>
        <v>355857663.00075066</v>
      </c>
      <c r="E161" s="651"/>
      <c r="F161" s="651"/>
      <c r="G161" s="651"/>
      <c r="H161" s="651"/>
      <c r="I161" s="666">
        <f>+I123+I130+I141+I156+I158</f>
        <v>66714222.130462594</v>
      </c>
      <c r="J161" s="2"/>
      <c r="K161" s="2"/>
      <c r="L161" s="2"/>
      <c r="M161" s="2"/>
    </row>
    <row r="162" spans="1:14" s="1" customFormat="1">
      <c r="A162" s="655"/>
      <c r="B162" s="668"/>
      <c r="C162" s="651"/>
      <c r="D162" s="651"/>
      <c r="E162" s="651"/>
      <c r="F162" s="651"/>
      <c r="G162" s="651"/>
      <c r="H162" s="651"/>
      <c r="I162" s="651"/>
      <c r="J162" s="2"/>
      <c r="K162" s="2"/>
      <c r="L162" s="2"/>
      <c r="M162" s="2"/>
    </row>
    <row r="163" spans="1:14">
      <c r="A163" s="512">
        <v>36</v>
      </c>
      <c r="B163" s="2" t="s">
        <v>745</v>
      </c>
      <c r="C163" s="2" t="s">
        <v>1100</v>
      </c>
      <c r="D163" s="529">
        <f>'Attach 2b - Incent ROE NITS'!AM31</f>
        <v>0</v>
      </c>
      <c r="E163" s="511"/>
      <c r="F163" s="651"/>
      <c r="G163" s="523"/>
      <c r="H163" s="511"/>
      <c r="I163" s="524">
        <f>D163</f>
        <v>0</v>
      </c>
      <c r="J163" s="506"/>
      <c r="K163" s="520"/>
      <c r="L163" s="506"/>
      <c r="N163" s="506"/>
    </row>
    <row r="164" spans="1:14">
      <c r="A164" s="512">
        <v>37</v>
      </c>
      <c r="B164" s="2" t="s">
        <v>746</v>
      </c>
      <c r="C164" s="2" t="s">
        <v>1101</v>
      </c>
      <c r="D164" s="529">
        <f>'Attachment 11 - TEC'!N79</f>
        <v>0</v>
      </c>
      <c r="E164" s="511"/>
      <c r="F164" s="651"/>
      <c r="G164" s="523"/>
      <c r="H164" s="511"/>
      <c r="I164" s="524">
        <f>D164</f>
        <v>0</v>
      </c>
      <c r="J164" s="506"/>
      <c r="K164" s="520"/>
      <c r="L164" s="506"/>
      <c r="N164" s="506"/>
    </row>
    <row r="165" spans="1:14" s="1" customFormat="1">
      <c r="A165" s="655"/>
      <c r="B165" s="668"/>
      <c r="C165" s="651"/>
      <c r="D165" s="651"/>
      <c r="E165" s="651"/>
      <c r="F165" s="651"/>
      <c r="G165" s="651"/>
      <c r="H165" s="651"/>
      <c r="I165" s="651"/>
      <c r="J165" s="2"/>
      <c r="K165" s="2"/>
      <c r="L165" s="2"/>
      <c r="M165" s="2"/>
    </row>
    <row r="166" spans="1:14" s="1" customFormat="1" ht="16.5" thickBot="1">
      <c r="A166" s="655"/>
      <c r="C166" s="651"/>
      <c r="J166" s="2"/>
      <c r="K166" s="2"/>
      <c r="L166" s="2"/>
      <c r="M166" s="2"/>
    </row>
    <row r="167" spans="1:14" s="786" customFormat="1" ht="16.5" thickBot="1">
      <c r="A167" s="655">
        <v>38</v>
      </c>
      <c r="B167" s="668" t="s">
        <v>549</v>
      </c>
      <c r="C167" s="668" t="s">
        <v>1050</v>
      </c>
      <c r="D167" s="667">
        <f>D161+D163+D164</f>
        <v>355857663.00075066</v>
      </c>
      <c r="E167" s="651"/>
      <c r="F167" s="651"/>
      <c r="G167" s="651"/>
      <c r="H167" s="651"/>
      <c r="I167" s="667">
        <f>I161+I163+I164</f>
        <v>66714222.130462594</v>
      </c>
      <c r="J167" s="785"/>
      <c r="K167" s="785"/>
      <c r="L167" s="785"/>
      <c r="M167" s="785"/>
    </row>
    <row r="168" spans="1:14" ht="16.5" thickTop="1">
      <c r="A168" s="655"/>
      <c r="B168" s="670"/>
      <c r="C168" s="651"/>
      <c r="D168" s="651"/>
      <c r="E168" s="511"/>
      <c r="F168" s="511"/>
      <c r="G168" s="511"/>
      <c r="H168" s="511"/>
      <c r="I168" s="511"/>
      <c r="J168" s="506"/>
      <c r="K168" s="506"/>
      <c r="L168" s="506"/>
      <c r="M168" s="506"/>
    </row>
    <row r="169" spans="1:14">
      <c r="A169" s="655"/>
      <c r="B169" s="668"/>
      <c r="C169" s="651"/>
      <c r="D169" s="651"/>
      <c r="E169" s="511"/>
      <c r="F169" s="511"/>
      <c r="G169" s="511"/>
      <c r="H169" s="511"/>
      <c r="I169" s="511"/>
      <c r="J169" s="506"/>
      <c r="K169" s="506"/>
      <c r="L169" s="506"/>
      <c r="M169" s="506"/>
    </row>
    <row r="170" spans="1:14">
      <c r="A170" s="655"/>
      <c r="B170" s="668"/>
      <c r="C170" s="651"/>
      <c r="D170" s="651"/>
      <c r="E170" s="511"/>
      <c r="F170" s="511"/>
      <c r="G170" s="511"/>
      <c r="H170" s="511"/>
      <c r="I170" s="511"/>
      <c r="J170" s="506"/>
      <c r="K170" s="506"/>
      <c r="L170" s="506"/>
      <c r="M170" s="506"/>
    </row>
    <row r="171" spans="1:14">
      <c r="A171" s="512"/>
      <c r="B171" s="561"/>
      <c r="C171" s="511"/>
      <c r="D171" s="511"/>
      <c r="E171" s="511"/>
      <c r="F171" s="511"/>
      <c r="G171" s="511"/>
      <c r="H171" s="511"/>
      <c r="I171" s="511"/>
      <c r="J171" s="506"/>
      <c r="K171" s="506"/>
      <c r="L171" s="506"/>
      <c r="M171" s="506"/>
    </row>
    <row r="172" spans="1:14">
      <c r="A172" s="512"/>
      <c r="B172" s="561"/>
      <c r="C172" s="511"/>
      <c r="D172" s="511"/>
      <c r="E172" s="511"/>
      <c r="F172" s="511"/>
      <c r="G172" s="511"/>
      <c r="H172" s="511"/>
      <c r="I172" s="511"/>
      <c r="J172" s="506"/>
      <c r="K172" s="506"/>
      <c r="L172" s="506"/>
      <c r="M172" s="506"/>
    </row>
    <row r="173" spans="1:14">
      <c r="A173" s="512"/>
      <c r="B173" s="561"/>
      <c r="C173" s="511"/>
      <c r="D173" s="511"/>
      <c r="E173" s="511"/>
      <c r="F173" s="511"/>
      <c r="G173" s="511"/>
      <c r="H173" s="511"/>
      <c r="I173" s="511"/>
      <c r="J173" s="506"/>
      <c r="K173" s="506"/>
      <c r="L173" s="506"/>
      <c r="M173" s="506"/>
    </row>
    <row r="174" spans="1:14">
      <c r="A174" s="512"/>
      <c r="B174" s="561"/>
      <c r="C174" s="511"/>
      <c r="D174" s="511"/>
      <c r="E174" s="511"/>
      <c r="F174" s="511"/>
      <c r="G174" s="511"/>
      <c r="H174" s="511"/>
      <c r="I174" s="511"/>
      <c r="J174" s="506"/>
      <c r="K174" s="506"/>
      <c r="L174" s="506"/>
      <c r="M174" s="506"/>
    </row>
    <row r="175" spans="1:14">
      <c r="A175" s="512"/>
      <c r="B175" s="561"/>
      <c r="C175" s="511"/>
      <c r="D175" s="511"/>
      <c r="E175" s="511"/>
      <c r="F175" s="511"/>
      <c r="G175" s="511"/>
      <c r="H175" s="511"/>
      <c r="I175" s="511"/>
      <c r="J175" s="506"/>
      <c r="K175" s="506"/>
      <c r="L175" s="506"/>
      <c r="M175" s="506"/>
    </row>
    <row r="176" spans="1:14">
      <c r="A176" s="512"/>
      <c r="B176" s="561"/>
      <c r="C176" s="511"/>
      <c r="D176" s="511"/>
      <c r="E176" s="511"/>
      <c r="F176" s="511"/>
      <c r="G176" s="511"/>
      <c r="H176" s="511"/>
      <c r="I176" s="511"/>
      <c r="J176" s="506"/>
      <c r="K176" s="506"/>
      <c r="L176" s="506"/>
      <c r="M176" s="506"/>
    </row>
    <row r="177" spans="1:13">
      <c r="A177" s="512"/>
      <c r="B177" s="561"/>
      <c r="C177" s="511"/>
      <c r="D177" s="511"/>
      <c r="E177" s="511"/>
      <c r="F177" s="511"/>
      <c r="G177" s="511"/>
      <c r="H177" s="511"/>
      <c r="I177" s="511"/>
      <c r="J177" s="506"/>
      <c r="K177" s="506"/>
      <c r="L177" s="506"/>
      <c r="M177" s="506"/>
    </row>
    <row r="178" spans="1:13">
      <c r="A178" s="567"/>
      <c r="B178" s="506"/>
      <c r="C178" s="511"/>
      <c r="D178" s="511"/>
      <c r="E178" s="511"/>
      <c r="F178" s="511"/>
      <c r="G178" s="555"/>
      <c r="H178" s="511"/>
      <c r="I178" s="511"/>
      <c r="J178" s="511"/>
      <c r="K178" s="549"/>
      <c r="L178" s="505"/>
    </row>
    <row r="179" spans="1:13">
      <c r="A179" s="567"/>
      <c r="B179" s="506"/>
      <c r="C179" s="511"/>
      <c r="D179" s="511"/>
      <c r="E179" s="511"/>
      <c r="F179" s="511"/>
      <c r="G179" s="555"/>
      <c r="H179" s="511"/>
      <c r="I179" s="511"/>
      <c r="J179" s="511"/>
      <c r="K179" s="549"/>
      <c r="L179" s="505"/>
    </row>
    <row r="180" spans="1:13">
      <c r="B180" s="506"/>
      <c r="C180" s="506"/>
      <c r="D180" s="507"/>
      <c r="E180" s="506"/>
      <c r="F180" s="506"/>
      <c r="G180" s="506"/>
      <c r="H180" s="506"/>
      <c r="I180" s="512"/>
      <c r="J180" s="512"/>
      <c r="K180" s="508"/>
      <c r="L180" s="506"/>
      <c r="M180" s="506"/>
    </row>
    <row r="181" spans="1:13">
      <c r="B181" s="506"/>
      <c r="C181" s="506"/>
      <c r="D181" s="507"/>
      <c r="E181" s="506"/>
      <c r="F181" s="506"/>
      <c r="G181" s="506"/>
      <c r="H181" s="506"/>
      <c r="I181" s="508"/>
      <c r="J181" s="508"/>
      <c r="K181" s="508"/>
      <c r="L181" s="506"/>
      <c r="M181" s="506"/>
    </row>
    <row r="182" spans="1:13" ht="16.5" customHeight="1">
      <c r="B182" s="506"/>
      <c r="C182" s="506"/>
      <c r="D182" s="507"/>
      <c r="E182" s="506"/>
      <c r="F182" s="506"/>
      <c r="G182" s="506"/>
      <c r="H182" s="506"/>
      <c r="I182" s="506"/>
      <c r="K182" s="508" t="str">
        <f>K104</f>
        <v>Attachment H -11A</v>
      </c>
      <c r="L182" s="506"/>
      <c r="M182" s="506"/>
    </row>
    <row r="183" spans="1:13" ht="16.5" customHeight="1">
      <c r="B183" s="506"/>
      <c r="C183" s="506"/>
      <c r="D183" s="507"/>
      <c r="E183" s="506"/>
      <c r="F183" s="506"/>
      <c r="G183" s="506"/>
      <c r="H183" s="506"/>
      <c r="I183" s="506"/>
      <c r="J183" s="506"/>
      <c r="K183" s="508" t="s">
        <v>130</v>
      </c>
      <c r="L183" s="506"/>
      <c r="M183" s="506"/>
    </row>
    <row r="184" spans="1:13" ht="16.5" customHeight="1">
      <c r="B184" s="506"/>
      <c r="C184" s="506"/>
      <c r="D184" s="507"/>
      <c r="E184" s="506"/>
      <c r="F184" s="506"/>
      <c r="G184" s="506"/>
      <c r="H184" s="506"/>
      <c r="I184" s="506"/>
      <c r="J184" s="506"/>
      <c r="K184" s="508"/>
      <c r="L184" s="506"/>
      <c r="M184" s="506"/>
    </row>
    <row r="185" spans="1:13">
      <c r="B185" s="506" t="s">
        <v>1</v>
      </c>
      <c r="C185" s="506"/>
      <c r="D185" s="507" t="s">
        <v>2</v>
      </c>
      <c r="E185" s="506"/>
      <c r="F185" s="506"/>
      <c r="G185" s="506"/>
      <c r="H185" s="506"/>
      <c r="I185" s="506"/>
      <c r="J185" s="506"/>
      <c r="K185" s="508" t="str">
        <f>K4</f>
        <v>For the 12 months ended 12/31/2022</v>
      </c>
      <c r="L185" s="506"/>
      <c r="M185" s="506"/>
    </row>
    <row r="186" spans="1:13">
      <c r="B186" s="506"/>
      <c r="C186" s="511" t="s">
        <v>3</v>
      </c>
      <c r="D186" s="511" t="s">
        <v>4</v>
      </c>
      <c r="E186" s="511"/>
      <c r="F186" s="511"/>
      <c r="G186" s="511"/>
      <c r="H186" s="506"/>
      <c r="I186" s="506"/>
      <c r="J186" s="506"/>
      <c r="K186" s="506"/>
      <c r="L186" s="506"/>
      <c r="M186" s="506"/>
    </row>
    <row r="187" spans="1:13" ht="9.75" customHeight="1">
      <c r="A187" s="512"/>
      <c r="J187" s="511"/>
      <c r="K187" s="511"/>
      <c r="L187" s="511"/>
      <c r="M187" s="511"/>
    </row>
    <row r="188" spans="1:13">
      <c r="A188" s="512"/>
      <c r="D188" s="505" t="str">
        <f>D7</f>
        <v>WEST PENN POWER</v>
      </c>
      <c r="J188" s="511"/>
      <c r="K188" s="511"/>
      <c r="L188" s="511"/>
      <c r="M188" s="511"/>
    </row>
    <row r="189" spans="1:13">
      <c r="A189" s="512"/>
      <c r="C189" s="550" t="s">
        <v>66</v>
      </c>
      <c r="E189" s="506"/>
      <c r="F189" s="506"/>
      <c r="G189" s="506"/>
      <c r="H189" s="506"/>
      <c r="I189" s="506"/>
      <c r="J189" s="511"/>
      <c r="K189" s="511"/>
      <c r="L189" s="506"/>
      <c r="M189" s="511"/>
    </row>
    <row r="190" spans="1:13">
      <c r="A190" s="512" t="s">
        <v>5</v>
      </c>
      <c r="B190" s="512" t="s">
        <v>18</v>
      </c>
      <c r="C190" s="512" t="s">
        <v>19</v>
      </c>
      <c r="D190" s="512" t="s">
        <v>20</v>
      </c>
      <c r="E190" s="515" t="s">
        <v>21</v>
      </c>
      <c r="F190" s="511"/>
      <c r="G190" s="515" t="s">
        <v>22</v>
      </c>
      <c r="H190" s="511"/>
      <c r="I190" s="515" t="s">
        <v>23</v>
      </c>
      <c r="J190" s="511"/>
      <c r="L190" s="506"/>
      <c r="M190" s="511"/>
    </row>
    <row r="191" spans="1:13" ht="16.5" thickBot="1">
      <c r="A191" s="516" t="s">
        <v>7</v>
      </c>
      <c r="B191" s="506" t="s">
        <v>67</v>
      </c>
      <c r="C191" s="506"/>
      <c r="D191" s="506"/>
      <c r="E191" s="506"/>
      <c r="F191" s="506"/>
      <c r="G191" s="506"/>
      <c r="J191" s="511"/>
      <c r="K191" s="511"/>
      <c r="L191" s="506"/>
      <c r="M191" s="511"/>
    </row>
    <row r="192" spans="1:13">
      <c r="A192" s="512">
        <v>1</v>
      </c>
      <c r="B192" s="506" t="s">
        <v>836</v>
      </c>
      <c r="C192" s="506"/>
      <c r="D192" s="511"/>
      <c r="E192" s="511"/>
      <c r="F192" s="511"/>
      <c r="G192" s="511"/>
      <c r="H192" s="511"/>
      <c r="I192" s="525">
        <f>D43</f>
        <v>571983242.21153951</v>
      </c>
      <c r="J192" s="511"/>
      <c r="K192" s="511"/>
      <c r="L192" s="506"/>
      <c r="M192" s="511"/>
    </row>
    <row r="193" spans="1:13">
      <c r="A193" s="512">
        <v>2</v>
      </c>
      <c r="B193" s="2" t="s">
        <v>1102</v>
      </c>
      <c r="I193" s="526"/>
      <c r="J193" s="511"/>
      <c r="K193" s="511"/>
      <c r="L193" s="511"/>
      <c r="M193" s="511"/>
    </row>
    <row r="194" spans="1:13" ht="16.5" thickBot="1">
      <c r="A194" s="512">
        <v>3</v>
      </c>
      <c r="B194" s="1016" t="s">
        <v>1103</v>
      </c>
      <c r="C194" s="577"/>
      <c r="D194" s="511"/>
      <c r="E194" s="511"/>
      <c r="F194" s="511"/>
      <c r="G194" s="565"/>
      <c r="H194" s="511"/>
      <c r="I194" s="578"/>
      <c r="J194" s="511"/>
      <c r="K194" s="511"/>
      <c r="L194" s="511"/>
      <c r="M194" s="511"/>
    </row>
    <row r="195" spans="1:13">
      <c r="A195" s="512">
        <v>4</v>
      </c>
      <c r="B195" s="506" t="s">
        <v>837</v>
      </c>
      <c r="C195" s="506"/>
      <c r="D195" s="511"/>
      <c r="E195" s="511"/>
      <c r="F195" s="511"/>
      <c r="G195" s="565"/>
      <c r="H195" s="511"/>
      <c r="I195" s="525">
        <f>I192-I193-I194</f>
        <v>571983242.21153951</v>
      </c>
      <c r="J195" s="511"/>
      <c r="K195" s="511"/>
      <c r="L195" s="506"/>
      <c r="M195" s="511"/>
    </row>
    <row r="196" spans="1:13">
      <c r="A196" s="512">
        <v>5</v>
      </c>
      <c r="B196" s="506" t="s">
        <v>838</v>
      </c>
      <c r="C196" s="513"/>
      <c r="D196" s="513"/>
      <c r="E196" s="513"/>
      <c r="F196" s="513"/>
      <c r="G196" s="515"/>
      <c r="H196" s="511" t="s">
        <v>68</v>
      </c>
      <c r="I196" s="579">
        <f>IF(I192&gt;0,I195/I192,0)</f>
        <v>1</v>
      </c>
      <c r="J196" s="511"/>
      <c r="K196" s="511"/>
      <c r="L196" s="506"/>
      <c r="M196" s="511"/>
    </row>
    <row r="197" spans="1:13" ht="9.75" customHeight="1">
      <c r="A197" s="512"/>
      <c r="B197" s="506"/>
      <c r="C197" s="513"/>
      <c r="D197" s="513"/>
      <c r="E197" s="513"/>
      <c r="F197" s="513"/>
      <c r="G197" s="515"/>
      <c r="H197" s="511"/>
      <c r="I197" s="579"/>
      <c r="J197" s="511"/>
      <c r="K197" s="511"/>
      <c r="L197" s="506"/>
      <c r="M197" s="511"/>
    </row>
    <row r="198" spans="1:13">
      <c r="A198" s="512"/>
      <c r="B198" s="506" t="s">
        <v>69</v>
      </c>
      <c r="J198" s="511"/>
      <c r="K198" s="511"/>
      <c r="L198" s="506"/>
      <c r="M198" s="511"/>
    </row>
    <row r="199" spans="1:13" ht="9.75" customHeight="1">
      <c r="A199" s="512"/>
      <c r="J199" s="511"/>
      <c r="K199" s="511"/>
      <c r="L199" s="506"/>
      <c r="M199" s="511"/>
    </row>
    <row r="200" spans="1:13" ht="15.6" customHeight="1">
      <c r="A200" s="512">
        <v>6</v>
      </c>
      <c r="B200" s="1" t="s">
        <v>1104</v>
      </c>
      <c r="D200" s="506"/>
      <c r="E200" s="506"/>
      <c r="F200" s="506"/>
      <c r="G200" s="512"/>
      <c r="H200" s="506"/>
      <c r="I200" s="525">
        <f>'Attachment 20 - O&amp;M and A&amp;G'!I32</f>
        <v>105532986</v>
      </c>
      <c r="J200" s="651"/>
      <c r="K200" s="511"/>
      <c r="L200" s="511"/>
      <c r="M200" s="511"/>
    </row>
    <row r="201" spans="1:13" ht="16.5" thickBot="1">
      <c r="A201" s="512">
        <v>7</v>
      </c>
      <c r="B201" s="1016" t="s">
        <v>1105</v>
      </c>
      <c r="C201" s="577"/>
      <c r="D201" s="511"/>
      <c r="E201" s="511"/>
      <c r="F201" s="511"/>
      <c r="G201" s="511"/>
      <c r="H201" s="511"/>
      <c r="I201" s="553">
        <f>'Attachment 20 - O&amp;M and A&amp;G'!I8+'Attachment 20 - O&amp;M and A&amp;G'!I9+'Attachment 20 - O&amp;M and A&amp;G'!I10</f>
        <v>831669</v>
      </c>
      <c r="J201" s="511"/>
      <c r="K201" s="511"/>
      <c r="L201" s="511"/>
      <c r="M201" s="511"/>
    </row>
    <row r="202" spans="1:13">
      <c r="A202" s="512">
        <v>8</v>
      </c>
      <c r="B202" s="506" t="s">
        <v>839</v>
      </c>
      <c r="C202" s="513"/>
      <c r="D202" s="513"/>
      <c r="E202" s="513"/>
      <c r="F202" s="513"/>
      <c r="G202" s="515"/>
      <c r="H202" s="513"/>
      <c r="I202" s="525">
        <f>SUM(I200-I201)</f>
        <v>104701317</v>
      </c>
      <c r="L202" s="511"/>
      <c r="M202" s="511"/>
    </row>
    <row r="203" spans="1:13" ht="15.6" customHeight="1">
      <c r="A203" s="512">
        <v>9</v>
      </c>
      <c r="B203" s="506" t="s">
        <v>840</v>
      </c>
      <c r="C203" s="506"/>
      <c r="D203" s="678"/>
      <c r="E203" s="511"/>
      <c r="F203" s="511"/>
      <c r="G203" s="511"/>
      <c r="H203" s="511"/>
      <c r="I203" s="551">
        <f>IF(I200&gt;0,I202/I200,0)</f>
        <v>0.99211934550965897</v>
      </c>
      <c r="L203" s="511"/>
      <c r="M203" s="511"/>
    </row>
    <row r="204" spans="1:13" ht="15" customHeight="1">
      <c r="A204" s="512">
        <v>10</v>
      </c>
      <c r="B204" s="506" t="s">
        <v>841</v>
      </c>
      <c r="C204" s="506"/>
      <c r="D204" s="679"/>
      <c r="E204" s="511"/>
      <c r="F204" s="511"/>
      <c r="G204" s="511"/>
      <c r="H204" s="506" t="s">
        <v>12</v>
      </c>
      <c r="I204" s="551">
        <f>I196</f>
        <v>1</v>
      </c>
      <c r="L204" s="511"/>
      <c r="M204" s="511"/>
    </row>
    <row r="205" spans="1:13">
      <c r="A205" s="512">
        <v>11</v>
      </c>
      <c r="B205" s="506" t="s">
        <v>842</v>
      </c>
      <c r="C205" s="506"/>
      <c r="D205" s="679"/>
      <c r="E205" s="506"/>
      <c r="F205" s="506"/>
      <c r="G205" s="506"/>
      <c r="H205" s="506" t="s">
        <v>70</v>
      </c>
      <c r="I205" s="523">
        <f>+I204*I203</f>
        <v>0.99211934550965897</v>
      </c>
      <c r="L205" s="511"/>
      <c r="M205" s="511"/>
    </row>
    <row r="206" spans="1:13" ht="9.75" customHeight="1">
      <c r="A206" s="512"/>
      <c r="C206" s="506"/>
      <c r="D206" s="679"/>
      <c r="E206" s="511"/>
      <c r="F206" s="511"/>
      <c r="G206" s="565"/>
      <c r="H206" s="511"/>
      <c r="L206" s="511"/>
      <c r="M206" s="511"/>
    </row>
    <row r="207" spans="1:13">
      <c r="A207" s="512" t="s">
        <v>3</v>
      </c>
      <c r="B207" s="506" t="s">
        <v>71</v>
      </c>
      <c r="C207" s="511"/>
      <c r="D207" s="511"/>
      <c r="E207" s="511"/>
      <c r="F207" s="511"/>
      <c r="G207" s="511"/>
      <c r="H207" s="511"/>
      <c r="I207" s="511"/>
      <c r="J207" s="511"/>
      <c r="K207" s="511"/>
      <c r="L207" s="511"/>
      <c r="M207" s="511"/>
    </row>
    <row r="208" spans="1:13" ht="16.5" thickBot="1">
      <c r="A208" s="512" t="s">
        <v>3</v>
      </c>
      <c r="B208" s="506"/>
      <c r="C208" s="580" t="s">
        <v>72</v>
      </c>
      <c r="D208" s="533" t="s">
        <v>73</v>
      </c>
      <c r="E208" s="533" t="s">
        <v>12</v>
      </c>
      <c r="F208" s="651" t="s">
        <v>1106</v>
      </c>
      <c r="G208" s="533" t="s">
        <v>74</v>
      </c>
      <c r="H208" s="511"/>
      <c r="I208" s="511"/>
      <c r="J208" s="511"/>
      <c r="K208" s="511"/>
      <c r="L208" s="511"/>
      <c r="M208" s="511"/>
    </row>
    <row r="209" spans="1:18">
      <c r="A209" s="512">
        <v>12</v>
      </c>
      <c r="B209" s="506" t="s">
        <v>30</v>
      </c>
      <c r="C209" s="511" t="s">
        <v>126</v>
      </c>
      <c r="D209" s="526"/>
      <c r="E209" s="581">
        <v>0</v>
      </c>
      <c r="F209" s="581"/>
      <c r="G209" s="552">
        <f>D209*E209</f>
        <v>0</v>
      </c>
      <c r="H209" s="511"/>
      <c r="I209" s="511"/>
      <c r="J209" s="511"/>
      <c r="K209" s="511"/>
      <c r="L209" s="511"/>
      <c r="M209" s="511"/>
    </row>
    <row r="210" spans="1:18">
      <c r="A210" s="512">
        <v>13</v>
      </c>
      <c r="B210" s="506" t="s">
        <v>32</v>
      </c>
      <c r="C210" s="511" t="s">
        <v>127</v>
      </c>
      <c r="D210" s="526">
        <v>2978438</v>
      </c>
      <c r="E210" s="581">
        <f>+I196</f>
        <v>1</v>
      </c>
      <c r="F210" s="891"/>
      <c r="G210" s="552">
        <f>D210*E210</f>
        <v>2978438</v>
      </c>
      <c r="H210" s="511"/>
      <c r="I210" s="1017" t="s">
        <v>1107</v>
      </c>
      <c r="J210" s="511"/>
      <c r="K210" s="511"/>
      <c r="L210" s="511"/>
      <c r="M210" s="511"/>
    </row>
    <row r="211" spans="1:18">
      <c r="A211" s="512">
        <v>14</v>
      </c>
      <c r="B211" s="506" t="s">
        <v>33</v>
      </c>
      <c r="C211" s="511" t="s">
        <v>128</v>
      </c>
      <c r="D211" s="526">
        <v>27734794</v>
      </c>
      <c r="E211" s="581">
        <v>0</v>
      </c>
      <c r="F211" s="581"/>
      <c r="G211" s="552">
        <f>D211*E211</f>
        <v>0</v>
      </c>
      <c r="H211" s="511"/>
      <c r="I211" s="565" t="s">
        <v>75</v>
      </c>
      <c r="J211" s="511"/>
      <c r="K211" s="511"/>
      <c r="L211" s="511"/>
      <c r="M211" s="511"/>
    </row>
    <row r="212" spans="1:18" ht="16.5" thickBot="1">
      <c r="A212" s="512">
        <v>15</v>
      </c>
      <c r="B212" s="506" t="s">
        <v>76</v>
      </c>
      <c r="C212" s="651" t="s">
        <v>629</v>
      </c>
      <c r="D212" s="578">
        <f>986084+213096</f>
        <v>1199180</v>
      </c>
      <c r="E212" s="581">
        <v>0</v>
      </c>
      <c r="F212" s="581"/>
      <c r="G212" s="554">
        <f>D212*E212</f>
        <v>0</v>
      </c>
      <c r="H212" s="511"/>
      <c r="I212" s="516" t="s">
        <v>77</v>
      </c>
      <c r="J212" s="511"/>
      <c r="K212" s="511"/>
      <c r="L212" s="511"/>
      <c r="M212" s="511"/>
    </row>
    <row r="213" spans="1:18">
      <c r="A213" s="512">
        <v>16</v>
      </c>
      <c r="B213" s="506" t="s">
        <v>843</v>
      </c>
      <c r="C213" s="511"/>
      <c r="D213" s="525">
        <f>SUM(D209:D212)</f>
        <v>31912412</v>
      </c>
      <c r="E213" s="511"/>
      <c r="F213" s="511"/>
      <c r="G213" s="552">
        <f>SUM(G209:G212)</f>
        <v>2978438</v>
      </c>
      <c r="H213" s="512" t="s">
        <v>78</v>
      </c>
      <c r="I213" s="551">
        <f>IF(G213&gt;0,G213/D213,1)</f>
        <v>9.333164788672195E-2</v>
      </c>
      <c r="J213" s="582" t="s">
        <v>132</v>
      </c>
      <c r="K213" s="511"/>
      <c r="L213" s="511"/>
      <c r="M213" s="511"/>
    </row>
    <row r="214" spans="1:18" ht="24" customHeight="1">
      <c r="A214" s="512"/>
      <c r="B214" s="506"/>
      <c r="C214" s="511"/>
      <c r="D214" s="511"/>
      <c r="E214" s="511"/>
      <c r="F214" s="511"/>
      <c r="G214" s="511"/>
      <c r="H214" s="511"/>
      <c r="I214" s="511"/>
      <c r="J214" s="511"/>
      <c r="K214" s="511"/>
      <c r="L214" s="511"/>
      <c r="M214" s="511"/>
    </row>
    <row r="215" spans="1:18">
      <c r="A215" s="512"/>
      <c r="B215" s="2" t="s">
        <v>1108</v>
      </c>
      <c r="C215" s="511"/>
      <c r="D215" s="511"/>
      <c r="E215" s="511"/>
      <c r="F215" s="511"/>
      <c r="G215" s="511"/>
      <c r="H215" s="511"/>
      <c r="I215" s="511"/>
      <c r="J215" s="511"/>
      <c r="K215" s="511"/>
      <c r="L215" s="511"/>
      <c r="M215" s="511"/>
    </row>
    <row r="216" spans="1:18">
      <c r="A216" s="512"/>
      <c r="B216" s="506"/>
      <c r="C216" s="511"/>
      <c r="D216" s="583" t="s">
        <v>73</v>
      </c>
      <c r="E216" s="511"/>
      <c r="F216" s="511"/>
      <c r="G216" s="565" t="s">
        <v>79</v>
      </c>
      <c r="H216" s="572" t="s">
        <v>3</v>
      </c>
      <c r="I216" s="555" t="str">
        <f>+I211</f>
        <v>W&amp;S Allocator</v>
      </c>
      <c r="L216" s="511"/>
      <c r="M216" s="511"/>
    </row>
    <row r="217" spans="1:18">
      <c r="A217" s="512">
        <v>17</v>
      </c>
      <c r="B217" s="506" t="s">
        <v>80</v>
      </c>
      <c r="C217" s="511" t="s">
        <v>81</v>
      </c>
      <c r="D217" s="584"/>
      <c r="E217" s="511"/>
      <c r="G217" s="512" t="s">
        <v>844</v>
      </c>
      <c r="H217" s="572"/>
      <c r="I217" s="512" t="s">
        <v>845</v>
      </c>
      <c r="J217" s="511"/>
      <c r="K217" s="512" t="s">
        <v>37</v>
      </c>
      <c r="L217" s="511"/>
      <c r="M217" s="511"/>
    </row>
    <row r="218" spans="1:18">
      <c r="A218" s="512">
        <v>18</v>
      </c>
      <c r="B218" s="506" t="s">
        <v>82</v>
      </c>
      <c r="C218" s="511" t="s">
        <v>83</v>
      </c>
      <c r="D218" s="584"/>
      <c r="E218" s="511"/>
      <c r="G218" s="523">
        <f>IF(D220&gt;0,D217/D220,1)</f>
        <v>1</v>
      </c>
      <c r="H218" s="565" t="s">
        <v>84</v>
      </c>
      <c r="I218" s="523">
        <f>I213</f>
        <v>9.333164788672195E-2</v>
      </c>
      <c r="J218" s="572" t="s">
        <v>78</v>
      </c>
      <c r="K218" s="523">
        <f>G218*I218</f>
        <v>9.333164788672195E-2</v>
      </c>
      <c r="L218" s="511"/>
      <c r="M218" s="585"/>
      <c r="N218" s="585"/>
      <c r="O218" s="586"/>
      <c r="P218" s="587"/>
      <c r="Q218" s="587"/>
      <c r="R218" s="587"/>
    </row>
    <row r="219" spans="1:18" ht="16.5" thickBot="1">
      <c r="A219" s="512">
        <v>19</v>
      </c>
      <c r="B219" s="577" t="s">
        <v>85</v>
      </c>
      <c r="C219" s="580" t="s">
        <v>86</v>
      </c>
      <c r="D219" s="588"/>
      <c r="E219" s="511"/>
      <c r="F219" s="511"/>
      <c r="G219" s="511" t="s">
        <v>3</v>
      </c>
      <c r="H219" s="511"/>
      <c r="I219" s="511"/>
      <c r="J219" s="511"/>
      <c r="K219" s="511"/>
      <c r="L219" s="511"/>
      <c r="M219" s="589"/>
      <c r="N219" s="589"/>
      <c r="O219" s="587"/>
      <c r="P219" s="587"/>
      <c r="Q219" s="587"/>
      <c r="R219" s="587"/>
    </row>
    <row r="220" spans="1:18">
      <c r="A220" s="512">
        <v>20</v>
      </c>
      <c r="B220" s="506" t="s">
        <v>846</v>
      </c>
      <c r="C220" s="511"/>
      <c r="D220" s="541">
        <f>SUM(D217:D219)</f>
        <v>0</v>
      </c>
      <c r="E220" s="511"/>
      <c r="F220" s="511"/>
      <c r="G220" s="511"/>
      <c r="H220" s="511"/>
      <c r="I220" s="511"/>
      <c r="J220" s="511"/>
      <c r="K220" s="511"/>
      <c r="L220" s="511"/>
      <c r="N220" s="590"/>
      <c r="O220" s="591"/>
      <c r="P220" s="592"/>
      <c r="Q220" s="590"/>
      <c r="R220" s="590"/>
    </row>
    <row r="221" spans="1:18">
      <c r="A221" s="512"/>
      <c r="B221" s="506"/>
      <c r="C221" s="511"/>
      <c r="D221" s="541"/>
      <c r="E221" s="511"/>
      <c r="F221" s="511"/>
      <c r="G221" s="511"/>
      <c r="H221" s="511"/>
      <c r="I221" s="511"/>
      <c r="J221" s="511"/>
      <c r="K221" s="511"/>
      <c r="L221" s="511"/>
      <c r="N221" s="590"/>
      <c r="O221" s="591"/>
      <c r="P221" s="592"/>
      <c r="Q221" s="590"/>
      <c r="R221" s="590"/>
    </row>
    <row r="222" spans="1:18">
      <c r="A222" s="512"/>
      <c r="B222" s="2" t="s">
        <v>766</v>
      </c>
      <c r="C222" s="511"/>
      <c r="E222" s="511"/>
      <c r="F222" s="511"/>
      <c r="G222" s="511"/>
      <c r="H222" s="511"/>
      <c r="I222" s="511"/>
      <c r="J222" s="511"/>
      <c r="K222" s="511"/>
      <c r="L222" s="511"/>
      <c r="M222" s="1088"/>
      <c r="N222" s="1088"/>
      <c r="O222" s="1088"/>
      <c r="P222" s="1088"/>
      <c r="Q222" s="1088"/>
      <c r="R222" s="1088"/>
    </row>
    <row r="223" spans="1:18">
      <c r="A223" s="512"/>
      <c r="B223" s="2"/>
      <c r="C223" s="511"/>
      <c r="E223" s="511"/>
      <c r="F223" s="511"/>
      <c r="G223" s="511"/>
      <c r="H223" s="511"/>
      <c r="I223" s="511"/>
      <c r="J223" s="511"/>
      <c r="K223" s="511"/>
      <c r="L223" s="511"/>
      <c r="M223" s="787"/>
      <c r="N223" s="787"/>
      <c r="O223" s="787"/>
      <c r="P223" s="787"/>
      <c r="Q223" s="787"/>
      <c r="R223" s="787"/>
    </row>
    <row r="224" spans="1:18">
      <c r="A224" s="512">
        <v>21</v>
      </c>
      <c r="B224" s="2" t="s">
        <v>787</v>
      </c>
      <c r="C224" s="511"/>
      <c r="E224" s="511"/>
      <c r="F224" s="511"/>
      <c r="G224" s="511"/>
      <c r="H224" s="511"/>
      <c r="I224" s="511"/>
      <c r="J224" s="511"/>
      <c r="K224" s="511"/>
      <c r="L224" s="511"/>
      <c r="M224" s="787"/>
      <c r="N224" s="787"/>
      <c r="O224" s="787"/>
      <c r="P224" s="787"/>
      <c r="Q224" s="787"/>
      <c r="R224" s="787"/>
    </row>
    <row r="225" spans="1:18">
      <c r="A225" s="512">
        <v>22</v>
      </c>
      <c r="B225" s="2" t="s">
        <v>152</v>
      </c>
      <c r="C225" s="2" t="s">
        <v>1051</v>
      </c>
      <c r="E225" s="511"/>
      <c r="F225" s="511"/>
      <c r="G225" s="511"/>
      <c r="H225" s="511"/>
      <c r="I225" s="511">
        <f>IF(I156=0, 0, I156/I59)</f>
        <v>1.6629975157586439E-2</v>
      </c>
      <c r="J225" s="511"/>
      <c r="K225" s="511"/>
      <c r="L225" s="511"/>
      <c r="M225" s="787"/>
      <c r="N225" s="787"/>
      <c r="O225" s="787"/>
      <c r="P225" s="787"/>
      <c r="Q225" s="787"/>
      <c r="R225" s="787"/>
    </row>
    <row r="226" spans="1:18">
      <c r="A226" s="512">
        <v>23</v>
      </c>
      <c r="B226" s="2" t="s">
        <v>156</v>
      </c>
      <c r="C226" s="2" t="s">
        <v>1052</v>
      </c>
      <c r="E226" s="511"/>
      <c r="F226" s="511"/>
      <c r="G226" s="511"/>
      <c r="H226" s="511"/>
      <c r="I226" s="511">
        <f>IF(I158=0, 0, I158/I59)</f>
        <v>6.5262498147492742E-2</v>
      </c>
      <c r="J226" s="511"/>
      <c r="K226" s="511"/>
      <c r="L226" s="511"/>
      <c r="M226" s="787"/>
      <c r="N226" s="787"/>
      <c r="O226" s="787"/>
      <c r="P226" s="787"/>
      <c r="Q226" s="787"/>
      <c r="R226" s="787"/>
    </row>
    <row r="227" spans="1:18">
      <c r="A227" s="512">
        <v>24</v>
      </c>
      <c r="B227" s="2" t="s">
        <v>827</v>
      </c>
      <c r="C227" s="2" t="s">
        <v>857</v>
      </c>
      <c r="E227" s="511"/>
      <c r="F227" s="511"/>
      <c r="G227" s="511"/>
      <c r="H227" s="511"/>
      <c r="I227" s="511">
        <f>SUM(I225:I226)</f>
        <v>8.1892473305079178E-2</v>
      </c>
      <c r="J227" s="511"/>
      <c r="K227" s="511"/>
      <c r="L227" s="511"/>
      <c r="M227" s="787"/>
      <c r="N227" s="787"/>
      <c r="O227" s="787"/>
      <c r="P227" s="787"/>
      <c r="Q227" s="787"/>
      <c r="R227" s="787"/>
    </row>
    <row r="228" spans="1:18">
      <c r="A228" s="512"/>
      <c r="B228" s="2"/>
      <c r="C228" s="506"/>
      <c r="E228" s="511"/>
      <c r="F228" s="511"/>
      <c r="G228" s="511"/>
      <c r="H228" s="511"/>
      <c r="I228" s="511"/>
      <c r="J228" s="511"/>
      <c r="K228" s="511"/>
      <c r="L228" s="511"/>
      <c r="M228" s="787"/>
      <c r="N228" s="787"/>
      <c r="O228" s="787"/>
      <c r="P228" s="787"/>
      <c r="Q228" s="787"/>
      <c r="R228" s="787"/>
    </row>
    <row r="229" spans="1:18">
      <c r="A229" s="512">
        <v>25</v>
      </c>
      <c r="B229" s="2" t="s">
        <v>850</v>
      </c>
      <c r="C229" s="506"/>
      <c r="E229" s="511"/>
      <c r="F229" s="511"/>
      <c r="G229" s="511"/>
      <c r="H229" s="511"/>
      <c r="I229" s="511"/>
      <c r="J229" s="511"/>
      <c r="K229" s="511"/>
      <c r="L229" s="511"/>
      <c r="M229" s="787"/>
      <c r="N229" s="787"/>
      <c r="O229" s="787"/>
      <c r="P229" s="787"/>
      <c r="Q229" s="787"/>
      <c r="R229" s="787"/>
    </row>
    <row r="230" spans="1:18">
      <c r="A230" s="512">
        <v>26</v>
      </c>
      <c r="B230" s="2" t="s">
        <v>152</v>
      </c>
      <c r="C230" s="2" t="s">
        <v>752</v>
      </c>
      <c r="E230" s="511"/>
      <c r="F230" s="511"/>
      <c r="G230" s="511"/>
      <c r="H230" s="511"/>
      <c r="I230" s="511">
        <f>'Attach 2a - Scaled ROE Adder'!I57/I59</f>
        <v>1.8535212595194094E-2</v>
      </c>
      <c r="J230" s="511"/>
      <c r="K230" s="511"/>
      <c r="L230" s="511"/>
      <c r="M230" s="787"/>
      <c r="N230" s="787"/>
      <c r="O230" s="787"/>
      <c r="P230" s="787"/>
      <c r="Q230" s="787"/>
      <c r="R230" s="787"/>
    </row>
    <row r="231" spans="1:18">
      <c r="A231" s="512">
        <v>27</v>
      </c>
      <c r="B231" s="2" t="s">
        <v>156</v>
      </c>
      <c r="C231" s="2" t="s">
        <v>753</v>
      </c>
      <c r="E231" s="511"/>
      <c r="F231" s="511"/>
      <c r="G231" s="506"/>
      <c r="H231" s="511"/>
      <c r="I231" s="506">
        <f>'Attach 2a - Scaled ROE Adder'!I40/I59</f>
        <v>6.9951580394531268E-2</v>
      </c>
      <c r="J231" s="511"/>
      <c r="K231" s="511"/>
      <c r="L231" s="511"/>
      <c r="M231" s="787"/>
      <c r="N231" s="787"/>
      <c r="O231" s="787"/>
      <c r="P231" s="787"/>
      <c r="Q231" s="787"/>
      <c r="R231" s="787"/>
    </row>
    <row r="232" spans="1:18">
      <c r="A232" s="512">
        <v>28</v>
      </c>
      <c r="B232" s="2" t="s">
        <v>851</v>
      </c>
      <c r="C232" s="2" t="s">
        <v>858</v>
      </c>
      <c r="E232" s="511"/>
      <c r="F232" s="511"/>
      <c r="G232" s="511"/>
      <c r="H232" s="511"/>
      <c r="I232" s="511">
        <f>SUM(I230:I231)</f>
        <v>8.8486792989725366E-2</v>
      </c>
      <c r="J232" s="511"/>
      <c r="K232" s="511"/>
      <c r="L232" s="511"/>
      <c r="M232" s="787"/>
      <c r="N232" s="787"/>
      <c r="O232" s="787"/>
      <c r="P232" s="787"/>
      <c r="Q232" s="787"/>
      <c r="R232" s="787"/>
    </row>
    <row r="233" spans="1:18">
      <c r="A233" s="512"/>
      <c r="B233" s="2"/>
      <c r="C233" s="506"/>
      <c r="E233" s="511"/>
      <c r="F233" s="511"/>
      <c r="G233" s="511"/>
      <c r="H233" s="511"/>
      <c r="I233" s="511"/>
      <c r="J233" s="511"/>
      <c r="K233" s="511"/>
      <c r="L233" s="511"/>
      <c r="M233" s="787"/>
      <c r="N233" s="787"/>
      <c r="O233" s="787"/>
      <c r="P233" s="787"/>
      <c r="Q233" s="787"/>
      <c r="R233" s="787"/>
    </row>
    <row r="234" spans="1:18">
      <c r="A234" s="512">
        <v>29</v>
      </c>
      <c r="B234" s="2" t="s">
        <v>743</v>
      </c>
      <c r="C234" s="2" t="s">
        <v>859</v>
      </c>
      <c r="E234" s="511"/>
      <c r="F234" s="511"/>
      <c r="G234" s="511"/>
      <c r="H234" s="511"/>
      <c r="I234" s="511">
        <f>I232-I227</f>
        <v>6.5943196846461882E-3</v>
      </c>
      <c r="J234" s="511"/>
      <c r="K234" s="511"/>
      <c r="L234" s="511"/>
      <c r="M234" s="787"/>
      <c r="N234" s="787"/>
      <c r="O234" s="787"/>
      <c r="P234" s="787"/>
      <c r="Q234" s="787"/>
      <c r="R234" s="787"/>
    </row>
    <row r="235" spans="1:18">
      <c r="A235" s="512"/>
      <c r="B235" s="2"/>
      <c r="C235" s="511"/>
      <c r="E235" s="511"/>
      <c r="F235" s="511"/>
      <c r="G235" s="511"/>
      <c r="H235" s="511"/>
      <c r="I235" s="511"/>
      <c r="J235" s="511"/>
      <c r="K235" s="511"/>
      <c r="L235" s="511"/>
      <c r="M235" s="787"/>
      <c r="N235" s="787"/>
      <c r="O235" s="787"/>
      <c r="P235" s="787"/>
      <c r="Q235" s="787"/>
      <c r="R235" s="787"/>
    </row>
    <row r="236" spans="1:18">
      <c r="A236" s="512"/>
      <c r="B236" s="2"/>
      <c r="C236" s="511"/>
      <c r="E236" s="511"/>
      <c r="F236" s="511"/>
      <c r="G236" s="511"/>
      <c r="H236" s="511"/>
      <c r="I236" s="511"/>
      <c r="J236" s="511"/>
      <c r="K236" s="511"/>
      <c r="L236" s="511"/>
      <c r="M236" s="787"/>
      <c r="N236" s="787"/>
      <c r="O236" s="787"/>
      <c r="P236" s="787"/>
      <c r="Q236" s="787"/>
      <c r="R236" s="787"/>
    </row>
    <row r="237" spans="1:18">
      <c r="A237" s="655" t="s">
        <v>3</v>
      </c>
      <c r="B237" s="506"/>
      <c r="C237" s="511"/>
      <c r="E237" s="511"/>
      <c r="F237" s="511"/>
      <c r="G237" s="511"/>
      <c r="H237" s="511"/>
      <c r="I237" s="511"/>
      <c r="J237" s="511"/>
      <c r="K237" s="511"/>
      <c r="L237" s="511"/>
      <c r="M237" s="787"/>
      <c r="N237" s="787"/>
      <c r="O237" s="787"/>
      <c r="P237" s="787"/>
      <c r="Q237" s="787"/>
      <c r="R237" s="787"/>
    </row>
    <row r="238" spans="1:18" ht="16.5" thickBot="1">
      <c r="A238" s="512"/>
      <c r="B238" s="506" t="s">
        <v>87</v>
      </c>
      <c r="C238" s="511"/>
      <c r="D238" s="511"/>
      <c r="E238" s="511"/>
      <c r="F238" s="511"/>
      <c r="G238" s="511"/>
      <c r="H238" s="511"/>
      <c r="I238" s="533" t="s">
        <v>73</v>
      </c>
      <c r="J238" s="511"/>
      <c r="K238" s="511"/>
      <c r="L238" s="511"/>
      <c r="M238" s="590"/>
      <c r="N238" s="590"/>
      <c r="O238" s="591"/>
      <c r="P238" s="592"/>
      <c r="Q238" s="590"/>
      <c r="R238" s="590"/>
    </row>
    <row r="239" spans="1:18">
      <c r="A239" s="512"/>
      <c r="B239" s="506"/>
      <c r="C239" s="511"/>
      <c r="D239" s="511"/>
      <c r="E239" s="511"/>
      <c r="F239" s="511"/>
      <c r="G239" s="511"/>
      <c r="H239" s="511"/>
      <c r="I239" s="525"/>
      <c r="J239" s="511"/>
      <c r="K239" s="511"/>
      <c r="L239" s="511"/>
      <c r="M239" s="591"/>
      <c r="N239" s="591"/>
      <c r="O239" s="591"/>
      <c r="P239" s="592"/>
      <c r="Q239" s="590"/>
      <c r="R239" s="590"/>
    </row>
    <row r="240" spans="1:18">
      <c r="A240" s="512">
        <v>30</v>
      </c>
      <c r="B240" s="511" t="s">
        <v>133</v>
      </c>
      <c r="D240" s="511"/>
      <c r="E240" s="511"/>
      <c r="F240" s="511"/>
      <c r="G240" s="511"/>
      <c r="H240" s="511"/>
      <c r="I240" s="525">
        <v>0</v>
      </c>
      <c r="J240" s="511"/>
      <c r="K240" s="511"/>
      <c r="L240" s="511"/>
      <c r="M240" s="591"/>
      <c r="N240" s="590"/>
      <c r="O240" s="593"/>
      <c r="P240" s="593"/>
      <c r="Q240" s="590"/>
      <c r="R240" s="590"/>
    </row>
    <row r="241" spans="1:18">
      <c r="A241" s="512"/>
      <c r="B241" s="506"/>
      <c r="C241" s="511"/>
      <c r="D241" s="511"/>
      <c r="E241" s="511"/>
      <c r="F241" s="511"/>
      <c r="G241" s="511"/>
      <c r="H241" s="511"/>
      <c r="I241" s="552"/>
      <c r="J241" s="511"/>
      <c r="K241" s="511"/>
      <c r="L241" s="511"/>
      <c r="M241" s="591"/>
      <c r="N241" s="590"/>
      <c r="O241" s="590"/>
      <c r="P241" s="590"/>
      <c r="Q241" s="590"/>
      <c r="R241" s="590"/>
    </row>
    <row r="242" spans="1:18">
      <c r="A242" s="512"/>
      <c r="B242" s="506"/>
      <c r="C242" s="511"/>
      <c r="D242" s="506"/>
      <c r="E242" s="506"/>
      <c r="F242" s="506"/>
      <c r="G242" s="506"/>
      <c r="H242" s="506"/>
      <c r="I242" s="562"/>
      <c r="J242" s="511"/>
      <c r="K242" s="511"/>
      <c r="L242" s="511"/>
      <c r="M242" s="591"/>
      <c r="N242" s="590"/>
      <c r="O242" s="591"/>
      <c r="P242" s="592"/>
      <c r="Q242" s="590"/>
      <c r="R242" s="590"/>
    </row>
    <row r="243" spans="1:18">
      <c r="A243" s="512"/>
      <c r="B243" s="506"/>
      <c r="C243" s="511"/>
      <c r="D243" s="511"/>
      <c r="E243" s="565"/>
      <c r="F243" s="511"/>
      <c r="G243" s="565" t="s">
        <v>89</v>
      </c>
      <c r="H243" s="511"/>
      <c r="I243" s="511"/>
      <c r="J243" s="511"/>
      <c r="K243" s="511"/>
      <c r="L243" s="511"/>
      <c r="M243" s="591"/>
      <c r="N243" s="590"/>
      <c r="O243" s="591"/>
      <c r="P243" s="592"/>
      <c r="Q243" s="590"/>
      <c r="R243" s="590"/>
    </row>
    <row r="244" spans="1:18" ht="16.5" thickBot="1">
      <c r="A244" s="512"/>
      <c r="B244" s="506"/>
      <c r="C244" s="511"/>
      <c r="D244" s="516" t="s">
        <v>73</v>
      </c>
      <c r="E244" s="516" t="s">
        <v>90</v>
      </c>
      <c r="F244" s="511"/>
      <c r="G244" s="1033" t="s">
        <v>1158</v>
      </c>
      <c r="H244" s="511"/>
      <c r="I244" s="516" t="s">
        <v>92</v>
      </c>
      <c r="J244" s="511"/>
      <c r="K244" s="511"/>
      <c r="L244" s="511"/>
      <c r="M244" s="511"/>
      <c r="N244" s="592"/>
    </row>
    <row r="245" spans="1:18">
      <c r="A245" s="512">
        <v>31</v>
      </c>
      <c r="B245" s="2" t="s">
        <v>1257</v>
      </c>
      <c r="D245" s="525">
        <f>'Attachment 8 - Cap Structure'!M23</f>
        <v>925000000</v>
      </c>
      <c r="E245" s="1054">
        <f>IF($D$248&gt;0,D245/$D$248,0)</f>
        <v>0.45763827079084152</v>
      </c>
      <c r="F245" s="594"/>
      <c r="G245" s="594">
        <f>'Attachment 10 - Debt Cost'!W27</f>
        <v>4.1099999999999998E-2</v>
      </c>
      <c r="I245" s="594">
        <f>G245*E245</f>
        <v>1.8808932929503586E-2</v>
      </c>
      <c r="J245" s="582" t="s">
        <v>93</v>
      </c>
      <c r="L245" s="505"/>
      <c r="M245" s="511"/>
    </row>
    <row r="246" spans="1:18">
      <c r="A246" s="512">
        <v>32</v>
      </c>
      <c r="B246" s="2" t="s">
        <v>1109</v>
      </c>
      <c r="D246" s="525">
        <f>'Attachment 8 - Cap Structure'!G23</f>
        <v>0</v>
      </c>
      <c r="E246" s="1054">
        <f>IF($D$248&gt;0,D246/$D$248,0)</f>
        <v>0</v>
      </c>
      <c r="F246" s="594"/>
      <c r="G246" s="594">
        <f>IF(D246&gt;0,I240/D246,0)</f>
        <v>0</v>
      </c>
      <c r="I246" s="594">
        <f>G246*E246</f>
        <v>0</v>
      </c>
      <c r="J246" s="511"/>
      <c r="L246" s="511"/>
      <c r="M246" s="511"/>
    </row>
    <row r="247" spans="1:18" ht="16.5" thickBot="1">
      <c r="A247" s="512">
        <v>33</v>
      </c>
      <c r="B247" s="2" t="s">
        <v>1110</v>
      </c>
      <c r="D247" s="554">
        <f>'Attachment 8 - Cap Structure'!L23</f>
        <v>1096247039.5046155</v>
      </c>
      <c r="E247" s="1054">
        <f>IF($D$248&gt;0,D247/$D$248,0)</f>
        <v>0.54236172920915848</v>
      </c>
      <c r="F247" s="594"/>
      <c r="G247" s="1018">
        <v>0.1045</v>
      </c>
      <c r="I247" s="595">
        <f>G247*E247</f>
        <v>5.6676800702357061E-2</v>
      </c>
      <c r="J247" s="511"/>
      <c r="L247" s="511"/>
      <c r="M247" s="511"/>
    </row>
    <row r="248" spans="1:18">
      <c r="A248" s="512">
        <v>34</v>
      </c>
      <c r="B248" s="2" t="s">
        <v>860</v>
      </c>
      <c r="D248" s="525">
        <f>SUM(D245:D247)</f>
        <v>2021247039.5046155</v>
      </c>
      <c r="E248" s="511" t="s">
        <v>3</v>
      </c>
      <c r="F248" s="511"/>
      <c r="G248" s="596"/>
      <c r="H248" s="511"/>
      <c r="I248" s="594">
        <f>SUM(I245:I247)</f>
        <v>7.5485733631860646E-2</v>
      </c>
      <c r="J248" s="582" t="s">
        <v>94</v>
      </c>
      <c r="L248" s="511"/>
      <c r="M248" s="511"/>
    </row>
    <row r="249" spans="1:18" ht="9.75" customHeight="1">
      <c r="A249" s="512"/>
      <c r="K249" s="511"/>
      <c r="L249" s="511"/>
      <c r="M249" s="511"/>
    </row>
    <row r="250" spans="1:18" ht="11.25" customHeight="1">
      <c r="A250" s="512"/>
      <c r="K250" s="511"/>
      <c r="L250" s="511"/>
      <c r="M250" s="511"/>
    </row>
    <row r="251" spans="1:18">
      <c r="A251" s="512"/>
      <c r="B251" s="2" t="s">
        <v>1111</v>
      </c>
      <c r="C251" s="506"/>
      <c r="D251" s="506"/>
      <c r="E251" s="506"/>
      <c r="F251" s="506"/>
      <c r="G251" s="506"/>
      <c r="H251" s="506"/>
      <c r="I251" s="506"/>
      <c r="J251" s="506"/>
      <c r="K251" s="506"/>
      <c r="L251" s="565"/>
      <c r="M251" s="511"/>
    </row>
    <row r="252" spans="1:18">
      <c r="A252" s="512"/>
      <c r="B252" s="506" t="s">
        <v>96</v>
      </c>
      <c r="C252" s="506"/>
      <c r="D252" s="2" t="s">
        <v>1187</v>
      </c>
      <c r="E252" s="2" t="s">
        <v>91</v>
      </c>
      <c r="F252" s="506"/>
      <c r="G252" s="506" t="s">
        <v>3</v>
      </c>
      <c r="I252" s="597"/>
      <c r="J252" s="597"/>
      <c r="L252" s="505"/>
      <c r="M252" s="511"/>
    </row>
    <row r="253" spans="1:18">
      <c r="A253" s="512">
        <v>35</v>
      </c>
      <c r="B253" s="505" t="s">
        <v>249</v>
      </c>
      <c r="C253" s="506"/>
      <c r="D253" s="506"/>
      <c r="F253" s="506"/>
      <c r="I253" s="598"/>
      <c r="J253" s="599"/>
      <c r="L253" s="511"/>
      <c r="M253" s="511"/>
    </row>
    <row r="254" spans="1:18" ht="16.5" thickBot="1">
      <c r="A254" s="512">
        <v>36</v>
      </c>
      <c r="B254" s="868" t="s">
        <v>914</v>
      </c>
      <c r="C254" s="577"/>
      <c r="E254" s="506"/>
      <c r="F254" s="506"/>
      <c r="G254" s="506"/>
      <c r="H254" s="506"/>
      <c r="I254" s="600"/>
      <c r="J254" s="601"/>
      <c r="L254" s="511"/>
      <c r="M254" s="511"/>
    </row>
    <row r="255" spans="1:18">
      <c r="A255" s="512">
        <v>37</v>
      </c>
      <c r="B255" s="505" t="s">
        <v>97</v>
      </c>
      <c r="C255" s="506"/>
      <c r="E255" s="506"/>
      <c r="F255" s="506"/>
      <c r="G255" s="506"/>
      <c r="H255" s="506"/>
      <c r="I255" s="602">
        <f>+I253-I254</f>
        <v>0</v>
      </c>
      <c r="J255" s="599"/>
      <c r="L255" s="505"/>
      <c r="M255" s="511"/>
    </row>
    <row r="256" spans="1:18">
      <c r="A256" s="512"/>
      <c r="B256" s="505" t="s">
        <v>3</v>
      </c>
      <c r="C256" s="506"/>
      <c r="E256" s="506"/>
      <c r="F256" s="506"/>
      <c r="G256" s="536"/>
      <c r="H256" s="506"/>
      <c r="I256" s="602"/>
      <c r="J256" s="597"/>
      <c r="K256" s="603"/>
      <c r="L256" s="565"/>
      <c r="M256" s="511"/>
    </row>
    <row r="257" spans="1:13" ht="15.6" customHeight="1">
      <c r="A257" s="512">
        <v>38</v>
      </c>
      <c r="B257" s="1" t="s">
        <v>1112</v>
      </c>
      <c r="C257" s="506"/>
      <c r="D257" s="1" t="s">
        <v>1188</v>
      </c>
      <c r="F257" s="506"/>
      <c r="G257" s="536"/>
      <c r="H257" s="506"/>
      <c r="I257" s="604"/>
      <c r="J257" s="680"/>
      <c r="K257" s="680"/>
      <c r="L257" s="570"/>
      <c r="M257" s="511"/>
    </row>
    <row r="258" spans="1:13">
      <c r="A258" s="512"/>
      <c r="C258" s="506"/>
      <c r="F258" s="506"/>
      <c r="G258" s="536"/>
      <c r="H258" s="506"/>
      <c r="I258" s="602"/>
      <c r="J258" s="680"/>
      <c r="K258" s="680"/>
      <c r="L258" s="570"/>
      <c r="M258" s="511"/>
    </row>
    <row r="259" spans="1:13">
      <c r="A259" s="512">
        <v>39</v>
      </c>
      <c r="B259" s="2" t="s">
        <v>1113</v>
      </c>
      <c r="C259" s="506"/>
      <c r="D259" s="1" t="s">
        <v>1189</v>
      </c>
      <c r="F259" s="506"/>
      <c r="G259" s="535"/>
      <c r="H259" s="506"/>
      <c r="I259" s="604"/>
      <c r="J259" s="680"/>
      <c r="K259" s="680"/>
      <c r="L259" s="570"/>
      <c r="M259" s="511"/>
    </row>
    <row r="260" spans="1:13" ht="15.75" customHeight="1">
      <c r="A260" s="512"/>
      <c r="C260" s="506"/>
      <c r="D260" s="506"/>
      <c r="F260" s="506"/>
      <c r="G260" s="506"/>
      <c r="H260" s="506"/>
      <c r="I260" s="602"/>
      <c r="J260" s="680"/>
      <c r="K260" s="680"/>
      <c r="L260" s="570"/>
      <c r="M260" s="511"/>
    </row>
    <row r="261" spans="1:13">
      <c r="A261" s="512">
        <v>40</v>
      </c>
      <c r="B261" s="2" t="s">
        <v>1114</v>
      </c>
      <c r="C261" s="506"/>
      <c r="D261" s="2" t="s">
        <v>1190</v>
      </c>
      <c r="F261" s="506"/>
      <c r="G261" s="506"/>
      <c r="H261" s="506"/>
      <c r="I261" s="985">
        <f>I262+I263</f>
        <v>744096.07</v>
      </c>
      <c r="J261" s="680"/>
      <c r="K261" s="680"/>
      <c r="L261" s="570"/>
      <c r="M261" s="506"/>
    </row>
    <row r="262" spans="1:13">
      <c r="A262" s="655" t="s">
        <v>1054</v>
      </c>
      <c r="B262" s="2" t="s">
        <v>1026</v>
      </c>
      <c r="C262" s="506"/>
      <c r="D262" s="506"/>
      <c r="F262" s="506"/>
      <c r="G262" s="506"/>
      <c r="H262" s="506"/>
      <c r="I262" s="605">
        <v>744096.07</v>
      </c>
      <c r="J262" s="680"/>
      <c r="K262" s="680"/>
      <c r="L262" s="570"/>
      <c r="M262" s="506"/>
    </row>
    <row r="263" spans="1:13">
      <c r="A263" s="655" t="s">
        <v>1055</v>
      </c>
      <c r="B263" s="2" t="s">
        <v>1025</v>
      </c>
      <c r="C263" s="506"/>
      <c r="D263" s="506"/>
      <c r="F263" s="506"/>
      <c r="G263" s="506"/>
      <c r="H263" s="506"/>
      <c r="I263" s="605"/>
      <c r="J263" s="680"/>
      <c r="K263" s="680"/>
      <c r="L263" s="570"/>
      <c r="M263" s="506"/>
    </row>
    <row r="264" spans="1:13">
      <c r="B264" s="506"/>
      <c r="C264" s="506"/>
      <c r="D264" s="511"/>
      <c r="E264" s="511"/>
      <c r="F264" s="511"/>
      <c r="G264" s="511"/>
      <c r="H264" s="511"/>
      <c r="J264" s="680"/>
      <c r="K264" s="680"/>
      <c r="L264" s="565"/>
      <c r="M264" s="506"/>
    </row>
    <row r="265" spans="1:13">
      <c r="A265" s="512">
        <v>41</v>
      </c>
      <c r="B265" s="2" t="s">
        <v>1022</v>
      </c>
      <c r="C265" s="506"/>
      <c r="D265" s="506"/>
      <c r="E265" s="506"/>
      <c r="F265" s="506"/>
      <c r="G265" s="506"/>
      <c r="H265" s="506"/>
      <c r="I265" s="978"/>
      <c r="J265" s="680"/>
      <c r="K265" s="680"/>
      <c r="L265" s="565"/>
      <c r="M265" s="506"/>
    </row>
    <row r="266" spans="1:13">
      <c r="A266" s="512"/>
      <c r="C266" s="512"/>
      <c r="D266" s="511"/>
      <c r="E266" s="511"/>
      <c r="F266" s="511"/>
      <c r="G266" s="511"/>
      <c r="H266" s="506"/>
      <c r="I266" s="607"/>
      <c r="J266" s="680"/>
      <c r="K266" s="680"/>
      <c r="L266" s="512"/>
      <c r="M266" s="506"/>
    </row>
    <row r="267" spans="1:13">
      <c r="A267" s="512">
        <v>42</v>
      </c>
      <c r="B267" s="2" t="s">
        <v>1021</v>
      </c>
      <c r="C267" s="512"/>
      <c r="D267" s="511"/>
      <c r="E267" s="511"/>
      <c r="F267" s="511"/>
      <c r="G267" s="511"/>
      <c r="H267" s="506"/>
      <c r="I267" s="985">
        <f>SUM(I268:I271)</f>
        <v>0</v>
      </c>
      <c r="J267" s="680"/>
      <c r="K267" s="680"/>
      <c r="L267" s="512"/>
      <c r="M267" s="506"/>
    </row>
    <row r="268" spans="1:13">
      <c r="A268" s="1040" t="s">
        <v>1168</v>
      </c>
      <c r="B268" s="1041" t="s">
        <v>1169</v>
      </c>
      <c r="C268" s="512"/>
      <c r="D268" s="1032"/>
      <c r="E268" s="511"/>
      <c r="F268" s="511" t="s">
        <v>1176</v>
      </c>
      <c r="G268" s="523">
        <f>I213</f>
        <v>9.333164788672195E-2</v>
      </c>
      <c r="H268" s="506"/>
      <c r="I268" s="552">
        <f>D268*G268</f>
        <v>0</v>
      </c>
      <c r="J268" s="606"/>
      <c r="K268" s="607"/>
      <c r="L268" s="512"/>
      <c r="M268" s="506"/>
    </row>
    <row r="269" spans="1:13">
      <c r="A269" s="1040" t="s">
        <v>1170</v>
      </c>
      <c r="B269" s="1041" t="s">
        <v>1171</v>
      </c>
      <c r="C269" s="512"/>
      <c r="D269" s="1032"/>
      <c r="E269" s="511"/>
      <c r="F269" s="511" t="s">
        <v>52</v>
      </c>
      <c r="G269" s="1042">
        <f>+G47</f>
        <v>0.16285060480207811</v>
      </c>
      <c r="H269" s="506"/>
      <c r="I269" s="563">
        <f t="shared" ref="I269:I271" si="3">D269*G269</f>
        <v>0</v>
      </c>
      <c r="J269" s="606"/>
      <c r="K269" s="607"/>
      <c r="L269" s="512"/>
      <c r="M269" s="506"/>
    </row>
    <row r="270" spans="1:13">
      <c r="A270" s="1040" t="s">
        <v>1172</v>
      </c>
      <c r="B270" s="1041" t="s">
        <v>1173</v>
      </c>
      <c r="C270" s="512"/>
      <c r="D270" s="1032"/>
      <c r="E270" s="511"/>
      <c r="F270" s="511" t="s">
        <v>12</v>
      </c>
      <c r="G270" s="551">
        <f>I196</f>
        <v>1</v>
      </c>
      <c r="H270" s="506"/>
      <c r="I270" s="552">
        <f t="shared" si="3"/>
        <v>0</v>
      </c>
      <c r="J270" s="606"/>
      <c r="K270" s="607"/>
      <c r="L270" s="512"/>
      <c r="M270" s="506"/>
    </row>
    <row r="271" spans="1:13">
      <c r="A271" s="1040" t="s">
        <v>1174</v>
      </c>
      <c r="B271" s="1041" t="s">
        <v>1175</v>
      </c>
      <c r="C271" s="511"/>
      <c r="D271" s="1032"/>
      <c r="E271" s="511"/>
      <c r="F271" s="511" t="s">
        <v>299</v>
      </c>
      <c r="G271" s="551">
        <v>1</v>
      </c>
      <c r="H271" s="511"/>
      <c r="I271" s="552">
        <f t="shared" si="3"/>
        <v>0</v>
      </c>
      <c r="J271" s="511"/>
      <c r="K271" s="549"/>
      <c r="L271" s="505"/>
    </row>
    <row r="272" spans="1:13">
      <c r="A272" s="567"/>
      <c r="B272" s="506"/>
      <c r="C272" s="511"/>
      <c r="D272" s="511"/>
      <c r="E272" s="511"/>
      <c r="F272" s="511"/>
      <c r="G272" s="555"/>
      <c r="H272" s="511"/>
      <c r="I272" s="511"/>
      <c r="J272" s="511"/>
      <c r="K272" s="549"/>
      <c r="L272" s="505"/>
    </row>
    <row r="273" spans="1:13">
      <c r="B273" s="506"/>
      <c r="C273" s="506"/>
      <c r="D273" s="507"/>
      <c r="E273" s="506"/>
      <c r="F273" s="506"/>
      <c r="G273" s="506"/>
      <c r="H273" s="506"/>
      <c r="I273" s="512"/>
      <c r="J273" s="512"/>
      <c r="K273" s="508"/>
      <c r="L273" s="506"/>
      <c r="M273" s="506"/>
    </row>
    <row r="274" spans="1:13">
      <c r="B274" s="506"/>
      <c r="C274" s="506"/>
      <c r="D274" s="507"/>
      <c r="E274" s="506"/>
      <c r="F274" s="506"/>
      <c r="G274" s="506"/>
      <c r="H274" s="506"/>
      <c r="I274" s="508"/>
      <c r="J274" s="508"/>
      <c r="K274" s="508"/>
      <c r="L274" s="506"/>
      <c r="M274" s="506"/>
    </row>
    <row r="275" spans="1:13" ht="16.5" customHeight="1">
      <c r="B275" s="506"/>
      <c r="C275" s="506"/>
      <c r="D275" s="507"/>
      <c r="E275" s="506"/>
      <c r="F275" s="506"/>
      <c r="G275" s="506"/>
      <c r="H275" s="506"/>
      <c r="I275" s="506"/>
      <c r="K275" s="508" t="str">
        <f>K182</f>
        <v>Attachment H -11A</v>
      </c>
      <c r="L275" s="506"/>
      <c r="M275" s="506"/>
    </row>
    <row r="276" spans="1:13" ht="16.5" customHeight="1">
      <c r="B276" s="506"/>
      <c r="C276" s="506"/>
      <c r="D276" s="507"/>
      <c r="E276" s="506"/>
      <c r="F276" s="506"/>
      <c r="G276" s="506"/>
      <c r="H276" s="506"/>
      <c r="I276" s="506"/>
      <c r="J276" s="506"/>
      <c r="K276" s="508" t="s">
        <v>98</v>
      </c>
      <c r="L276" s="506"/>
      <c r="M276" s="506"/>
    </row>
    <row r="277" spans="1:13" ht="16.5" customHeight="1">
      <c r="B277" s="506"/>
      <c r="C277" s="506"/>
      <c r="D277" s="507"/>
      <c r="E277" s="506"/>
      <c r="F277" s="506"/>
      <c r="G277" s="506"/>
      <c r="H277" s="506"/>
      <c r="I277" s="506"/>
      <c r="J277" s="506"/>
      <c r="K277" s="508"/>
      <c r="L277" s="506"/>
      <c r="M277" s="506"/>
    </row>
    <row r="278" spans="1:13">
      <c r="B278" s="506" t="s">
        <v>1</v>
      </c>
      <c r="C278" s="506"/>
      <c r="D278" s="507" t="s">
        <v>2</v>
      </c>
      <c r="E278" s="506"/>
      <c r="F278" s="506"/>
      <c r="G278" s="506"/>
      <c r="H278" s="506"/>
      <c r="J278" s="506"/>
      <c r="K278" s="508" t="str">
        <f>K4</f>
        <v>For the 12 months ended 12/31/2022</v>
      </c>
      <c r="L278" s="506"/>
      <c r="M278" s="506"/>
    </row>
    <row r="279" spans="1:13">
      <c r="B279" s="506"/>
      <c r="C279" s="511" t="s">
        <v>3</v>
      </c>
      <c r="D279" s="511" t="s">
        <v>4</v>
      </c>
      <c r="E279" s="511"/>
      <c r="F279" s="511"/>
      <c r="G279" s="511"/>
      <c r="H279" s="506"/>
      <c r="I279" s="506"/>
      <c r="J279" s="506"/>
      <c r="K279" s="506"/>
      <c r="L279" s="506"/>
      <c r="M279" s="506"/>
    </row>
    <row r="280" spans="1:13">
      <c r="A280" s="512"/>
      <c r="C280" s="512"/>
      <c r="D280" s="511"/>
      <c r="E280" s="511"/>
      <c r="F280" s="511"/>
      <c r="G280" s="511"/>
      <c r="H280" s="506"/>
      <c r="I280" s="608"/>
      <c r="J280" s="597"/>
      <c r="K280" s="606"/>
      <c r="L280" s="512"/>
      <c r="M280" s="506"/>
    </row>
    <row r="281" spans="1:13">
      <c r="A281" s="512"/>
      <c r="C281" s="512"/>
      <c r="D281" s="511" t="str">
        <f>D7</f>
        <v>WEST PENN POWER</v>
      </c>
      <c r="E281" s="511"/>
      <c r="F281" s="511"/>
      <c r="G281" s="511"/>
      <c r="H281" s="506"/>
      <c r="I281" s="608"/>
      <c r="J281" s="597"/>
      <c r="K281" s="606"/>
      <c r="L281" s="512"/>
      <c r="M281" s="506"/>
    </row>
    <row r="282" spans="1:13">
      <c r="A282" s="512"/>
      <c r="C282" s="512"/>
      <c r="D282" s="511"/>
      <c r="E282" s="511"/>
      <c r="F282" s="511"/>
      <c r="G282" s="511"/>
      <c r="H282" s="506"/>
      <c r="I282" s="608"/>
      <c r="J282" s="597"/>
      <c r="K282" s="606"/>
      <c r="L282" s="512"/>
      <c r="M282" s="506"/>
    </row>
    <row r="283" spans="1:13">
      <c r="A283" s="512"/>
      <c r="B283" s="506" t="s">
        <v>847</v>
      </c>
      <c r="C283" s="512"/>
      <c r="D283" s="511"/>
      <c r="E283" s="511"/>
      <c r="F283" s="511"/>
      <c r="G283" s="511"/>
      <c r="H283" s="506"/>
      <c r="I283" s="511"/>
      <c r="J283" s="506"/>
      <c r="K283" s="511"/>
      <c r="L283" s="512"/>
      <c r="M283" s="506"/>
    </row>
    <row r="284" spans="1:13">
      <c r="A284" s="512"/>
      <c r="B284" s="609" t="s">
        <v>848</v>
      </c>
      <c r="C284" s="512"/>
      <c r="D284" s="511"/>
      <c r="E284" s="511"/>
      <c r="F284" s="511"/>
      <c r="G284" s="511"/>
      <c r="H284" s="506"/>
      <c r="I284" s="511"/>
      <c r="J284" s="506"/>
      <c r="K284" s="511"/>
      <c r="L284" s="512"/>
      <c r="M284" s="506"/>
    </row>
    <row r="285" spans="1:13">
      <c r="A285" s="512" t="s">
        <v>99</v>
      </c>
      <c r="B285" s="506"/>
      <c r="C285" s="506"/>
      <c r="D285" s="511"/>
      <c r="E285" s="511"/>
      <c r="F285" s="511"/>
      <c r="G285" s="511"/>
      <c r="H285" s="506"/>
      <c r="I285" s="511"/>
      <c r="J285" s="506"/>
      <c r="K285" s="511"/>
      <c r="L285" s="512"/>
      <c r="M285" s="506"/>
    </row>
    <row r="286" spans="1:13" ht="16.5" thickBot="1">
      <c r="A286" s="516" t="s">
        <v>100</v>
      </c>
      <c r="B286" s="506"/>
      <c r="C286" s="506"/>
      <c r="D286" s="511"/>
      <c r="E286" s="511"/>
      <c r="F286" s="511"/>
      <c r="G286" s="511"/>
      <c r="H286" s="506"/>
      <c r="I286" s="511"/>
      <c r="J286" s="506"/>
      <c r="K286" s="511"/>
      <c r="L286" s="512"/>
      <c r="M286" s="506"/>
    </row>
    <row r="287" spans="1:13" ht="35.450000000000003" customHeight="1">
      <c r="A287" s="493" t="s">
        <v>101</v>
      </c>
      <c r="B287" s="1082" t="s">
        <v>872</v>
      </c>
      <c r="C287" s="1083"/>
      <c r="D287" s="1083"/>
      <c r="E287" s="1083"/>
      <c r="F287" s="1083"/>
      <c r="G287" s="1083"/>
      <c r="H287" s="1083"/>
      <c r="I287" s="1083"/>
      <c r="J287" s="1083"/>
      <c r="K287" s="1083"/>
      <c r="L287" s="505"/>
    </row>
    <row r="288" spans="1:13" ht="16.5" customHeight="1">
      <c r="A288" s="610" t="s">
        <v>102</v>
      </c>
      <c r="B288" s="1089" t="s">
        <v>521</v>
      </c>
      <c r="C288" s="1089"/>
      <c r="D288" s="1089"/>
      <c r="E288" s="1089"/>
      <c r="F288" s="1089"/>
      <c r="G288" s="1089"/>
      <c r="H288" s="1089"/>
      <c r="I288" s="1089"/>
      <c r="J288" s="1089"/>
      <c r="K288" s="1089"/>
      <c r="L288" s="512"/>
      <c r="M288" s="506"/>
    </row>
    <row r="289" spans="1:13" ht="19.5" customHeight="1">
      <c r="A289" s="610" t="s">
        <v>103</v>
      </c>
      <c r="B289" s="1079" t="s">
        <v>1077</v>
      </c>
      <c r="C289" s="1080"/>
      <c r="D289" s="1080"/>
      <c r="E289" s="1080"/>
      <c r="F289" s="1080"/>
      <c r="G289" s="1080"/>
      <c r="H289" s="1080"/>
      <c r="I289" s="1080"/>
      <c r="J289" s="1080"/>
      <c r="K289" s="1080"/>
      <c r="L289" s="570"/>
      <c r="M289" s="506"/>
    </row>
    <row r="290" spans="1:13" ht="59.25" customHeight="1">
      <c r="A290" s="1019" t="s">
        <v>104</v>
      </c>
      <c r="B290" s="1084" t="s">
        <v>1259</v>
      </c>
      <c r="C290" s="1090"/>
      <c r="D290" s="1090"/>
      <c r="E290" s="1090"/>
      <c r="F290" s="1090"/>
      <c r="G290" s="1090"/>
      <c r="H290" s="1090"/>
      <c r="I290" s="1090"/>
      <c r="J290" s="1090"/>
      <c r="K290" s="1090"/>
      <c r="L290" s="565"/>
      <c r="M290" s="506"/>
    </row>
    <row r="291" spans="1:13" ht="48" customHeight="1">
      <c r="A291" s="1019" t="s">
        <v>105</v>
      </c>
      <c r="B291" s="1084" t="s">
        <v>1164</v>
      </c>
      <c r="C291" s="1090"/>
      <c r="D291" s="1090"/>
      <c r="E291" s="1090"/>
      <c r="F291" s="1090"/>
      <c r="G291" s="1090"/>
      <c r="H291" s="1090"/>
      <c r="I291" s="1090"/>
      <c r="J291" s="1090"/>
      <c r="K291" s="1090"/>
      <c r="L291" s="507"/>
      <c r="M291" s="506"/>
    </row>
    <row r="292" spans="1:13" ht="53.1" customHeight="1">
      <c r="A292" s="610" t="s">
        <v>106</v>
      </c>
      <c r="B292" s="1079" t="s">
        <v>1085</v>
      </c>
      <c r="C292" s="1079"/>
      <c r="D292" s="1079"/>
      <c r="E292" s="1079"/>
      <c r="F292" s="1079"/>
      <c r="G292" s="1079"/>
      <c r="H292" s="1079"/>
      <c r="I292" s="1079"/>
      <c r="J292" s="1079"/>
      <c r="K292" s="1079"/>
      <c r="L292" s="512"/>
      <c r="M292" s="506"/>
    </row>
    <row r="293" spans="1:13">
      <c r="A293" s="610" t="s">
        <v>107</v>
      </c>
      <c r="B293" s="1080" t="s">
        <v>108</v>
      </c>
      <c r="C293" s="1080"/>
      <c r="D293" s="1080"/>
      <c r="E293" s="1080"/>
      <c r="F293" s="1080"/>
      <c r="G293" s="1080"/>
      <c r="H293" s="1080"/>
      <c r="I293" s="1080"/>
      <c r="J293" s="1080"/>
      <c r="K293" s="1080"/>
      <c r="L293" s="512"/>
      <c r="M293" s="506"/>
    </row>
    <row r="294" spans="1:13" ht="36.6" customHeight="1">
      <c r="A294" s="610" t="s">
        <v>109</v>
      </c>
      <c r="B294" s="1079" t="s">
        <v>1249</v>
      </c>
      <c r="C294" s="1079"/>
      <c r="D294" s="1079"/>
      <c r="E294" s="1079"/>
      <c r="F294" s="1079"/>
      <c r="G294" s="1079"/>
      <c r="H294" s="1079"/>
      <c r="I294" s="1079"/>
      <c r="J294" s="1079"/>
      <c r="K294" s="1079"/>
      <c r="L294" s="512"/>
      <c r="M294" s="506"/>
    </row>
    <row r="295" spans="1:13" ht="32.25" customHeight="1">
      <c r="A295" s="1020" t="s">
        <v>110</v>
      </c>
      <c r="B295" s="1079" t="s">
        <v>930</v>
      </c>
      <c r="C295" s="1079"/>
      <c r="D295" s="1079"/>
      <c r="E295" s="1079"/>
      <c r="F295" s="1079"/>
      <c r="G295" s="1079"/>
      <c r="H295" s="1079"/>
      <c r="I295" s="1079"/>
      <c r="J295" s="1079"/>
      <c r="K295" s="1079"/>
      <c r="L295" s="512"/>
      <c r="M295" s="506"/>
    </row>
    <row r="296" spans="1:13" ht="78" customHeight="1">
      <c r="A296" s="1020" t="s">
        <v>111</v>
      </c>
      <c r="B296" s="1079" t="s">
        <v>1150</v>
      </c>
      <c r="C296" s="1079"/>
      <c r="D296" s="1079"/>
      <c r="E296" s="1079"/>
      <c r="F296" s="1079"/>
      <c r="G296" s="1079"/>
      <c r="H296" s="1079"/>
      <c r="I296" s="1079"/>
      <c r="J296" s="1079"/>
      <c r="K296" s="1079"/>
      <c r="L296" s="512"/>
      <c r="M296" s="506"/>
    </row>
    <row r="297" spans="1:13">
      <c r="A297" s="610" t="s">
        <v>3</v>
      </c>
      <c r="B297" s="611" t="s">
        <v>134</v>
      </c>
      <c r="C297" s="612" t="s">
        <v>113</v>
      </c>
      <c r="D297" s="613">
        <f>'Attachment 18 - Tax Rates'!D6</f>
        <v>0.21</v>
      </c>
      <c r="E297" s="1080"/>
      <c r="F297" s="1080"/>
      <c r="G297" s="1080"/>
      <c r="H297" s="1080"/>
      <c r="I297" s="1080"/>
      <c r="J297" s="1080"/>
      <c r="K297" s="1080"/>
      <c r="L297" s="512"/>
      <c r="M297" s="506"/>
    </row>
    <row r="298" spans="1:13">
      <c r="A298" s="610"/>
      <c r="B298" s="612"/>
      <c r="C298" s="612" t="s">
        <v>114</v>
      </c>
      <c r="D298" s="613">
        <f>'Attachment 18 - Tax Rates'!G16</f>
        <v>9.9900000000000003E-2</v>
      </c>
      <c r="E298" s="1080" t="s">
        <v>250</v>
      </c>
      <c r="F298" s="1080"/>
      <c r="G298" s="1080"/>
      <c r="H298" s="1080"/>
      <c r="I298" s="1080"/>
      <c r="J298" s="1080"/>
      <c r="K298" s="1080"/>
      <c r="L298" s="512"/>
      <c r="M298" s="506"/>
    </row>
    <row r="299" spans="1:13">
      <c r="A299" s="610"/>
      <c r="B299" s="612"/>
      <c r="C299" s="612" t="s">
        <v>115</v>
      </c>
      <c r="D299" s="614"/>
      <c r="E299" s="1080" t="s">
        <v>251</v>
      </c>
      <c r="F299" s="1080"/>
      <c r="G299" s="1080"/>
      <c r="H299" s="1080"/>
      <c r="I299" s="1080"/>
      <c r="J299" s="1080"/>
      <c r="K299" s="1080"/>
      <c r="L299" s="512"/>
      <c r="M299" s="506"/>
    </row>
    <row r="300" spans="1:13" ht="36.75" customHeight="1">
      <c r="A300" s="1020" t="s">
        <v>112</v>
      </c>
      <c r="B300" s="1080" t="s">
        <v>572</v>
      </c>
      <c r="C300" s="1080"/>
      <c r="D300" s="1080"/>
      <c r="E300" s="1080"/>
      <c r="F300" s="1080"/>
      <c r="G300" s="1080"/>
      <c r="H300" s="1080"/>
      <c r="I300" s="1080"/>
      <c r="J300" s="1080"/>
      <c r="K300" s="1080"/>
      <c r="L300" s="512"/>
      <c r="M300" s="506"/>
    </row>
    <row r="301" spans="1:13" ht="32.25" customHeight="1">
      <c r="A301" s="1020" t="s">
        <v>116</v>
      </c>
      <c r="B301" s="1080" t="s">
        <v>570</v>
      </c>
      <c r="C301" s="1080"/>
      <c r="D301" s="1080"/>
      <c r="E301" s="1080"/>
      <c r="F301" s="1080"/>
      <c r="G301" s="1080"/>
      <c r="H301" s="1080"/>
      <c r="I301" s="1080"/>
      <c r="J301" s="1080"/>
      <c r="K301" s="1080"/>
      <c r="L301" s="512"/>
      <c r="M301" s="506"/>
    </row>
    <row r="302" spans="1:13" ht="48" customHeight="1">
      <c r="A302" s="1020" t="s">
        <v>117</v>
      </c>
      <c r="B302" s="1080" t="s">
        <v>256</v>
      </c>
      <c r="C302" s="1080"/>
      <c r="D302" s="1080"/>
      <c r="E302" s="1080"/>
      <c r="F302" s="1080"/>
      <c r="G302" s="1080"/>
      <c r="H302" s="1080"/>
      <c r="I302" s="1080"/>
      <c r="J302" s="1080"/>
      <c r="K302" s="1080"/>
      <c r="L302" s="512"/>
      <c r="M302" s="506"/>
    </row>
    <row r="303" spans="1:13">
      <c r="A303" s="1020" t="s">
        <v>118</v>
      </c>
      <c r="B303" s="1080" t="s">
        <v>120</v>
      </c>
      <c r="C303" s="1080"/>
      <c r="D303" s="1080"/>
      <c r="E303" s="1080"/>
      <c r="F303" s="1080"/>
      <c r="G303" s="1080"/>
      <c r="H303" s="1080"/>
      <c r="I303" s="1080"/>
      <c r="J303" s="1080"/>
      <c r="K303" s="1080"/>
      <c r="L303" s="512"/>
      <c r="M303" s="506"/>
    </row>
    <row r="304" spans="1:13" ht="32.25" customHeight="1">
      <c r="A304" s="1020" t="s">
        <v>119</v>
      </c>
      <c r="B304" s="1079" t="s">
        <v>1256</v>
      </c>
      <c r="C304" s="1080"/>
      <c r="D304" s="1080"/>
      <c r="E304" s="1080"/>
      <c r="F304" s="1080"/>
      <c r="G304" s="1080"/>
      <c r="H304" s="1080"/>
      <c r="I304" s="1080"/>
      <c r="J304" s="1080"/>
      <c r="K304" s="1080"/>
      <c r="L304" s="507"/>
      <c r="M304" s="506"/>
    </row>
    <row r="305" spans="1:13" ht="23.25" customHeight="1">
      <c r="A305" s="1020" t="s">
        <v>121</v>
      </c>
      <c r="B305" s="1079" t="s">
        <v>1151</v>
      </c>
      <c r="C305" s="1080"/>
      <c r="D305" s="1080"/>
      <c r="E305" s="1080"/>
      <c r="F305" s="1080"/>
      <c r="G305" s="1080"/>
      <c r="H305" s="1080"/>
      <c r="I305" s="1080"/>
      <c r="J305" s="1080"/>
      <c r="K305" s="1080"/>
      <c r="L305" s="512"/>
      <c r="M305" s="506"/>
    </row>
    <row r="306" spans="1:13">
      <c r="A306" s="1020" t="s">
        <v>1115</v>
      </c>
      <c r="B306" s="1080" t="s">
        <v>122</v>
      </c>
      <c r="C306" s="1080"/>
      <c r="D306" s="1080"/>
      <c r="E306" s="1080"/>
      <c r="F306" s="1080"/>
      <c r="G306" s="1080"/>
      <c r="H306" s="1080"/>
      <c r="I306" s="1080"/>
      <c r="J306" s="1080"/>
      <c r="K306" s="1080"/>
      <c r="L306" s="512"/>
      <c r="M306" s="506"/>
    </row>
    <row r="307" spans="1:13" ht="20.25" customHeight="1">
      <c r="A307" s="1020" t="s">
        <v>1116</v>
      </c>
      <c r="B307" s="1080" t="s">
        <v>262</v>
      </c>
      <c r="C307" s="1080"/>
      <c r="D307" s="1080"/>
      <c r="E307" s="1080"/>
      <c r="F307" s="1080"/>
      <c r="G307" s="1080"/>
      <c r="H307" s="1080"/>
      <c r="I307" s="1080"/>
      <c r="J307" s="1080"/>
      <c r="K307" s="1080"/>
      <c r="L307" s="512"/>
      <c r="M307" s="506"/>
    </row>
    <row r="308" spans="1:13" ht="24.75" customHeight="1">
      <c r="A308" s="1020" t="s">
        <v>1117</v>
      </c>
      <c r="B308" s="1079" t="s">
        <v>1078</v>
      </c>
      <c r="C308" s="1079"/>
      <c r="D308" s="1079"/>
      <c r="E308" s="1079"/>
      <c r="F308" s="1079"/>
      <c r="G308" s="1079"/>
      <c r="H308" s="1079"/>
      <c r="I308" s="1079"/>
      <c r="J308" s="1079"/>
      <c r="K308" s="1079"/>
      <c r="L308" s="506"/>
      <c r="M308" s="506"/>
    </row>
    <row r="309" spans="1:13" ht="15.75" customHeight="1">
      <c r="A309" s="1020" t="s">
        <v>1118</v>
      </c>
      <c r="B309" s="1079" t="s">
        <v>1191</v>
      </c>
      <c r="C309" s="1080"/>
      <c r="D309" s="1080"/>
      <c r="E309" s="1080"/>
      <c r="F309" s="1080"/>
      <c r="G309" s="1080"/>
      <c r="H309" s="1080"/>
      <c r="I309" s="1080"/>
      <c r="J309" s="1080"/>
      <c r="K309" s="1080"/>
      <c r="L309" s="506"/>
      <c r="M309" s="506"/>
    </row>
    <row r="310" spans="1:13" ht="33" customHeight="1">
      <c r="A310" s="1020" t="s">
        <v>1119</v>
      </c>
      <c r="B310" s="1079" t="s">
        <v>1082</v>
      </c>
      <c r="C310" s="1080"/>
      <c r="D310" s="1080"/>
      <c r="E310" s="1080"/>
      <c r="F310" s="1080"/>
      <c r="G310" s="1080"/>
      <c r="H310" s="1080"/>
      <c r="I310" s="1080"/>
      <c r="J310" s="1080"/>
      <c r="K310" s="1080"/>
      <c r="L310" s="704"/>
    </row>
    <row r="311" spans="1:13" ht="15.75" customHeight="1">
      <c r="A311" s="1020" t="s">
        <v>1120</v>
      </c>
      <c r="B311" s="1079" t="s">
        <v>1084</v>
      </c>
      <c r="C311" s="1080"/>
      <c r="D311" s="1080"/>
      <c r="E311" s="1080"/>
      <c r="F311" s="1080"/>
      <c r="G311" s="1080"/>
      <c r="H311" s="1080"/>
      <c r="I311" s="1080"/>
      <c r="J311" s="1080"/>
      <c r="K311" s="1080"/>
    </row>
    <row r="312" spans="1:13" ht="19.5" customHeight="1">
      <c r="A312" s="1020" t="s">
        <v>123</v>
      </c>
      <c r="B312" s="1081" t="s">
        <v>480</v>
      </c>
      <c r="C312" s="1081"/>
      <c r="D312" s="1081"/>
      <c r="E312" s="1081"/>
      <c r="F312" s="1081"/>
      <c r="G312" s="1081"/>
      <c r="H312" s="1081"/>
      <c r="I312" s="1081"/>
      <c r="J312" s="1081"/>
      <c r="K312" s="1081"/>
    </row>
    <row r="313" spans="1:13">
      <c r="A313" s="1020" t="s">
        <v>1121</v>
      </c>
      <c r="B313" s="1082" t="s">
        <v>931</v>
      </c>
      <c r="C313" s="1083"/>
      <c r="D313" s="1083"/>
      <c r="E313" s="1083"/>
      <c r="F313" s="1083"/>
      <c r="G313" s="1083"/>
      <c r="H313" s="1083"/>
      <c r="I313" s="1083"/>
      <c r="J313" s="1083"/>
      <c r="K313" s="1083"/>
    </row>
    <row r="314" spans="1:13" s="871" customFormat="1" ht="14.45" customHeight="1">
      <c r="A314" s="1020" t="s">
        <v>1122</v>
      </c>
      <c r="B314" s="1085" t="s">
        <v>912</v>
      </c>
      <c r="C314" s="1086"/>
      <c r="D314" s="1086"/>
      <c r="E314" s="1086"/>
      <c r="F314" s="1086"/>
      <c r="G314" s="1086"/>
      <c r="H314" s="1086"/>
      <c r="I314" s="1086"/>
      <c r="J314" s="1086"/>
      <c r="K314" s="1086"/>
      <c r="L314" s="870"/>
    </row>
    <row r="315" spans="1:13">
      <c r="A315" s="1020" t="s">
        <v>1123</v>
      </c>
      <c r="B315" s="2" t="s">
        <v>956</v>
      </c>
      <c r="C315" s="506"/>
      <c r="D315" s="507"/>
      <c r="E315" s="506"/>
      <c r="F315" s="506"/>
      <c r="G315" s="506"/>
      <c r="H315" s="506"/>
      <c r="I315" s="506"/>
    </row>
    <row r="316" spans="1:13" ht="33.75" customHeight="1">
      <c r="A316" s="1021" t="s">
        <v>1124</v>
      </c>
      <c r="B316" s="1084" t="s">
        <v>1192</v>
      </c>
      <c r="C316" s="1084"/>
      <c r="D316" s="1084"/>
      <c r="E316" s="1084"/>
      <c r="F316" s="1084"/>
      <c r="G316" s="1084"/>
      <c r="H316" s="1084"/>
      <c r="I316" s="1084"/>
      <c r="J316" s="1084"/>
      <c r="K316" s="1084"/>
    </row>
    <row r="317" spans="1:13">
      <c r="A317" s="17" t="s">
        <v>1083</v>
      </c>
      <c r="B317" s="1079" t="s">
        <v>1297</v>
      </c>
      <c r="C317" s="1080"/>
      <c r="D317" s="1080"/>
      <c r="E317" s="1080"/>
      <c r="F317" s="1080"/>
      <c r="G317" s="1080"/>
      <c r="H317" s="1080"/>
      <c r="I317" s="1080"/>
      <c r="J317" s="1080"/>
      <c r="K317" s="1080"/>
    </row>
    <row r="318" spans="1:13">
      <c r="A318" s="512"/>
      <c r="C318" s="617"/>
      <c r="D318" s="1048" t="s">
        <v>1298</v>
      </c>
      <c r="E318" s="1053">
        <f>IFERROR(SUM(D246+D247)/D248,0)</f>
        <v>0.54236172920915848</v>
      </c>
      <c r="F318" s="1082" t="str">
        <f>IF(E318&lt;=0.56,"Equity Cap Not Triggered", "Equity Cap Triggered")</f>
        <v>Equity Cap Not Triggered</v>
      </c>
      <c r="G318" s="1082"/>
      <c r="H318" s="506"/>
      <c r="I318" s="506"/>
    </row>
    <row r="319" spans="1:13">
      <c r="A319" s="512"/>
      <c r="C319" s="506"/>
      <c r="D319" s="513"/>
      <c r="E319" s="506"/>
      <c r="F319" s="506"/>
      <c r="G319" s="506"/>
      <c r="H319" s="506"/>
      <c r="I319" s="506"/>
    </row>
    <row r="320" spans="1:13">
      <c r="A320" s="512"/>
      <c r="B320" s="1087"/>
      <c r="C320" s="1087"/>
      <c r="D320" s="1087"/>
      <c r="E320" s="1087"/>
      <c r="F320" s="1087"/>
      <c r="G320" s="1087"/>
      <c r="H320" s="1087"/>
      <c r="I320" s="1087"/>
      <c r="J320" s="1087"/>
      <c r="K320" s="1087"/>
    </row>
    <row r="321" spans="1:11">
      <c r="A321" s="512"/>
      <c r="B321" s="1087"/>
      <c r="C321" s="1087"/>
      <c r="D321" s="1087"/>
      <c r="E321" s="1087"/>
      <c r="F321" s="1087"/>
      <c r="G321" s="1087"/>
      <c r="H321" s="1087"/>
      <c r="I321" s="1087"/>
      <c r="J321" s="1087"/>
      <c r="K321" s="1087"/>
    </row>
    <row r="322" spans="1:11">
      <c r="A322" s="512"/>
      <c r="B322" s="1087"/>
      <c r="C322" s="1087"/>
      <c r="D322" s="1087"/>
      <c r="E322" s="1087"/>
      <c r="F322" s="1087"/>
      <c r="G322" s="1087"/>
      <c r="H322" s="1087"/>
      <c r="I322" s="1087"/>
      <c r="J322" s="1087"/>
      <c r="K322" s="1087"/>
    </row>
    <row r="323" spans="1:11">
      <c r="A323" s="512"/>
      <c r="B323" s="1087"/>
      <c r="C323" s="1087"/>
      <c r="D323" s="1087"/>
      <c r="E323" s="1087"/>
      <c r="F323" s="1087"/>
      <c r="G323" s="1087"/>
      <c r="H323" s="1087"/>
      <c r="I323" s="1087"/>
      <c r="J323" s="1087"/>
      <c r="K323" s="1087"/>
    </row>
    <row r="324" spans="1:11">
      <c r="A324" s="512"/>
      <c r="C324" s="506"/>
      <c r="D324" s="513"/>
      <c r="E324" s="506"/>
      <c r="F324" s="506"/>
      <c r="G324" s="506"/>
      <c r="H324" s="506"/>
      <c r="I324" s="506"/>
    </row>
    <row r="325" spans="1:11">
      <c r="A325" s="512"/>
      <c r="B325" s="1087"/>
      <c r="C325" s="1087"/>
      <c r="D325" s="1087"/>
      <c r="E325" s="1087"/>
      <c r="F325" s="1087"/>
      <c r="G325" s="1087"/>
      <c r="H325" s="1087"/>
      <c r="I325" s="1087"/>
      <c r="J325" s="1087"/>
      <c r="K325" s="1087"/>
    </row>
    <row r="326" spans="1:11">
      <c r="A326" s="512"/>
      <c r="B326" s="1087"/>
      <c r="C326" s="1087"/>
      <c r="D326" s="1087"/>
      <c r="E326" s="1087"/>
      <c r="F326" s="1087"/>
      <c r="G326" s="1087"/>
      <c r="H326" s="1087"/>
      <c r="I326" s="1087"/>
      <c r="J326" s="1087"/>
      <c r="K326" s="1087"/>
    </row>
    <row r="327" spans="1:11">
      <c r="A327" s="512"/>
      <c r="B327" s="1087"/>
      <c r="C327" s="1087"/>
      <c r="D327" s="1087"/>
      <c r="E327" s="1087"/>
      <c r="F327" s="1087"/>
      <c r="G327" s="1087"/>
      <c r="H327" s="1087"/>
      <c r="I327" s="1087"/>
      <c r="J327" s="1087"/>
      <c r="K327" s="1087"/>
    </row>
    <row r="328" spans="1:11">
      <c r="A328" s="512"/>
      <c r="C328" s="506"/>
      <c r="D328" s="513"/>
      <c r="E328" s="506"/>
      <c r="F328" s="506"/>
      <c r="G328" s="506"/>
      <c r="H328" s="506"/>
      <c r="I328" s="506"/>
    </row>
    <row r="329" spans="1:11">
      <c r="A329" s="512"/>
      <c r="C329" s="506"/>
      <c r="D329" s="513"/>
      <c r="E329" s="506"/>
      <c r="F329" s="506"/>
      <c r="G329" s="506"/>
      <c r="H329" s="506"/>
      <c r="I329" s="506"/>
    </row>
    <row r="330" spans="1:11">
      <c r="A330" s="512"/>
      <c r="C330" s="506"/>
      <c r="D330" s="513"/>
      <c r="E330" s="506"/>
      <c r="F330" s="506"/>
      <c r="G330" s="506"/>
      <c r="H330" s="506"/>
      <c r="I330" s="512"/>
    </row>
    <row r="331" spans="1:11">
      <c r="A331" s="512"/>
      <c r="C331" s="506"/>
      <c r="D331" s="506"/>
      <c r="E331" s="506"/>
      <c r="F331" s="506"/>
      <c r="G331" s="512"/>
      <c r="H331" s="506"/>
      <c r="I331" s="512"/>
    </row>
    <row r="332" spans="1:11">
      <c r="A332" s="512"/>
      <c r="C332" s="506"/>
      <c r="D332" s="511"/>
      <c r="E332" s="506"/>
      <c r="F332" s="506"/>
      <c r="G332" s="506"/>
      <c r="H332" s="506"/>
      <c r="I332" s="517"/>
    </row>
    <row r="333" spans="1:11">
      <c r="C333" s="512"/>
      <c r="D333" s="512"/>
      <c r="E333" s="511"/>
      <c r="F333" s="511"/>
      <c r="G333" s="514"/>
      <c r="H333" s="511"/>
      <c r="I333" s="515"/>
    </row>
    <row r="334" spans="1:11">
      <c r="C334" s="583"/>
      <c r="D334" s="511"/>
      <c r="E334" s="511"/>
      <c r="F334" s="511"/>
      <c r="G334" s="512"/>
      <c r="H334" s="511"/>
      <c r="I334" s="546"/>
    </row>
    <row r="335" spans="1:11">
      <c r="A335" s="512"/>
      <c r="B335" s="506"/>
      <c r="C335" s="545"/>
      <c r="D335" s="546"/>
      <c r="E335" s="548"/>
      <c r="F335" s="546"/>
      <c r="H335" s="548"/>
      <c r="I335" s="512"/>
    </row>
    <row r="336" spans="1:11">
      <c r="A336" s="512"/>
      <c r="B336" s="550"/>
      <c r="C336" s="511"/>
      <c r="D336" s="511"/>
      <c r="E336" s="511"/>
      <c r="F336" s="511"/>
      <c r="G336" s="511"/>
      <c r="H336" s="511"/>
      <c r="I336" s="511"/>
    </row>
    <row r="337" spans="1:9">
      <c r="A337" s="512"/>
      <c r="B337" s="506"/>
      <c r="C337" s="511"/>
      <c r="D337" s="511"/>
      <c r="E337" s="511"/>
      <c r="F337" s="511"/>
      <c r="G337" s="511"/>
      <c r="H337" s="511"/>
      <c r="I337" s="511"/>
    </row>
    <row r="338" spans="1:9">
      <c r="A338" s="512"/>
      <c r="B338" s="506"/>
      <c r="C338" s="511"/>
      <c r="D338" s="511"/>
      <c r="E338" s="511"/>
      <c r="F338" s="511"/>
      <c r="G338" s="511"/>
      <c r="H338" s="511"/>
      <c r="I338" s="511"/>
    </row>
    <row r="339" spans="1:9">
      <c r="A339" s="512"/>
      <c r="B339" s="561"/>
      <c r="D339" s="511"/>
      <c r="E339" s="511"/>
      <c r="F339" s="511"/>
      <c r="G339" s="572"/>
      <c r="H339" s="511"/>
      <c r="I339" s="511"/>
    </row>
    <row r="340" spans="1:9">
      <c r="A340" s="512"/>
      <c r="B340" s="506"/>
      <c r="D340" s="511"/>
      <c r="E340" s="511"/>
      <c r="F340" s="511"/>
      <c r="G340" s="572"/>
      <c r="H340" s="511"/>
      <c r="I340" s="511"/>
    </row>
    <row r="341" spans="1:9">
      <c r="A341" s="512"/>
      <c r="B341" s="506"/>
      <c r="C341" s="511"/>
      <c r="D341" s="511"/>
      <c r="E341" s="511"/>
      <c r="F341" s="511"/>
      <c r="G341" s="511"/>
      <c r="H341" s="511"/>
      <c r="I341" s="511"/>
    </row>
    <row r="342" spans="1:9">
      <c r="A342" s="512"/>
      <c r="B342" s="506"/>
      <c r="C342" s="511"/>
      <c r="D342" s="511"/>
      <c r="E342" s="511"/>
      <c r="F342" s="511"/>
      <c r="G342" s="511"/>
      <c r="H342" s="511"/>
      <c r="I342" s="511"/>
    </row>
    <row r="343" spans="1:9">
      <c r="A343" s="512"/>
      <c r="B343" s="506"/>
      <c r="C343" s="506"/>
      <c r="D343" s="511"/>
      <c r="E343" s="511"/>
      <c r="F343" s="511"/>
      <c r="G343" s="511"/>
      <c r="H343" s="506"/>
      <c r="I343" s="511"/>
    </row>
    <row r="344" spans="1:9">
      <c r="A344" s="512"/>
      <c r="B344" s="506"/>
      <c r="C344" s="506"/>
      <c r="D344" s="511"/>
      <c r="E344" s="511"/>
      <c r="F344" s="511"/>
      <c r="G344" s="511"/>
      <c r="H344" s="506"/>
      <c r="I344" s="511"/>
    </row>
    <row r="345" spans="1:9">
      <c r="A345" s="512"/>
      <c r="B345" s="506"/>
      <c r="C345" s="506"/>
      <c r="D345" s="506"/>
      <c r="E345" s="506"/>
      <c r="F345" s="506"/>
      <c r="G345" s="506"/>
      <c r="H345" s="506"/>
      <c r="I345" s="506"/>
    </row>
    <row r="346" spans="1:9">
      <c r="A346" s="512"/>
      <c r="B346" s="506"/>
      <c r="C346" s="506"/>
      <c r="D346" s="506"/>
      <c r="E346" s="506"/>
      <c r="F346" s="506"/>
      <c r="G346" s="506"/>
      <c r="H346" s="506"/>
      <c r="I346" s="506"/>
    </row>
    <row r="347" spans="1:9">
      <c r="A347" s="512"/>
      <c r="B347" s="506"/>
      <c r="C347" s="506"/>
      <c r="D347" s="506"/>
      <c r="E347" s="506"/>
      <c r="F347" s="506"/>
      <c r="G347" s="506"/>
      <c r="H347" s="506"/>
      <c r="I347" s="506"/>
    </row>
    <row r="348" spans="1:9">
      <c r="A348" s="512"/>
      <c r="B348" s="618"/>
      <c r="C348" s="506"/>
      <c r="D348" s="506"/>
      <c r="E348" s="506"/>
      <c r="F348" s="506"/>
      <c r="G348" s="506"/>
      <c r="H348" s="506"/>
      <c r="I348" s="506"/>
    </row>
    <row r="349" spans="1:9">
      <c r="A349" s="512"/>
      <c r="B349" s="618"/>
      <c r="C349" s="506"/>
      <c r="D349" s="506"/>
      <c r="E349" s="506"/>
      <c r="F349" s="506"/>
      <c r="G349" s="506"/>
      <c r="H349" s="506"/>
      <c r="I349" s="506"/>
    </row>
    <row r="350" spans="1:9">
      <c r="A350" s="512"/>
      <c r="B350" s="618"/>
      <c r="C350" s="506"/>
      <c r="D350" s="506"/>
      <c r="E350" s="506"/>
      <c r="F350" s="506"/>
      <c r="G350" s="506"/>
      <c r="H350" s="506"/>
      <c r="I350" s="506"/>
    </row>
    <row r="351" spans="1:9">
      <c r="A351" s="512"/>
      <c r="B351" s="618"/>
      <c r="C351" s="506"/>
      <c r="D351" s="506"/>
      <c r="E351" s="506"/>
      <c r="F351" s="506"/>
      <c r="G351" s="506"/>
      <c r="H351" s="506"/>
      <c r="I351" s="506"/>
    </row>
    <row r="352" spans="1:9">
      <c r="A352" s="512"/>
      <c r="B352" s="618"/>
      <c r="C352" s="506"/>
      <c r="D352" s="506"/>
      <c r="E352" s="506"/>
      <c r="F352" s="506"/>
      <c r="G352" s="506"/>
      <c r="H352" s="506"/>
      <c r="I352" s="506"/>
    </row>
    <row r="353" spans="1:12">
      <c r="A353" s="512"/>
      <c r="B353" s="618"/>
      <c r="C353" s="506"/>
      <c r="D353" s="506"/>
      <c r="E353" s="506"/>
      <c r="F353" s="506"/>
      <c r="G353" s="506"/>
      <c r="H353" s="506"/>
      <c r="I353" s="506"/>
    </row>
    <row r="354" spans="1:12">
      <c r="A354" s="512"/>
      <c r="B354" s="618"/>
      <c r="C354" s="506"/>
      <c r="D354" s="506"/>
      <c r="E354" s="506"/>
      <c r="F354" s="506"/>
      <c r="G354" s="506"/>
      <c r="H354" s="506"/>
      <c r="I354" s="506"/>
    </row>
    <row r="355" spans="1:12">
      <c r="A355" s="512"/>
      <c r="B355" s="506"/>
      <c r="C355" s="506"/>
      <c r="D355" s="506"/>
      <c r="E355" s="506"/>
      <c r="F355" s="506"/>
      <c r="G355" s="506"/>
      <c r="H355" s="506"/>
      <c r="I355" s="506"/>
    </row>
    <row r="356" spans="1:12">
      <c r="A356" s="512"/>
      <c r="B356" s="506"/>
      <c r="C356" s="506"/>
      <c r="D356" s="506"/>
      <c r="E356" s="506"/>
      <c r="F356" s="506"/>
      <c r="G356" s="506"/>
      <c r="H356" s="506"/>
      <c r="I356" s="506"/>
    </row>
    <row r="357" spans="1:12">
      <c r="A357" s="616"/>
      <c r="B357" s="507"/>
    </row>
    <row r="358" spans="1:12">
      <c r="B358" s="507"/>
    </row>
    <row r="359" spans="1:12">
      <c r="B359" s="507"/>
    </row>
    <row r="360" spans="1:12">
      <c r="B360" s="507"/>
    </row>
    <row r="361" spans="1:12">
      <c r="B361" s="507"/>
    </row>
    <row r="362" spans="1:12">
      <c r="B362" s="507"/>
    </row>
    <row r="363" spans="1:12">
      <c r="B363" s="507"/>
    </row>
    <row r="364" spans="1:12">
      <c r="B364" s="507"/>
    </row>
    <row r="366" spans="1:12">
      <c r="A366" s="506"/>
      <c r="B366" s="511"/>
      <c r="C366" s="511"/>
      <c r="D366" s="511"/>
      <c r="E366" s="511"/>
      <c r="F366" s="555"/>
      <c r="G366" s="511"/>
      <c r="H366" s="511"/>
      <c r="I366" s="511"/>
      <c r="K366" s="549"/>
      <c r="L366" s="505"/>
    </row>
    <row r="367" spans="1:12">
      <c r="A367" s="506"/>
      <c r="B367" s="511"/>
      <c r="C367" s="511"/>
      <c r="D367" s="511"/>
      <c r="E367" s="511"/>
      <c r="F367" s="555"/>
      <c r="G367" s="511"/>
      <c r="H367" s="511"/>
      <c r="I367" s="511"/>
      <c r="K367" s="549"/>
      <c r="L367" s="505"/>
    </row>
    <row r="368" spans="1:12">
      <c r="A368" s="506"/>
      <c r="B368" s="511"/>
      <c r="C368" s="511"/>
      <c r="D368" s="511"/>
      <c r="E368" s="511"/>
      <c r="F368" s="555"/>
      <c r="G368" s="511"/>
      <c r="H368" s="511"/>
      <c r="I368" s="511"/>
      <c r="J368" s="555"/>
      <c r="K368" s="555"/>
      <c r="L368" s="505"/>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39">
    <mergeCell ref="M222:R222"/>
    <mergeCell ref="E298:K298"/>
    <mergeCell ref="B289:K289"/>
    <mergeCell ref="B288:K288"/>
    <mergeCell ref="B292:K292"/>
    <mergeCell ref="B287:K287"/>
    <mergeCell ref="E297:K297"/>
    <mergeCell ref="B294:K294"/>
    <mergeCell ref="B295:K295"/>
    <mergeCell ref="B296:K296"/>
    <mergeCell ref="B290:K290"/>
    <mergeCell ref="B293:K293"/>
    <mergeCell ref="B291:K291"/>
    <mergeCell ref="B316:K316"/>
    <mergeCell ref="B314:K314"/>
    <mergeCell ref="B327:K327"/>
    <mergeCell ref="B326:K326"/>
    <mergeCell ref="B325:K325"/>
    <mergeCell ref="B323:K323"/>
    <mergeCell ref="B322:K322"/>
    <mergeCell ref="B317:K317"/>
    <mergeCell ref="B321:K321"/>
    <mergeCell ref="B320:K320"/>
    <mergeCell ref="F318:G318"/>
    <mergeCell ref="B310:K310"/>
    <mergeCell ref="B312:K312"/>
    <mergeCell ref="B313:K313"/>
    <mergeCell ref="E299:K299"/>
    <mergeCell ref="B309:K309"/>
    <mergeCell ref="B308:K308"/>
    <mergeCell ref="B307:K307"/>
    <mergeCell ref="B306:K306"/>
    <mergeCell ref="B305:K305"/>
    <mergeCell ref="B301:K301"/>
    <mergeCell ref="B304:K304"/>
    <mergeCell ref="B303:K303"/>
    <mergeCell ref="B302:K302"/>
    <mergeCell ref="B300:K300"/>
    <mergeCell ref="B311:K311"/>
  </mergeCells>
  <phoneticPr fontId="0" type="noConversion"/>
  <conditionalFormatting sqref="E245:E247">
    <cfRule type="expression" dxfId="1" priority="2">
      <formula>$E$318&gt;0.56</formula>
    </cfRule>
  </conditionalFormatting>
  <conditionalFormatting sqref="F318:G318">
    <cfRule type="expression" dxfId="0" priority="1">
      <formula>$E$318&gt;0.56</formula>
    </cfRule>
  </conditionalFormatting>
  <printOptions horizontalCentered="1"/>
  <pageMargins left="0.7" right="0.7" top="0.75" bottom="0.75" header="0.3" footer="0.3"/>
  <pageSetup scale="24" fitToWidth="0" fitToHeight="0" orientation="portrait" r:id="rId2"/>
  <headerFooter alignWithMargins="0"/>
  <rowBreaks count="4" manualBreakCount="4">
    <brk id="29" max="10" man="1"/>
    <brk id="103" max="10" man="1"/>
    <brk id="181" max="10" man="1"/>
    <brk id="274" max="10" man="1"/>
  </rowBreaks>
  <ignoredErrors>
    <ignoredError sqref="I261 I267" unlockedFormula="1"/>
    <ignoredError sqref="C111" numberStoredAsText="1"/>
    <ignoredError sqref="D85 D12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60" zoomScaleNormal="90" workbookViewId="0"/>
  </sheetViews>
  <sheetFormatPr defaultColWidth="7.109375" defaultRowHeight="12.75"/>
  <cols>
    <col min="1" max="1" width="47.88671875" style="5" customWidth="1"/>
    <col min="2" max="2" width="7.109375" style="5" customWidth="1"/>
    <col min="3" max="3" width="2.5546875" style="5" customWidth="1"/>
    <col min="4" max="4" width="15.88671875" style="5" customWidth="1"/>
    <col min="5" max="8" width="7.109375" style="5" customWidth="1"/>
    <col min="9" max="9" width="13.44140625" style="5" customWidth="1"/>
    <col min="10" max="10" width="47.88671875" style="5" customWidth="1"/>
    <col min="11" max="16384" width="7.109375" style="5"/>
  </cols>
  <sheetData>
    <row r="1" spans="2:10" ht="16.5" customHeight="1">
      <c r="G1" s="2"/>
      <c r="H1" s="1"/>
      <c r="J1" s="3" t="str">
        <f>'Attachment H-11A '!K1&amp;""&amp;", Attachment 1"</f>
        <v>Attachment H -11A, Attachment 1</v>
      </c>
    </row>
    <row r="2" spans="2:10" ht="16.5" customHeight="1">
      <c r="G2" s="2"/>
      <c r="H2" s="2"/>
      <c r="J2" s="3" t="s">
        <v>168</v>
      </c>
    </row>
    <row r="3" spans="2:10" ht="16.5" customHeight="1">
      <c r="G3" s="1"/>
      <c r="H3" s="2"/>
      <c r="J3" s="3" t="str">
        <f>'Attachment H-11A '!K4</f>
        <v>For the 12 months ended 12/31/2022</v>
      </c>
    </row>
    <row r="4" spans="2:10" ht="15.75">
      <c r="G4" s="1"/>
      <c r="H4" s="2"/>
      <c r="I4" s="3"/>
    </row>
    <row r="5" spans="2:10" ht="15.75">
      <c r="G5" s="1"/>
      <c r="H5" s="2"/>
      <c r="I5" s="3"/>
    </row>
    <row r="6" spans="2:10" ht="15.75" customHeight="1">
      <c r="B6" s="1093" t="s">
        <v>169</v>
      </c>
      <c r="C6" s="1093"/>
      <c r="D6" s="1093"/>
      <c r="E6" s="1093"/>
      <c r="F6" s="1093"/>
      <c r="G6" s="1093"/>
      <c r="H6" s="1093"/>
      <c r="I6" s="1093"/>
    </row>
    <row r="7" spans="2:10" ht="15.75">
      <c r="B7" s="4"/>
      <c r="C7" s="4"/>
      <c r="D7" s="7"/>
      <c r="E7" s="7"/>
      <c r="F7" s="6"/>
      <c r="G7" s="6" t="s">
        <v>3</v>
      </c>
      <c r="H7" s="6"/>
      <c r="I7" s="6"/>
    </row>
    <row r="8" spans="2:10" ht="15.75">
      <c r="B8" s="4"/>
      <c r="C8" s="4">
        <v>1</v>
      </c>
      <c r="D8" s="9">
        <f>'Attachment H-11A '!I201</f>
        <v>831669</v>
      </c>
      <c r="E8" s="4" t="s">
        <v>879</v>
      </c>
      <c r="F8" s="4"/>
      <c r="G8" s="8"/>
      <c r="H8" s="8"/>
      <c r="I8" s="8"/>
    </row>
    <row r="9" spans="2:10" ht="15.75">
      <c r="B9" s="4"/>
      <c r="C9" s="4">
        <v>2</v>
      </c>
      <c r="D9" s="98">
        <v>0</v>
      </c>
      <c r="E9" s="10" t="s">
        <v>135</v>
      </c>
      <c r="F9" s="8"/>
      <c r="G9" s="8"/>
      <c r="H9" s="8"/>
      <c r="I9" s="8"/>
    </row>
    <row r="10" spans="2:10" ht="15.75">
      <c r="B10" s="4"/>
      <c r="C10" s="4">
        <v>3</v>
      </c>
      <c r="D10" s="11">
        <f>D8-D9</f>
        <v>831669</v>
      </c>
      <c r="E10" s="8" t="s">
        <v>136</v>
      </c>
      <c r="F10" s="4"/>
      <c r="G10" s="8"/>
      <c r="H10" s="8"/>
      <c r="I10" s="8"/>
    </row>
    <row r="11" spans="2:10" ht="7.5" customHeight="1">
      <c r="B11" s="4"/>
      <c r="C11" s="4"/>
      <c r="D11" s="4"/>
      <c r="E11" s="8"/>
      <c r="F11" s="8"/>
      <c r="G11" s="8"/>
      <c r="H11" s="8"/>
      <c r="I11" s="8"/>
    </row>
    <row r="12" spans="2:10" ht="15.75">
      <c r="B12" s="4"/>
      <c r="C12" s="4">
        <v>4</v>
      </c>
      <c r="D12" s="97">
        <v>49649925.57</v>
      </c>
      <c r="E12" s="8" t="s">
        <v>806</v>
      </c>
      <c r="F12" s="8"/>
      <c r="G12" s="8"/>
      <c r="H12" s="8"/>
      <c r="I12" s="8"/>
    </row>
    <row r="13" spans="2:10" ht="15.75">
      <c r="B13" s="8"/>
      <c r="C13" s="4">
        <v>5</v>
      </c>
      <c r="D13" s="12">
        <f>D10/D12</f>
        <v>1.6750659551895076E-2</v>
      </c>
      <c r="E13" s="8" t="s">
        <v>177</v>
      </c>
      <c r="F13" s="8"/>
      <c r="G13" s="8"/>
      <c r="H13" s="8"/>
      <c r="I13" s="8"/>
    </row>
    <row r="14" spans="2:10" ht="15.75">
      <c r="B14" s="8"/>
      <c r="C14" s="8"/>
      <c r="D14" s="8"/>
      <c r="E14" s="8"/>
      <c r="F14" s="8"/>
      <c r="G14" s="8"/>
      <c r="H14" s="8"/>
      <c r="I14" s="8"/>
    </row>
    <row r="15" spans="2:10" ht="15.75">
      <c r="B15" s="15" t="s">
        <v>137</v>
      </c>
      <c r="D15" s="8"/>
      <c r="E15" s="8"/>
      <c r="F15" s="8"/>
      <c r="G15" s="8"/>
      <c r="H15" s="8"/>
      <c r="I15" s="8"/>
    </row>
    <row r="16" spans="2:10" ht="69.75" customHeight="1">
      <c r="B16" s="1031" t="s">
        <v>101</v>
      </c>
      <c r="C16" s="1091" t="s">
        <v>934</v>
      </c>
      <c r="D16" s="1092"/>
      <c r="E16" s="1092"/>
      <c r="F16" s="1092"/>
      <c r="G16" s="1092"/>
      <c r="H16" s="1092"/>
      <c r="I16" s="1092"/>
    </row>
    <row r="17" spans="2:9" ht="12" customHeight="1">
      <c r="B17" s="31"/>
      <c r="C17" s="13"/>
      <c r="D17" s="14"/>
      <c r="E17" s="14"/>
      <c r="F17" s="14"/>
      <c r="G17" s="14"/>
      <c r="H17" s="14"/>
      <c r="I17" s="14"/>
    </row>
    <row r="18" spans="2:9" ht="49.5" customHeight="1">
      <c r="B18" s="1031" t="s">
        <v>102</v>
      </c>
      <c r="C18" s="1091" t="s">
        <v>925</v>
      </c>
      <c r="D18" s="1091"/>
      <c r="E18" s="1091"/>
      <c r="F18" s="1091"/>
      <c r="G18" s="1091"/>
      <c r="H18" s="1091"/>
      <c r="I18" s="1091"/>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2"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68"/>
  <sheetViews>
    <sheetView view="pageBreakPreview" zoomScale="60" zoomScaleNormal="90" workbookViewId="0">
      <selection sqref="A1:I1"/>
    </sheetView>
  </sheetViews>
  <sheetFormatPr defaultRowHeight="12.75"/>
  <cols>
    <col min="1" max="1" width="7.109375" style="113" customWidth="1"/>
    <col min="2" max="2" width="2.33203125" style="113" customWidth="1"/>
    <col min="3" max="3" width="6.33203125" style="113" customWidth="1"/>
    <col min="4" max="4" width="33.44140625" style="113" customWidth="1"/>
    <col min="5" max="5" width="18" style="113" customWidth="1"/>
    <col min="6" max="6" width="27.6640625" style="113" customWidth="1"/>
    <col min="7" max="7" width="34.88671875" style="113" customWidth="1"/>
    <col min="8" max="8" width="3" style="113" customWidth="1"/>
    <col min="9" max="9" width="23.44140625" style="113" customWidth="1"/>
    <col min="10" max="10" width="7.88671875" style="113" customWidth="1"/>
    <col min="11" max="11" width="23.109375" style="113" customWidth="1"/>
    <col min="12" max="12" width="1.6640625" style="113" customWidth="1"/>
    <col min="13" max="256" width="8.88671875" style="113"/>
    <col min="257" max="257" width="7.109375" style="113" customWidth="1"/>
    <col min="258" max="258" width="2.33203125" style="113" customWidth="1"/>
    <col min="259" max="259" width="6.33203125" style="113" customWidth="1"/>
    <col min="260" max="260" width="33.44140625" style="113" customWidth="1"/>
    <col min="261" max="261" width="18" style="113" customWidth="1"/>
    <col min="262" max="262" width="27.6640625" style="113" customWidth="1"/>
    <col min="263" max="263" width="28.88671875" style="113" bestFit="1" customWidth="1"/>
    <col min="264" max="264" width="3" style="113" customWidth="1"/>
    <col min="265" max="265" width="23.44140625" style="113" customWidth="1"/>
    <col min="266" max="266" width="8.88671875" style="113"/>
    <col min="267" max="267" width="17.88671875" style="113" bestFit="1" customWidth="1"/>
    <col min="268" max="512" width="8.88671875" style="113"/>
    <col min="513" max="513" width="7.109375" style="113" customWidth="1"/>
    <col min="514" max="514" width="2.33203125" style="113" customWidth="1"/>
    <col min="515" max="515" width="6.33203125" style="113" customWidth="1"/>
    <col min="516" max="516" width="33.44140625" style="113" customWidth="1"/>
    <col min="517" max="517" width="18" style="113" customWidth="1"/>
    <col min="518" max="518" width="27.6640625" style="113" customWidth="1"/>
    <col min="519" max="519" width="28.88671875" style="113" bestFit="1" customWidth="1"/>
    <col min="520" max="520" width="3" style="113" customWidth="1"/>
    <col min="521" max="521" width="23.44140625" style="113" customWidth="1"/>
    <col min="522" max="522" width="8.88671875" style="113"/>
    <col min="523" max="523" width="17.88671875" style="113" bestFit="1" customWidth="1"/>
    <col min="524" max="768" width="8.88671875" style="113"/>
    <col min="769" max="769" width="7.109375" style="113" customWidth="1"/>
    <col min="770" max="770" width="2.33203125" style="113" customWidth="1"/>
    <col min="771" max="771" width="6.33203125" style="113" customWidth="1"/>
    <col min="772" max="772" width="33.44140625" style="113" customWidth="1"/>
    <col min="773" max="773" width="18" style="113" customWidth="1"/>
    <col min="774" max="774" width="27.6640625" style="113" customWidth="1"/>
    <col min="775" max="775" width="28.88671875" style="113" bestFit="1" customWidth="1"/>
    <col min="776" max="776" width="3" style="113" customWidth="1"/>
    <col min="777" max="777" width="23.44140625" style="113" customWidth="1"/>
    <col min="778" max="778" width="8.88671875" style="113"/>
    <col min="779" max="779" width="17.88671875" style="113" bestFit="1" customWidth="1"/>
    <col min="780" max="1024" width="8.88671875" style="113"/>
    <col min="1025" max="1025" width="7.109375" style="113" customWidth="1"/>
    <col min="1026" max="1026" width="2.33203125" style="113" customWidth="1"/>
    <col min="1027" max="1027" width="6.33203125" style="113" customWidth="1"/>
    <col min="1028" max="1028" width="33.44140625" style="113" customWidth="1"/>
    <col min="1029" max="1029" width="18" style="113" customWidth="1"/>
    <col min="1030" max="1030" width="27.6640625" style="113" customWidth="1"/>
    <col min="1031" max="1031" width="28.88671875" style="113" bestFit="1" customWidth="1"/>
    <col min="1032" max="1032" width="3" style="113" customWidth="1"/>
    <col min="1033" max="1033" width="23.44140625" style="113" customWidth="1"/>
    <col min="1034" max="1034" width="8.88671875" style="113"/>
    <col min="1035" max="1035" width="17.88671875" style="113" bestFit="1" customWidth="1"/>
    <col min="1036" max="1280" width="8.88671875" style="113"/>
    <col min="1281" max="1281" width="7.109375" style="113" customWidth="1"/>
    <col min="1282" max="1282" width="2.33203125" style="113" customWidth="1"/>
    <col min="1283" max="1283" width="6.33203125" style="113" customWidth="1"/>
    <col min="1284" max="1284" width="33.44140625" style="113" customWidth="1"/>
    <col min="1285" max="1285" width="18" style="113" customWidth="1"/>
    <col min="1286" max="1286" width="27.6640625" style="113" customWidth="1"/>
    <col min="1287" max="1287" width="28.88671875" style="113" bestFit="1" customWidth="1"/>
    <col min="1288" max="1288" width="3" style="113" customWidth="1"/>
    <col min="1289" max="1289" width="23.44140625" style="113" customWidth="1"/>
    <col min="1290" max="1290" width="8.88671875" style="113"/>
    <col min="1291" max="1291" width="17.88671875" style="113" bestFit="1" customWidth="1"/>
    <col min="1292" max="1536" width="8.88671875" style="113"/>
    <col min="1537" max="1537" width="7.109375" style="113" customWidth="1"/>
    <col min="1538" max="1538" width="2.33203125" style="113" customWidth="1"/>
    <col min="1539" max="1539" width="6.33203125" style="113" customWidth="1"/>
    <col min="1540" max="1540" width="33.44140625" style="113" customWidth="1"/>
    <col min="1541" max="1541" width="18" style="113" customWidth="1"/>
    <col min="1542" max="1542" width="27.6640625" style="113" customWidth="1"/>
    <col min="1543" max="1543" width="28.88671875" style="113" bestFit="1" customWidth="1"/>
    <col min="1544" max="1544" width="3" style="113" customWidth="1"/>
    <col min="1545" max="1545" width="23.44140625" style="113" customWidth="1"/>
    <col min="1546" max="1546" width="8.88671875" style="113"/>
    <col min="1547" max="1547" width="17.88671875" style="113" bestFit="1" customWidth="1"/>
    <col min="1548" max="1792" width="8.88671875" style="113"/>
    <col min="1793" max="1793" width="7.109375" style="113" customWidth="1"/>
    <col min="1794" max="1794" width="2.33203125" style="113" customWidth="1"/>
    <col min="1795" max="1795" width="6.33203125" style="113" customWidth="1"/>
    <col min="1796" max="1796" width="33.44140625" style="113" customWidth="1"/>
    <col min="1797" max="1797" width="18" style="113" customWidth="1"/>
    <col min="1798" max="1798" width="27.6640625" style="113" customWidth="1"/>
    <col min="1799" max="1799" width="28.88671875" style="113" bestFit="1" customWidth="1"/>
    <col min="1800" max="1800" width="3" style="113" customWidth="1"/>
    <col min="1801" max="1801" width="23.44140625" style="113" customWidth="1"/>
    <col min="1802" max="1802" width="8.88671875" style="113"/>
    <col min="1803" max="1803" width="17.88671875" style="113" bestFit="1" customWidth="1"/>
    <col min="1804" max="2048" width="8.88671875" style="113"/>
    <col min="2049" max="2049" width="7.109375" style="113" customWidth="1"/>
    <col min="2050" max="2050" width="2.33203125" style="113" customWidth="1"/>
    <col min="2051" max="2051" width="6.33203125" style="113" customWidth="1"/>
    <col min="2052" max="2052" width="33.44140625" style="113" customWidth="1"/>
    <col min="2053" max="2053" width="18" style="113" customWidth="1"/>
    <col min="2054" max="2054" width="27.6640625" style="113" customWidth="1"/>
    <col min="2055" max="2055" width="28.88671875" style="113" bestFit="1" customWidth="1"/>
    <col min="2056" max="2056" width="3" style="113" customWidth="1"/>
    <col min="2057" max="2057" width="23.44140625" style="113" customWidth="1"/>
    <col min="2058" max="2058" width="8.88671875" style="113"/>
    <col min="2059" max="2059" width="17.88671875" style="113" bestFit="1" customWidth="1"/>
    <col min="2060" max="2304" width="8.88671875" style="113"/>
    <col min="2305" max="2305" width="7.109375" style="113" customWidth="1"/>
    <col min="2306" max="2306" width="2.33203125" style="113" customWidth="1"/>
    <col min="2307" max="2307" width="6.33203125" style="113" customWidth="1"/>
    <col min="2308" max="2308" width="33.44140625" style="113" customWidth="1"/>
    <col min="2309" max="2309" width="18" style="113" customWidth="1"/>
    <col min="2310" max="2310" width="27.6640625" style="113" customWidth="1"/>
    <col min="2311" max="2311" width="28.88671875" style="113" bestFit="1" customWidth="1"/>
    <col min="2312" max="2312" width="3" style="113" customWidth="1"/>
    <col min="2313" max="2313" width="23.44140625" style="113" customWidth="1"/>
    <col min="2314" max="2314" width="8.88671875" style="113"/>
    <col min="2315" max="2315" width="17.88671875" style="113" bestFit="1" customWidth="1"/>
    <col min="2316" max="2560" width="8.88671875" style="113"/>
    <col min="2561" max="2561" width="7.109375" style="113" customWidth="1"/>
    <col min="2562" max="2562" width="2.33203125" style="113" customWidth="1"/>
    <col min="2563" max="2563" width="6.33203125" style="113" customWidth="1"/>
    <col min="2564" max="2564" width="33.44140625" style="113" customWidth="1"/>
    <col min="2565" max="2565" width="18" style="113" customWidth="1"/>
    <col min="2566" max="2566" width="27.6640625" style="113" customWidth="1"/>
    <col min="2567" max="2567" width="28.88671875" style="113" bestFit="1" customWidth="1"/>
    <col min="2568" max="2568" width="3" style="113" customWidth="1"/>
    <col min="2569" max="2569" width="23.44140625" style="113" customWidth="1"/>
    <col min="2570" max="2570" width="8.88671875" style="113"/>
    <col min="2571" max="2571" width="17.88671875" style="113" bestFit="1" customWidth="1"/>
    <col min="2572" max="2816" width="8.88671875" style="113"/>
    <col min="2817" max="2817" width="7.109375" style="113" customWidth="1"/>
    <col min="2818" max="2818" width="2.33203125" style="113" customWidth="1"/>
    <col min="2819" max="2819" width="6.33203125" style="113" customWidth="1"/>
    <col min="2820" max="2820" width="33.44140625" style="113" customWidth="1"/>
    <col min="2821" max="2821" width="18" style="113" customWidth="1"/>
    <col min="2822" max="2822" width="27.6640625" style="113" customWidth="1"/>
    <col min="2823" max="2823" width="28.88671875" style="113" bestFit="1" customWidth="1"/>
    <col min="2824" max="2824" width="3" style="113" customWidth="1"/>
    <col min="2825" max="2825" width="23.44140625" style="113" customWidth="1"/>
    <col min="2826" max="2826" width="8.88671875" style="113"/>
    <col min="2827" max="2827" width="17.88671875" style="113" bestFit="1" customWidth="1"/>
    <col min="2828" max="3072" width="8.88671875" style="113"/>
    <col min="3073" max="3073" width="7.109375" style="113" customWidth="1"/>
    <col min="3074" max="3074" width="2.33203125" style="113" customWidth="1"/>
    <col min="3075" max="3075" width="6.33203125" style="113" customWidth="1"/>
    <col min="3076" max="3076" width="33.44140625" style="113" customWidth="1"/>
    <col min="3077" max="3077" width="18" style="113" customWidth="1"/>
    <col min="3078" max="3078" width="27.6640625" style="113" customWidth="1"/>
    <col min="3079" max="3079" width="28.88671875" style="113" bestFit="1" customWidth="1"/>
    <col min="3080" max="3080" width="3" style="113" customWidth="1"/>
    <col min="3081" max="3081" width="23.44140625" style="113" customWidth="1"/>
    <col min="3082" max="3082" width="8.88671875" style="113"/>
    <col min="3083" max="3083" width="17.88671875" style="113" bestFit="1" customWidth="1"/>
    <col min="3084" max="3328" width="8.88671875" style="113"/>
    <col min="3329" max="3329" width="7.109375" style="113" customWidth="1"/>
    <col min="3330" max="3330" width="2.33203125" style="113" customWidth="1"/>
    <col min="3331" max="3331" width="6.33203125" style="113" customWidth="1"/>
    <col min="3332" max="3332" width="33.44140625" style="113" customWidth="1"/>
    <col min="3333" max="3333" width="18" style="113" customWidth="1"/>
    <col min="3334" max="3334" width="27.6640625" style="113" customWidth="1"/>
    <col min="3335" max="3335" width="28.88671875" style="113" bestFit="1" customWidth="1"/>
    <col min="3336" max="3336" width="3" style="113" customWidth="1"/>
    <col min="3337" max="3337" width="23.44140625" style="113" customWidth="1"/>
    <col min="3338" max="3338" width="8.88671875" style="113"/>
    <col min="3339" max="3339" width="17.88671875" style="113" bestFit="1" customWidth="1"/>
    <col min="3340" max="3584" width="8.88671875" style="113"/>
    <col min="3585" max="3585" width="7.109375" style="113" customWidth="1"/>
    <col min="3586" max="3586" width="2.33203125" style="113" customWidth="1"/>
    <col min="3587" max="3587" width="6.33203125" style="113" customWidth="1"/>
    <col min="3588" max="3588" width="33.44140625" style="113" customWidth="1"/>
    <col min="3589" max="3589" width="18" style="113" customWidth="1"/>
    <col min="3590" max="3590" width="27.6640625" style="113" customWidth="1"/>
    <col min="3591" max="3591" width="28.88671875" style="113" bestFit="1" customWidth="1"/>
    <col min="3592" max="3592" width="3" style="113" customWidth="1"/>
    <col min="3593" max="3593" width="23.44140625" style="113" customWidth="1"/>
    <col min="3594" max="3594" width="8.88671875" style="113"/>
    <col min="3595" max="3595" width="17.88671875" style="113" bestFit="1" customWidth="1"/>
    <col min="3596" max="3840" width="8.88671875" style="113"/>
    <col min="3841" max="3841" width="7.109375" style="113" customWidth="1"/>
    <col min="3842" max="3842" width="2.33203125" style="113" customWidth="1"/>
    <col min="3843" max="3843" width="6.33203125" style="113" customWidth="1"/>
    <col min="3844" max="3844" width="33.44140625" style="113" customWidth="1"/>
    <col min="3845" max="3845" width="18" style="113" customWidth="1"/>
    <col min="3846" max="3846" width="27.6640625" style="113" customWidth="1"/>
    <col min="3847" max="3847" width="28.88671875" style="113" bestFit="1" customWidth="1"/>
    <col min="3848" max="3848" width="3" style="113" customWidth="1"/>
    <col min="3849" max="3849" width="23.44140625" style="113" customWidth="1"/>
    <col min="3850" max="3850" width="8.88671875" style="113"/>
    <col min="3851" max="3851" width="17.88671875" style="113" bestFit="1" customWidth="1"/>
    <col min="3852" max="4096" width="8.88671875" style="113"/>
    <col min="4097" max="4097" width="7.109375" style="113" customWidth="1"/>
    <col min="4098" max="4098" width="2.33203125" style="113" customWidth="1"/>
    <col min="4099" max="4099" width="6.33203125" style="113" customWidth="1"/>
    <col min="4100" max="4100" width="33.44140625" style="113" customWidth="1"/>
    <col min="4101" max="4101" width="18" style="113" customWidth="1"/>
    <col min="4102" max="4102" width="27.6640625" style="113" customWidth="1"/>
    <col min="4103" max="4103" width="28.88671875" style="113" bestFit="1" customWidth="1"/>
    <col min="4104" max="4104" width="3" style="113" customWidth="1"/>
    <col min="4105" max="4105" width="23.44140625" style="113" customWidth="1"/>
    <col min="4106" max="4106" width="8.88671875" style="113"/>
    <col min="4107" max="4107" width="17.88671875" style="113" bestFit="1" customWidth="1"/>
    <col min="4108" max="4352" width="8.88671875" style="113"/>
    <col min="4353" max="4353" width="7.109375" style="113" customWidth="1"/>
    <col min="4354" max="4354" width="2.33203125" style="113" customWidth="1"/>
    <col min="4355" max="4355" width="6.33203125" style="113" customWidth="1"/>
    <col min="4356" max="4356" width="33.44140625" style="113" customWidth="1"/>
    <col min="4357" max="4357" width="18" style="113" customWidth="1"/>
    <col min="4358" max="4358" width="27.6640625" style="113" customWidth="1"/>
    <col min="4359" max="4359" width="28.88671875" style="113" bestFit="1" customWidth="1"/>
    <col min="4360" max="4360" width="3" style="113" customWidth="1"/>
    <col min="4361" max="4361" width="23.44140625" style="113" customWidth="1"/>
    <col min="4362" max="4362" width="8.88671875" style="113"/>
    <col min="4363" max="4363" width="17.88671875" style="113" bestFit="1" customWidth="1"/>
    <col min="4364" max="4608" width="8.88671875" style="113"/>
    <col min="4609" max="4609" width="7.109375" style="113" customWidth="1"/>
    <col min="4610" max="4610" width="2.33203125" style="113" customWidth="1"/>
    <col min="4611" max="4611" width="6.33203125" style="113" customWidth="1"/>
    <col min="4612" max="4612" width="33.44140625" style="113" customWidth="1"/>
    <col min="4613" max="4613" width="18" style="113" customWidth="1"/>
    <col min="4614" max="4614" width="27.6640625" style="113" customWidth="1"/>
    <col min="4615" max="4615" width="28.88671875" style="113" bestFit="1" customWidth="1"/>
    <col min="4616" max="4616" width="3" style="113" customWidth="1"/>
    <col min="4617" max="4617" width="23.44140625" style="113" customWidth="1"/>
    <col min="4618" max="4618" width="8.88671875" style="113"/>
    <col min="4619" max="4619" width="17.88671875" style="113" bestFit="1" customWidth="1"/>
    <col min="4620" max="4864" width="8.88671875" style="113"/>
    <col min="4865" max="4865" width="7.109375" style="113" customWidth="1"/>
    <col min="4866" max="4866" width="2.33203125" style="113" customWidth="1"/>
    <col min="4867" max="4867" width="6.33203125" style="113" customWidth="1"/>
    <col min="4868" max="4868" width="33.44140625" style="113" customWidth="1"/>
    <col min="4869" max="4869" width="18" style="113" customWidth="1"/>
    <col min="4870" max="4870" width="27.6640625" style="113" customWidth="1"/>
    <col min="4871" max="4871" width="28.88671875" style="113" bestFit="1" customWidth="1"/>
    <col min="4872" max="4872" width="3" style="113" customWidth="1"/>
    <col min="4873" max="4873" width="23.44140625" style="113" customWidth="1"/>
    <col min="4874" max="4874" width="8.88671875" style="113"/>
    <col min="4875" max="4875" width="17.88671875" style="113" bestFit="1" customWidth="1"/>
    <col min="4876" max="5120" width="8.88671875" style="113"/>
    <col min="5121" max="5121" width="7.109375" style="113" customWidth="1"/>
    <col min="5122" max="5122" width="2.33203125" style="113" customWidth="1"/>
    <col min="5123" max="5123" width="6.33203125" style="113" customWidth="1"/>
    <col min="5124" max="5124" width="33.44140625" style="113" customWidth="1"/>
    <col min="5125" max="5125" width="18" style="113" customWidth="1"/>
    <col min="5126" max="5126" width="27.6640625" style="113" customWidth="1"/>
    <col min="5127" max="5127" width="28.88671875" style="113" bestFit="1" customWidth="1"/>
    <col min="5128" max="5128" width="3" style="113" customWidth="1"/>
    <col min="5129" max="5129" width="23.44140625" style="113" customWidth="1"/>
    <col min="5130" max="5130" width="8.88671875" style="113"/>
    <col min="5131" max="5131" width="17.88671875" style="113" bestFit="1" customWidth="1"/>
    <col min="5132" max="5376" width="8.88671875" style="113"/>
    <col min="5377" max="5377" width="7.109375" style="113" customWidth="1"/>
    <col min="5378" max="5378" width="2.33203125" style="113" customWidth="1"/>
    <col min="5379" max="5379" width="6.33203125" style="113" customWidth="1"/>
    <col min="5380" max="5380" width="33.44140625" style="113" customWidth="1"/>
    <col min="5381" max="5381" width="18" style="113" customWidth="1"/>
    <col min="5382" max="5382" width="27.6640625" style="113" customWidth="1"/>
    <col min="5383" max="5383" width="28.88671875" style="113" bestFit="1" customWidth="1"/>
    <col min="5384" max="5384" width="3" style="113" customWidth="1"/>
    <col min="5385" max="5385" width="23.44140625" style="113" customWidth="1"/>
    <col min="5386" max="5386" width="8.88671875" style="113"/>
    <col min="5387" max="5387" width="17.88671875" style="113" bestFit="1" customWidth="1"/>
    <col min="5388" max="5632" width="8.88671875" style="113"/>
    <col min="5633" max="5633" width="7.109375" style="113" customWidth="1"/>
    <col min="5634" max="5634" width="2.33203125" style="113" customWidth="1"/>
    <col min="5635" max="5635" width="6.33203125" style="113" customWidth="1"/>
    <col min="5636" max="5636" width="33.44140625" style="113" customWidth="1"/>
    <col min="5637" max="5637" width="18" style="113" customWidth="1"/>
    <col min="5638" max="5638" width="27.6640625" style="113" customWidth="1"/>
    <col min="5639" max="5639" width="28.88671875" style="113" bestFit="1" customWidth="1"/>
    <col min="5640" max="5640" width="3" style="113" customWidth="1"/>
    <col min="5641" max="5641" width="23.44140625" style="113" customWidth="1"/>
    <col min="5642" max="5642" width="8.88671875" style="113"/>
    <col min="5643" max="5643" width="17.88671875" style="113" bestFit="1" customWidth="1"/>
    <col min="5644" max="5888" width="8.88671875" style="113"/>
    <col min="5889" max="5889" width="7.109375" style="113" customWidth="1"/>
    <col min="5890" max="5890" width="2.33203125" style="113" customWidth="1"/>
    <col min="5891" max="5891" width="6.33203125" style="113" customWidth="1"/>
    <col min="5892" max="5892" width="33.44140625" style="113" customWidth="1"/>
    <col min="5893" max="5893" width="18" style="113" customWidth="1"/>
    <col min="5894" max="5894" width="27.6640625" style="113" customWidth="1"/>
    <col min="5895" max="5895" width="28.88671875" style="113" bestFit="1" customWidth="1"/>
    <col min="5896" max="5896" width="3" style="113" customWidth="1"/>
    <col min="5897" max="5897" width="23.44140625" style="113" customWidth="1"/>
    <col min="5898" max="5898" width="8.88671875" style="113"/>
    <col min="5899" max="5899" width="17.88671875" style="113" bestFit="1" customWidth="1"/>
    <col min="5900" max="6144" width="8.88671875" style="113"/>
    <col min="6145" max="6145" width="7.109375" style="113" customWidth="1"/>
    <col min="6146" max="6146" width="2.33203125" style="113" customWidth="1"/>
    <col min="6147" max="6147" width="6.33203125" style="113" customWidth="1"/>
    <col min="6148" max="6148" width="33.44140625" style="113" customWidth="1"/>
    <col min="6149" max="6149" width="18" style="113" customWidth="1"/>
    <col min="6150" max="6150" width="27.6640625" style="113" customWidth="1"/>
    <col min="6151" max="6151" width="28.88671875" style="113" bestFit="1" customWidth="1"/>
    <col min="6152" max="6152" width="3" style="113" customWidth="1"/>
    <col min="6153" max="6153" width="23.44140625" style="113" customWidth="1"/>
    <col min="6154" max="6154" width="8.88671875" style="113"/>
    <col min="6155" max="6155" width="17.88671875" style="113" bestFit="1" customWidth="1"/>
    <col min="6156" max="6400" width="8.88671875" style="113"/>
    <col min="6401" max="6401" width="7.109375" style="113" customWidth="1"/>
    <col min="6402" max="6402" width="2.33203125" style="113" customWidth="1"/>
    <col min="6403" max="6403" width="6.33203125" style="113" customWidth="1"/>
    <col min="6404" max="6404" width="33.44140625" style="113" customWidth="1"/>
    <col min="6405" max="6405" width="18" style="113" customWidth="1"/>
    <col min="6406" max="6406" width="27.6640625" style="113" customWidth="1"/>
    <col min="6407" max="6407" width="28.88671875" style="113" bestFit="1" customWidth="1"/>
    <col min="6408" max="6408" width="3" style="113" customWidth="1"/>
    <col min="6409" max="6409" width="23.44140625" style="113" customWidth="1"/>
    <col min="6410" max="6410" width="8.88671875" style="113"/>
    <col min="6411" max="6411" width="17.88671875" style="113" bestFit="1" customWidth="1"/>
    <col min="6412" max="6656" width="8.88671875" style="113"/>
    <col min="6657" max="6657" width="7.109375" style="113" customWidth="1"/>
    <col min="6658" max="6658" width="2.33203125" style="113" customWidth="1"/>
    <col min="6659" max="6659" width="6.33203125" style="113" customWidth="1"/>
    <col min="6660" max="6660" width="33.44140625" style="113" customWidth="1"/>
    <col min="6661" max="6661" width="18" style="113" customWidth="1"/>
    <col min="6662" max="6662" width="27.6640625" style="113" customWidth="1"/>
    <col min="6663" max="6663" width="28.88671875" style="113" bestFit="1" customWidth="1"/>
    <col min="6664" max="6664" width="3" style="113" customWidth="1"/>
    <col min="6665" max="6665" width="23.44140625" style="113" customWidth="1"/>
    <col min="6666" max="6666" width="8.88671875" style="113"/>
    <col min="6667" max="6667" width="17.88671875" style="113" bestFit="1" customWidth="1"/>
    <col min="6668" max="6912" width="8.88671875" style="113"/>
    <col min="6913" max="6913" width="7.109375" style="113" customWidth="1"/>
    <col min="6914" max="6914" width="2.33203125" style="113" customWidth="1"/>
    <col min="6915" max="6915" width="6.33203125" style="113" customWidth="1"/>
    <col min="6916" max="6916" width="33.44140625" style="113" customWidth="1"/>
    <col min="6917" max="6917" width="18" style="113" customWidth="1"/>
    <col min="6918" max="6918" width="27.6640625" style="113" customWidth="1"/>
    <col min="6919" max="6919" width="28.88671875" style="113" bestFit="1" customWidth="1"/>
    <col min="6920" max="6920" width="3" style="113" customWidth="1"/>
    <col min="6921" max="6921" width="23.44140625" style="113" customWidth="1"/>
    <col min="6922" max="6922" width="8.88671875" style="113"/>
    <col min="6923" max="6923" width="17.88671875" style="113" bestFit="1" customWidth="1"/>
    <col min="6924" max="7168" width="8.88671875" style="113"/>
    <col min="7169" max="7169" width="7.109375" style="113" customWidth="1"/>
    <col min="7170" max="7170" width="2.33203125" style="113" customWidth="1"/>
    <col min="7171" max="7171" width="6.33203125" style="113" customWidth="1"/>
    <col min="7172" max="7172" width="33.44140625" style="113" customWidth="1"/>
    <col min="7173" max="7173" width="18" style="113" customWidth="1"/>
    <col min="7174" max="7174" width="27.6640625" style="113" customWidth="1"/>
    <col min="7175" max="7175" width="28.88671875" style="113" bestFit="1" customWidth="1"/>
    <col min="7176" max="7176" width="3" style="113" customWidth="1"/>
    <col min="7177" max="7177" width="23.44140625" style="113" customWidth="1"/>
    <col min="7178" max="7178" width="8.88671875" style="113"/>
    <col min="7179" max="7179" width="17.88671875" style="113" bestFit="1" customWidth="1"/>
    <col min="7180" max="7424" width="8.88671875" style="113"/>
    <col min="7425" max="7425" width="7.109375" style="113" customWidth="1"/>
    <col min="7426" max="7426" width="2.33203125" style="113" customWidth="1"/>
    <col min="7427" max="7427" width="6.33203125" style="113" customWidth="1"/>
    <col min="7428" max="7428" width="33.44140625" style="113" customWidth="1"/>
    <col min="7429" max="7429" width="18" style="113" customWidth="1"/>
    <col min="7430" max="7430" width="27.6640625" style="113" customWidth="1"/>
    <col min="7431" max="7431" width="28.88671875" style="113" bestFit="1" customWidth="1"/>
    <col min="7432" max="7432" width="3" style="113" customWidth="1"/>
    <col min="7433" max="7433" width="23.44140625" style="113" customWidth="1"/>
    <col min="7434" max="7434" width="8.88671875" style="113"/>
    <col min="7435" max="7435" width="17.88671875" style="113" bestFit="1" customWidth="1"/>
    <col min="7436" max="7680" width="8.88671875" style="113"/>
    <col min="7681" max="7681" width="7.109375" style="113" customWidth="1"/>
    <col min="7682" max="7682" width="2.33203125" style="113" customWidth="1"/>
    <col min="7683" max="7683" width="6.33203125" style="113" customWidth="1"/>
    <col min="7684" max="7684" width="33.44140625" style="113" customWidth="1"/>
    <col min="7685" max="7685" width="18" style="113" customWidth="1"/>
    <col min="7686" max="7686" width="27.6640625" style="113" customWidth="1"/>
    <col min="7687" max="7687" width="28.88671875" style="113" bestFit="1" customWidth="1"/>
    <col min="7688" max="7688" width="3" style="113" customWidth="1"/>
    <col min="7689" max="7689" width="23.44140625" style="113" customWidth="1"/>
    <col min="7690" max="7690" width="8.88671875" style="113"/>
    <col min="7691" max="7691" width="17.88671875" style="113" bestFit="1" customWidth="1"/>
    <col min="7692" max="7936" width="8.88671875" style="113"/>
    <col min="7937" max="7937" width="7.109375" style="113" customWidth="1"/>
    <col min="7938" max="7938" width="2.33203125" style="113" customWidth="1"/>
    <col min="7939" max="7939" width="6.33203125" style="113" customWidth="1"/>
    <col min="7940" max="7940" width="33.44140625" style="113" customWidth="1"/>
    <col min="7941" max="7941" width="18" style="113" customWidth="1"/>
    <col min="7942" max="7942" width="27.6640625" style="113" customWidth="1"/>
    <col min="7943" max="7943" width="28.88671875" style="113" bestFit="1" customWidth="1"/>
    <col min="7944" max="7944" width="3" style="113" customWidth="1"/>
    <col min="7945" max="7945" width="23.44140625" style="113" customWidth="1"/>
    <col min="7946" max="7946" width="8.88671875" style="113"/>
    <col min="7947" max="7947" width="17.88671875" style="113" bestFit="1" customWidth="1"/>
    <col min="7948" max="8192" width="8.88671875" style="113"/>
    <col min="8193" max="8193" width="7.109375" style="113" customWidth="1"/>
    <col min="8194" max="8194" width="2.33203125" style="113" customWidth="1"/>
    <col min="8195" max="8195" width="6.33203125" style="113" customWidth="1"/>
    <col min="8196" max="8196" width="33.44140625" style="113" customWidth="1"/>
    <col min="8197" max="8197" width="18" style="113" customWidth="1"/>
    <col min="8198" max="8198" width="27.6640625" style="113" customWidth="1"/>
    <col min="8199" max="8199" width="28.88671875" style="113" bestFit="1" customWidth="1"/>
    <col min="8200" max="8200" width="3" style="113" customWidth="1"/>
    <col min="8201" max="8201" width="23.44140625" style="113" customWidth="1"/>
    <col min="8202" max="8202" width="8.88671875" style="113"/>
    <col min="8203" max="8203" width="17.88671875" style="113" bestFit="1" customWidth="1"/>
    <col min="8204" max="8448" width="8.88671875" style="113"/>
    <col min="8449" max="8449" width="7.109375" style="113" customWidth="1"/>
    <col min="8450" max="8450" width="2.33203125" style="113" customWidth="1"/>
    <col min="8451" max="8451" width="6.33203125" style="113" customWidth="1"/>
    <col min="8452" max="8452" width="33.44140625" style="113" customWidth="1"/>
    <col min="8453" max="8453" width="18" style="113" customWidth="1"/>
    <col min="8454" max="8454" width="27.6640625" style="113" customWidth="1"/>
    <col min="8455" max="8455" width="28.88671875" style="113" bestFit="1" customWidth="1"/>
    <col min="8456" max="8456" width="3" style="113" customWidth="1"/>
    <col min="8457" max="8457" width="23.44140625" style="113" customWidth="1"/>
    <col min="8458" max="8458" width="8.88671875" style="113"/>
    <col min="8459" max="8459" width="17.88671875" style="113" bestFit="1" customWidth="1"/>
    <col min="8460" max="8704" width="8.88671875" style="113"/>
    <col min="8705" max="8705" width="7.109375" style="113" customWidth="1"/>
    <col min="8706" max="8706" width="2.33203125" style="113" customWidth="1"/>
    <col min="8707" max="8707" width="6.33203125" style="113" customWidth="1"/>
    <col min="8708" max="8708" width="33.44140625" style="113" customWidth="1"/>
    <col min="8709" max="8709" width="18" style="113" customWidth="1"/>
    <col min="8710" max="8710" width="27.6640625" style="113" customWidth="1"/>
    <col min="8711" max="8711" width="28.88671875" style="113" bestFit="1" customWidth="1"/>
    <col min="8712" max="8712" width="3" style="113" customWidth="1"/>
    <col min="8713" max="8713" width="23.44140625" style="113" customWidth="1"/>
    <col min="8714" max="8714" width="8.88671875" style="113"/>
    <col min="8715" max="8715" width="17.88671875" style="113" bestFit="1" customWidth="1"/>
    <col min="8716" max="8960" width="8.88671875" style="113"/>
    <col min="8961" max="8961" width="7.109375" style="113" customWidth="1"/>
    <col min="8962" max="8962" width="2.33203125" style="113" customWidth="1"/>
    <col min="8963" max="8963" width="6.33203125" style="113" customWidth="1"/>
    <col min="8964" max="8964" width="33.44140625" style="113" customWidth="1"/>
    <col min="8965" max="8965" width="18" style="113" customWidth="1"/>
    <col min="8966" max="8966" width="27.6640625" style="113" customWidth="1"/>
    <col min="8967" max="8967" width="28.88671875" style="113" bestFit="1" customWidth="1"/>
    <col min="8968" max="8968" width="3" style="113" customWidth="1"/>
    <col min="8969" max="8969" width="23.44140625" style="113" customWidth="1"/>
    <col min="8970" max="8970" width="8.88671875" style="113"/>
    <col min="8971" max="8971" width="17.88671875" style="113" bestFit="1" customWidth="1"/>
    <col min="8972" max="9216" width="8.88671875" style="113"/>
    <col min="9217" max="9217" width="7.109375" style="113" customWidth="1"/>
    <col min="9218" max="9218" width="2.33203125" style="113" customWidth="1"/>
    <col min="9219" max="9219" width="6.33203125" style="113" customWidth="1"/>
    <col min="9220" max="9220" width="33.44140625" style="113" customWidth="1"/>
    <col min="9221" max="9221" width="18" style="113" customWidth="1"/>
    <col min="9222" max="9222" width="27.6640625" style="113" customWidth="1"/>
    <col min="9223" max="9223" width="28.88671875" style="113" bestFit="1" customWidth="1"/>
    <col min="9224" max="9224" width="3" style="113" customWidth="1"/>
    <col min="9225" max="9225" width="23.44140625" style="113" customWidth="1"/>
    <col min="9226" max="9226" width="8.88671875" style="113"/>
    <col min="9227" max="9227" width="17.88671875" style="113" bestFit="1" customWidth="1"/>
    <col min="9228" max="9472" width="8.88671875" style="113"/>
    <col min="9473" max="9473" width="7.109375" style="113" customWidth="1"/>
    <col min="9474" max="9474" width="2.33203125" style="113" customWidth="1"/>
    <col min="9475" max="9475" width="6.33203125" style="113" customWidth="1"/>
    <col min="9476" max="9476" width="33.44140625" style="113" customWidth="1"/>
    <col min="9477" max="9477" width="18" style="113" customWidth="1"/>
    <col min="9478" max="9478" width="27.6640625" style="113" customWidth="1"/>
    <col min="9479" max="9479" width="28.88671875" style="113" bestFit="1" customWidth="1"/>
    <col min="9480" max="9480" width="3" style="113" customWidth="1"/>
    <col min="9481" max="9481" width="23.44140625" style="113" customWidth="1"/>
    <col min="9482" max="9482" width="8.88671875" style="113"/>
    <col min="9483" max="9483" width="17.88671875" style="113" bestFit="1" customWidth="1"/>
    <col min="9484" max="9728" width="8.88671875" style="113"/>
    <col min="9729" max="9729" width="7.109375" style="113" customWidth="1"/>
    <col min="9730" max="9730" width="2.33203125" style="113" customWidth="1"/>
    <col min="9731" max="9731" width="6.33203125" style="113" customWidth="1"/>
    <col min="9732" max="9732" width="33.44140625" style="113" customWidth="1"/>
    <col min="9733" max="9733" width="18" style="113" customWidth="1"/>
    <col min="9734" max="9734" width="27.6640625" style="113" customWidth="1"/>
    <col min="9735" max="9735" width="28.88671875" style="113" bestFit="1" customWidth="1"/>
    <col min="9736" max="9736" width="3" style="113" customWidth="1"/>
    <col min="9737" max="9737" width="23.44140625" style="113" customWidth="1"/>
    <col min="9738" max="9738" width="8.88671875" style="113"/>
    <col min="9739" max="9739" width="17.88671875" style="113" bestFit="1" customWidth="1"/>
    <col min="9740" max="9984" width="8.88671875" style="113"/>
    <col min="9985" max="9985" width="7.109375" style="113" customWidth="1"/>
    <col min="9986" max="9986" width="2.33203125" style="113" customWidth="1"/>
    <col min="9987" max="9987" width="6.33203125" style="113" customWidth="1"/>
    <col min="9988" max="9988" width="33.44140625" style="113" customWidth="1"/>
    <col min="9989" max="9989" width="18" style="113" customWidth="1"/>
    <col min="9990" max="9990" width="27.6640625" style="113" customWidth="1"/>
    <col min="9991" max="9991" width="28.88671875" style="113" bestFit="1" customWidth="1"/>
    <col min="9992" max="9992" width="3" style="113" customWidth="1"/>
    <col min="9993" max="9993" width="23.44140625" style="113" customWidth="1"/>
    <col min="9994" max="9994" width="8.88671875" style="113"/>
    <col min="9995" max="9995" width="17.88671875" style="113" bestFit="1" customWidth="1"/>
    <col min="9996" max="10240" width="8.88671875" style="113"/>
    <col min="10241" max="10241" width="7.109375" style="113" customWidth="1"/>
    <col min="10242" max="10242" width="2.33203125" style="113" customWidth="1"/>
    <col min="10243" max="10243" width="6.33203125" style="113" customWidth="1"/>
    <col min="10244" max="10244" width="33.44140625" style="113" customWidth="1"/>
    <col min="10245" max="10245" width="18" style="113" customWidth="1"/>
    <col min="10246" max="10246" width="27.6640625" style="113" customWidth="1"/>
    <col min="10247" max="10247" width="28.88671875" style="113" bestFit="1" customWidth="1"/>
    <col min="10248" max="10248" width="3" style="113" customWidth="1"/>
    <col min="10249" max="10249" width="23.44140625" style="113" customWidth="1"/>
    <col min="10250" max="10250" width="8.88671875" style="113"/>
    <col min="10251" max="10251" width="17.88671875" style="113" bestFit="1" customWidth="1"/>
    <col min="10252" max="10496" width="8.88671875" style="113"/>
    <col min="10497" max="10497" width="7.109375" style="113" customWidth="1"/>
    <col min="10498" max="10498" width="2.33203125" style="113" customWidth="1"/>
    <col min="10499" max="10499" width="6.33203125" style="113" customWidth="1"/>
    <col min="10500" max="10500" width="33.44140625" style="113" customWidth="1"/>
    <col min="10501" max="10501" width="18" style="113" customWidth="1"/>
    <col min="10502" max="10502" width="27.6640625" style="113" customWidth="1"/>
    <col min="10503" max="10503" width="28.88671875" style="113" bestFit="1" customWidth="1"/>
    <col min="10504" max="10504" width="3" style="113" customWidth="1"/>
    <col min="10505" max="10505" width="23.44140625" style="113" customWidth="1"/>
    <col min="10506" max="10506" width="8.88671875" style="113"/>
    <col min="10507" max="10507" width="17.88671875" style="113" bestFit="1" customWidth="1"/>
    <col min="10508" max="10752" width="8.88671875" style="113"/>
    <col min="10753" max="10753" width="7.109375" style="113" customWidth="1"/>
    <col min="10754" max="10754" width="2.33203125" style="113" customWidth="1"/>
    <col min="10755" max="10755" width="6.33203125" style="113" customWidth="1"/>
    <col min="10756" max="10756" width="33.44140625" style="113" customWidth="1"/>
    <col min="10757" max="10757" width="18" style="113" customWidth="1"/>
    <col min="10758" max="10758" width="27.6640625" style="113" customWidth="1"/>
    <col min="10759" max="10759" width="28.88671875" style="113" bestFit="1" customWidth="1"/>
    <col min="10760" max="10760" width="3" style="113" customWidth="1"/>
    <col min="10761" max="10761" width="23.44140625" style="113" customWidth="1"/>
    <col min="10762" max="10762" width="8.88671875" style="113"/>
    <col min="10763" max="10763" width="17.88671875" style="113" bestFit="1" customWidth="1"/>
    <col min="10764" max="11008" width="8.88671875" style="113"/>
    <col min="11009" max="11009" width="7.109375" style="113" customWidth="1"/>
    <col min="11010" max="11010" width="2.33203125" style="113" customWidth="1"/>
    <col min="11011" max="11011" width="6.33203125" style="113" customWidth="1"/>
    <col min="11012" max="11012" width="33.44140625" style="113" customWidth="1"/>
    <col min="11013" max="11013" width="18" style="113" customWidth="1"/>
    <col min="11014" max="11014" width="27.6640625" style="113" customWidth="1"/>
    <col min="11015" max="11015" width="28.88671875" style="113" bestFit="1" customWidth="1"/>
    <col min="11016" max="11016" width="3" style="113" customWidth="1"/>
    <col min="11017" max="11017" width="23.44140625" style="113" customWidth="1"/>
    <col min="11018" max="11018" width="8.88671875" style="113"/>
    <col min="11019" max="11019" width="17.88671875" style="113" bestFit="1" customWidth="1"/>
    <col min="11020" max="11264" width="8.88671875" style="113"/>
    <col min="11265" max="11265" width="7.109375" style="113" customWidth="1"/>
    <col min="11266" max="11266" width="2.33203125" style="113" customWidth="1"/>
    <col min="11267" max="11267" width="6.33203125" style="113" customWidth="1"/>
    <col min="11268" max="11268" width="33.44140625" style="113" customWidth="1"/>
    <col min="11269" max="11269" width="18" style="113" customWidth="1"/>
    <col min="11270" max="11270" width="27.6640625" style="113" customWidth="1"/>
    <col min="11271" max="11271" width="28.88671875" style="113" bestFit="1" customWidth="1"/>
    <col min="11272" max="11272" width="3" style="113" customWidth="1"/>
    <col min="11273" max="11273" width="23.44140625" style="113" customWidth="1"/>
    <col min="11274" max="11274" width="8.88671875" style="113"/>
    <col min="11275" max="11275" width="17.88671875" style="113" bestFit="1" customWidth="1"/>
    <col min="11276" max="11520" width="8.88671875" style="113"/>
    <col min="11521" max="11521" width="7.109375" style="113" customWidth="1"/>
    <col min="11522" max="11522" width="2.33203125" style="113" customWidth="1"/>
    <col min="11523" max="11523" width="6.33203125" style="113" customWidth="1"/>
    <col min="11524" max="11524" width="33.44140625" style="113" customWidth="1"/>
    <col min="11525" max="11525" width="18" style="113" customWidth="1"/>
    <col min="11526" max="11526" width="27.6640625" style="113" customWidth="1"/>
    <col min="11527" max="11527" width="28.88671875" style="113" bestFit="1" customWidth="1"/>
    <col min="11528" max="11528" width="3" style="113" customWidth="1"/>
    <col min="11529" max="11529" width="23.44140625" style="113" customWidth="1"/>
    <col min="11530" max="11530" width="8.88671875" style="113"/>
    <col min="11531" max="11531" width="17.88671875" style="113" bestFit="1" customWidth="1"/>
    <col min="11532" max="11776" width="8.88671875" style="113"/>
    <col min="11777" max="11777" width="7.109375" style="113" customWidth="1"/>
    <col min="11778" max="11778" width="2.33203125" style="113" customWidth="1"/>
    <col min="11779" max="11779" width="6.33203125" style="113" customWidth="1"/>
    <col min="11780" max="11780" width="33.44140625" style="113" customWidth="1"/>
    <col min="11781" max="11781" width="18" style="113" customWidth="1"/>
    <col min="11782" max="11782" width="27.6640625" style="113" customWidth="1"/>
    <col min="11783" max="11783" width="28.88671875" style="113" bestFit="1" customWidth="1"/>
    <col min="11784" max="11784" width="3" style="113" customWidth="1"/>
    <col min="11785" max="11785" width="23.44140625" style="113" customWidth="1"/>
    <col min="11786" max="11786" width="8.88671875" style="113"/>
    <col min="11787" max="11787" width="17.88671875" style="113" bestFit="1" customWidth="1"/>
    <col min="11788" max="12032" width="8.88671875" style="113"/>
    <col min="12033" max="12033" width="7.109375" style="113" customWidth="1"/>
    <col min="12034" max="12034" width="2.33203125" style="113" customWidth="1"/>
    <col min="12035" max="12035" width="6.33203125" style="113" customWidth="1"/>
    <col min="12036" max="12036" width="33.44140625" style="113" customWidth="1"/>
    <col min="12037" max="12037" width="18" style="113" customWidth="1"/>
    <col min="12038" max="12038" width="27.6640625" style="113" customWidth="1"/>
    <col min="12039" max="12039" width="28.88671875" style="113" bestFit="1" customWidth="1"/>
    <col min="12040" max="12040" width="3" style="113" customWidth="1"/>
    <col min="12041" max="12041" width="23.44140625" style="113" customWidth="1"/>
    <col min="12042" max="12042" width="8.88671875" style="113"/>
    <col min="12043" max="12043" width="17.88671875" style="113" bestFit="1" customWidth="1"/>
    <col min="12044" max="12288" width="8.88671875" style="113"/>
    <col min="12289" max="12289" width="7.109375" style="113" customWidth="1"/>
    <col min="12290" max="12290" width="2.33203125" style="113" customWidth="1"/>
    <col min="12291" max="12291" width="6.33203125" style="113" customWidth="1"/>
    <col min="12292" max="12292" width="33.44140625" style="113" customWidth="1"/>
    <col min="12293" max="12293" width="18" style="113" customWidth="1"/>
    <col min="12294" max="12294" width="27.6640625" style="113" customWidth="1"/>
    <col min="12295" max="12295" width="28.88671875" style="113" bestFit="1" customWidth="1"/>
    <col min="12296" max="12296" width="3" style="113" customWidth="1"/>
    <col min="12297" max="12297" width="23.44140625" style="113" customWidth="1"/>
    <col min="12298" max="12298" width="8.88671875" style="113"/>
    <col min="12299" max="12299" width="17.88671875" style="113" bestFit="1" customWidth="1"/>
    <col min="12300" max="12544" width="8.88671875" style="113"/>
    <col min="12545" max="12545" width="7.109375" style="113" customWidth="1"/>
    <col min="12546" max="12546" width="2.33203125" style="113" customWidth="1"/>
    <col min="12547" max="12547" width="6.33203125" style="113" customWidth="1"/>
    <col min="12548" max="12548" width="33.44140625" style="113" customWidth="1"/>
    <col min="12549" max="12549" width="18" style="113" customWidth="1"/>
    <col min="12550" max="12550" width="27.6640625" style="113" customWidth="1"/>
    <col min="12551" max="12551" width="28.88671875" style="113" bestFit="1" customWidth="1"/>
    <col min="12552" max="12552" width="3" style="113" customWidth="1"/>
    <col min="12553" max="12553" width="23.44140625" style="113" customWidth="1"/>
    <col min="12554" max="12554" width="8.88671875" style="113"/>
    <col min="12555" max="12555" width="17.88671875" style="113" bestFit="1" customWidth="1"/>
    <col min="12556" max="12800" width="8.88671875" style="113"/>
    <col min="12801" max="12801" width="7.109375" style="113" customWidth="1"/>
    <col min="12802" max="12802" width="2.33203125" style="113" customWidth="1"/>
    <col min="12803" max="12803" width="6.33203125" style="113" customWidth="1"/>
    <col min="12804" max="12804" width="33.44140625" style="113" customWidth="1"/>
    <col min="12805" max="12805" width="18" style="113" customWidth="1"/>
    <col min="12806" max="12806" width="27.6640625" style="113" customWidth="1"/>
    <col min="12807" max="12807" width="28.88671875" style="113" bestFit="1" customWidth="1"/>
    <col min="12808" max="12808" width="3" style="113" customWidth="1"/>
    <col min="12809" max="12809" width="23.44140625" style="113" customWidth="1"/>
    <col min="12810" max="12810" width="8.88671875" style="113"/>
    <col min="12811" max="12811" width="17.88671875" style="113" bestFit="1" customWidth="1"/>
    <col min="12812" max="13056" width="8.88671875" style="113"/>
    <col min="13057" max="13057" width="7.109375" style="113" customWidth="1"/>
    <col min="13058" max="13058" width="2.33203125" style="113" customWidth="1"/>
    <col min="13059" max="13059" width="6.33203125" style="113" customWidth="1"/>
    <col min="13060" max="13060" width="33.44140625" style="113" customWidth="1"/>
    <col min="13061" max="13061" width="18" style="113" customWidth="1"/>
    <col min="13062" max="13062" width="27.6640625" style="113" customWidth="1"/>
    <col min="13063" max="13063" width="28.88671875" style="113" bestFit="1" customWidth="1"/>
    <col min="13064" max="13064" width="3" style="113" customWidth="1"/>
    <col min="13065" max="13065" width="23.44140625" style="113" customWidth="1"/>
    <col min="13066" max="13066" width="8.88671875" style="113"/>
    <col min="13067" max="13067" width="17.88671875" style="113" bestFit="1" customWidth="1"/>
    <col min="13068" max="13312" width="8.88671875" style="113"/>
    <col min="13313" max="13313" width="7.109375" style="113" customWidth="1"/>
    <col min="13314" max="13314" width="2.33203125" style="113" customWidth="1"/>
    <col min="13315" max="13315" width="6.33203125" style="113" customWidth="1"/>
    <col min="13316" max="13316" width="33.44140625" style="113" customWidth="1"/>
    <col min="13317" max="13317" width="18" style="113" customWidth="1"/>
    <col min="13318" max="13318" width="27.6640625" style="113" customWidth="1"/>
    <col min="13319" max="13319" width="28.88671875" style="113" bestFit="1" customWidth="1"/>
    <col min="13320" max="13320" width="3" style="113" customWidth="1"/>
    <col min="13321" max="13321" width="23.44140625" style="113" customWidth="1"/>
    <col min="13322" max="13322" width="8.88671875" style="113"/>
    <col min="13323" max="13323" width="17.88671875" style="113" bestFit="1" customWidth="1"/>
    <col min="13324" max="13568" width="8.88671875" style="113"/>
    <col min="13569" max="13569" width="7.109375" style="113" customWidth="1"/>
    <col min="13570" max="13570" width="2.33203125" style="113" customWidth="1"/>
    <col min="13571" max="13571" width="6.33203125" style="113" customWidth="1"/>
    <col min="13572" max="13572" width="33.44140625" style="113" customWidth="1"/>
    <col min="13573" max="13573" width="18" style="113" customWidth="1"/>
    <col min="13574" max="13574" width="27.6640625" style="113" customWidth="1"/>
    <col min="13575" max="13575" width="28.88671875" style="113" bestFit="1" customWidth="1"/>
    <col min="13576" max="13576" width="3" style="113" customWidth="1"/>
    <col min="13577" max="13577" width="23.44140625" style="113" customWidth="1"/>
    <col min="13578" max="13578" width="8.88671875" style="113"/>
    <col min="13579" max="13579" width="17.88671875" style="113" bestFit="1" customWidth="1"/>
    <col min="13580" max="13824" width="8.88671875" style="113"/>
    <col min="13825" max="13825" width="7.109375" style="113" customWidth="1"/>
    <col min="13826" max="13826" width="2.33203125" style="113" customWidth="1"/>
    <col min="13827" max="13827" width="6.33203125" style="113" customWidth="1"/>
    <col min="13828" max="13828" width="33.44140625" style="113" customWidth="1"/>
    <col min="13829" max="13829" width="18" style="113" customWidth="1"/>
    <col min="13830" max="13830" width="27.6640625" style="113" customWidth="1"/>
    <col min="13831" max="13831" width="28.88671875" style="113" bestFit="1" customWidth="1"/>
    <col min="13832" max="13832" width="3" style="113" customWidth="1"/>
    <col min="13833" max="13833" width="23.44140625" style="113" customWidth="1"/>
    <col min="13834" max="13834" width="8.88671875" style="113"/>
    <col min="13835" max="13835" width="17.88671875" style="113" bestFit="1" customWidth="1"/>
    <col min="13836" max="14080" width="8.88671875" style="113"/>
    <col min="14081" max="14081" width="7.109375" style="113" customWidth="1"/>
    <col min="14082" max="14082" width="2.33203125" style="113" customWidth="1"/>
    <col min="14083" max="14083" width="6.33203125" style="113" customWidth="1"/>
    <col min="14084" max="14084" width="33.44140625" style="113" customWidth="1"/>
    <col min="14085" max="14085" width="18" style="113" customWidth="1"/>
    <col min="14086" max="14086" width="27.6640625" style="113" customWidth="1"/>
    <col min="14087" max="14087" width="28.88671875" style="113" bestFit="1" customWidth="1"/>
    <col min="14088" max="14088" width="3" style="113" customWidth="1"/>
    <col min="14089" max="14089" width="23.44140625" style="113" customWidth="1"/>
    <col min="14090" max="14090" width="8.88671875" style="113"/>
    <col min="14091" max="14091" width="17.88671875" style="113" bestFit="1" customWidth="1"/>
    <col min="14092" max="14336" width="8.88671875" style="113"/>
    <col min="14337" max="14337" width="7.109375" style="113" customWidth="1"/>
    <col min="14338" max="14338" width="2.33203125" style="113" customWidth="1"/>
    <col min="14339" max="14339" width="6.33203125" style="113" customWidth="1"/>
    <col min="14340" max="14340" width="33.44140625" style="113" customWidth="1"/>
    <col min="14341" max="14341" width="18" style="113" customWidth="1"/>
    <col min="14342" max="14342" width="27.6640625" style="113" customWidth="1"/>
    <col min="14343" max="14343" width="28.88671875" style="113" bestFit="1" customWidth="1"/>
    <col min="14344" max="14344" width="3" style="113" customWidth="1"/>
    <col min="14345" max="14345" width="23.44140625" style="113" customWidth="1"/>
    <col min="14346" max="14346" width="8.88671875" style="113"/>
    <col min="14347" max="14347" width="17.88671875" style="113" bestFit="1" customWidth="1"/>
    <col min="14348" max="14592" width="8.88671875" style="113"/>
    <col min="14593" max="14593" width="7.109375" style="113" customWidth="1"/>
    <col min="14594" max="14594" width="2.33203125" style="113" customWidth="1"/>
    <col min="14595" max="14595" width="6.33203125" style="113" customWidth="1"/>
    <col min="14596" max="14596" width="33.44140625" style="113" customWidth="1"/>
    <col min="14597" max="14597" width="18" style="113" customWidth="1"/>
    <col min="14598" max="14598" width="27.6640625" style="113" customWidth="1"/>
    <col min="14599" max="14599" width="28.88671875" style="113" bestFit="1" customWidth="1"/>
    <col min="14600" max="14600" width="3" style="113" customWidth="1"/>
    <col min="14601" max="14601" width="23.44140625" style="113" customWidth="1"/>
    <col min="14602" max="14602" width="8.88671875" style="113"/>
    <col min="14603" max="14603" width="17.88671875" style="113" bestFit="1" customWidth="1"/>
    <col min="14604" max="14848" width="8.88671875" style="113"/>
    <col min="14849" max="14849" width="7.109375" style="113" customWidth="1"/>
    <col min="14850" max="14850" width="2.33203125" style="113" customWidth="1"/>
    <col min="14851" max="14851" width="6.33203125" style="113" customWidth="1"/>
    <col min="14852" max="14852" width="33.44140625" style="113" customWidth="1"/>
    <col min="14853" max="14853" width="18" style="113" customWidth="1"/>
    <col min="14854" max="14854" width="27.6640625" style="113" customWidth="1"/>
    <col min="14855" max="14855" width="28.88671875" style="113" bestFit="1" customWidth="1"/>
    <col min="14856" max="14856" width="3" style="113" customWidth="1"/>
    <col min="14857" max="14857" width="23.44140625" style="113" customWidth="1"/>
    <col min="14858" max="14858" width="8.88671875" style="113"/>
    <col min="14859" max="14859" width="17.88671875" style="113" bestFit="1" customWidth="1"/>
    <col min="14860" max="15104" width="8.88671875" style="113"/>
    <col min="15105" max="15105" width="7.109375" style="113" customWidth="1"/>
    <col min="15106" max="15106" width="2.33203125" style="113" customWidth="1"/>
    <col min="15107" max="15107" width="6.33203125" style="113" customWidth="1"/>
    <col min="15108" max="15108" width="33.44140625" style="113" customWidth="1"/>
    <col min="15109" max="15109" width="18" style="113" customWidth="1"/>
    <col min="15110" max="15110" width="27.6640625" style="113" customWidth="1"/>
    <col min="15111" max="15111" width="28.88671875" style="113" bestFit="1" customWidth="1"/>
    <col min="15112" max="15112" width="3" style="113" customWidth="1"/>
    <col min="15113" max="15113" width="23.44140625" style="113" customWidth="1"/>
    <col min="15114" max="15114" width="8.88671875" style="113"/>
    <col min="15115" max="15115" width="17.88671875" style="113" bestFit="1" customWidth="1"/>
    <col min="15116" max="15360" width="8.88671875" style="113"/>
    <col min="15361" max="15361" width="7.109375" style="113" customWidth="1"/>
    <col min="15362" max="15362" width="2.33203125" style="113" customWidth="1"/>
    <col min="15363" max="15363" width="6.33203125" style="113" customWidth="1"/>
    <col min="15364" max="15364" width="33.44140625" style="113" customWidth="1"/>
    <col min="15365" max="15365" width="18" style="113" customWidth="1"/>
    <col min="15366" max="15366" width="27.6640625" style="113" customWidth="1"/>
    <col min="15367" max="15367" width="28.88671875" style="113" bestFit="1" customWidth="1"/>
    <col min="15368" max="15368" width="3" style="113" customWidth="1"/>
    <col min="15369" max="15369" width="23.44140625" style="113" customWidth="1"/>
    <col min="15370" max="15370" width="8.88671875" style="113"/>
    <col min="15371" max="15371" width="17.88671875" style="113" bestFit="1" customWidth="1"/>
    <col min="15372" max="15616" width="8.88671875" style="113"/>
    <col min="15617" max="15617" width="7.109375" style="113" customWidth="1"/>
    <col min="15618" max="15618" width="2.33203125" style="113" customWidth="1"/>
    <col min="15619" max="15619" width="6.33203125" style="113" customWidth="1"/>
    <col min="15620" max="15620" width="33.44140625" style="113" customWidth="1"/>
    <col min="15621" max="15621" width="18" style="113" customWidth="1"/>
    <col min="15622" max="15622" width="27.6640625" style="113" customWidth="1"/>
    <col min="15623" max="15623" width="28.88671875" style="113" bestFit="1" customWidth="1"/>
    <col min="15624" max="15624" width="3" style="113" customWidth="1"/>
    <col min="15625" max="15625" width="23.44140625" style="113" customWidth="1"/>
    <col min="15626" max="15626" width="8.88671875" style="113"/>
    <col min="15627" max="15627" width="17.88671875" style="113" bestFit="1" customWidth="1"/>
    <col min="15628" max="15872" width="8.88671875" style="113"/>
    <col min="15873" max="15873" width="7.109375" style="113" customWidth="1"/>
    <col min="15874" max="15874" width="2.33203125" style="113" customWidth="1"/>
    <col min="15875" max="15875" width="6.33203125" style="113" customWidth="1"/>
    <col min="15876" max="15876" width="33.44140625" style="113" customWidth="1"/>
    <col min="15877" max="15877" width="18" style="113" customWidth="1"/>
    <col min="15878" max="15878" width="27.6640625" style="113" customWidth="1"/>
    <col min="15879" max="15879" width="28.88671875" style="113" bestFit="1" customWidth="1"/>
    <col min="15880" max="15880" width="3" style="113" customWidth="1"/>
    <col min="15881" max="15881" width="23.44140625" style="113" customWidth="1"/>
    <col min="15882" max="15882" width="8.88671875" style="113"/>
    <col min="15883" max="15883" width="17.88671875" style="113" bestFit="1" customWidth="1"/>
    <col min="15884" max="16128" width="8.88671875" style="113"/>
    <col min="16129" max="16129" width="7.109375" style="113" customWidth="1"/>
    <col min="16130" max="16130" width="2.33203125" style="113" customWidth="1"/>
    <col min="16131" max="16131" width="6.33203125" style="113" customWidth="1"/>
    <col min="16132" max="16132" width="33.44140625" style="113" customWidth="1"/>
    <col min="16133" max="16133" width="18" style="113" customWidth="1"/>
    <col min="16134" max="16134" width="27.6640625" style="113" customWidth="1"/>
    <col min="16135" max="16135" width="28.88671875" style="113" bestFit="1" customWidth="1"/>
    <col min="16136" max="16136" width="3" style="113" customWidth="1"/>
    <col min="16137" max="16137" width="23.44140625" style="113" customWidth="1"/>
    <col min="16138" max="16138" width="8.88671875" style="113"/>
    <col min="16139" max="16139" width="17.88671875" style="113" bestFit="1" customWidth="1"/>
    <col min="16140" max="16384" width="8.88671875" style="113"/>
  </cols>
  <sheetData>
    <row r="1" spans="1:12" ht="18">
      <c r="A1" s="1094"/>
      <c r="B1" s="1095"/>
      <c r="C1" s="1095"/>
      <c r="D1" s="1095"/>
      <c r="E1" s="1095"/>
      <c r="F1" s="1095"/>
      <c r="G1" s="1095"/>
      <c r="H1" s="1095"/>
      <c r="I1" s="1095"/>
      <c r="J1" s="1098" t="str">
        <f>'Attachment H-11A '!K1&amp;""&amp;", Attachment 2"</f>
        <v>Attachment H -11A, Attachment 2</v>
      </c>
      <c r="K1" s="1098"/>
    </row>
    <row r="2" spans="1:12" ht="18">
      <c r="A2" s="1096" t="s">
        <v>784</v>
      </c>
      <c r="B2" s="1096"/>
      <c r="C2" s="1096"/>
      <c r="D2" s="1096"/>
      <c r="E2" s="1096"/>
      <c r="F2" s="1096"/>
      <c r="G2" s="1096"/>
      <c r="H2" s="1096"/>
      <c r="I2" s="1096"/>
      <c r="J2" s="1098" t="s">
        <v>875</v>
      </c>
      <c r="K2" s="1098"/>
    </row>
    <row r="3" spans="1:12" ht="18">
      <c r="A3" s="172"/>
      <c r="B3" s="172"/>
      <c r="C3" s="172"/>
      <c r="D3" s="172"/>
      <c r="E3" s="172"/>
      <c r="F3" s="172"/>
      <c r="G3" s="172"/>
      <c r="H3" s="172"/>
      <c r="I3" s="172"/>
      <c r="J3" s="1099" t="str">
        <f>'Attachment H-11A '!K4</f>
        <v>For the 12 months ended 12/31/2022</v>
      </c>
      <c r="K3" s="1099"/>
      <c r="L3" s="2"/>
    </row>
    <row r="4" spans="1:12" s="115" customFormat="1" ht="15">
      <c r="A4" s="116"/>
      <c r="B4" s="116"/>
    </row>
    <row r="5" spans="1:12" s="115" customFormat="1" ht="15.75">
      <c r="A5" s="119" t="s">
        <v>278</v>
      </c>
      <c r="B5" s="120"/>
      <c r="C5" s="120"/>
      <c r="D5" s="120"/>
      <c r="E5" s="120"/>
      <c r="F5" s="120"/>
      <c r="G5" s="120"/>
      <c r="H5" s="120"/>
      <c r="I5" s="120"/>
    </row>
    <row r="6" spans="1:12" s="115" customFormat="1" ht="15.75">
      <c r="A6" s="121"/>
      <c r="G6" s="122" t="s">
        <v>944</v>
      </c>
    </row>
    <row r="7" spans="1:12" s="115" customFormat="1" ht="15">
      <c r="I7" s="123"/>
    </row>
    <row r="8" spans="1:12" s="115" customFormat="1" ht="15">
      <c r="A8" s="116">
        <v>1</v>
      </c>
      <c r="C8" s="124" t="s">
        <v>481</v>
      </c>
      <c r="D8" s="124"/>
      <c r="F8" s="124"/>
      <c r="G8" s="125" t="s">
        <v>880</v>
      </c>
      <c r="H8" s="124"/>
      <c r="I8" s="900">
        <f>'Attachment H-11A '!I85</f>
        <v>318928906.06168443</v>
      </c>
    </row>
    <row r="9" spans="1:12" s="115" customFormat="1" ht="15">
      <c r="G9" s="124"/>
      <c r="I9" s="123"/>
    </row>
    <row r="10" spans="1:12" s="115" customFormat="1" ht="15">
      <c r="A10" s="116"/>
      <c r="B10" s="124"/>
      <c r="C10" s="124"/>
      <c r="D10" s="124"/>
      <c r="F10" s="117"/>
      <c r="G10" s="124"/>
      <c r="H10" s="117"/>
      <c r="I10" s="117"/>
    </row>
    <row r="11" spans="1:12" s="115" customFormat="1" ht="15.75">
      <c r="A11" s="116">
        <f>A8+1</f>
        <v>2</v>
      </c>
      <c r="B11" s="124"/>
      <c r="C11" s="124" t="s">
        <v>482</v>
      </c>
      <c r="D11" s="126"/>
      <c r="F11" s="115" t="s">
        <v>483</v>
      </c>
      <c r="G11" s="125" t="s">
        <v>881</v>
      </c>
      <c r="H11" s="117"/>
      <c r="I11" s="117">
        <f>'Attachment H-11A '!I240</f>
        <v>0</v>
      </c>
    </row>
    <row r="12" spans="1:12" s="115" customFormat="1" ht="15">
      <c r="A12" s="116"/>
      <c r="B12" s="124"/>
      <c r="C12" s="124"/>
      <c r="D12" s="124"/>
      <c r="G12" s="125"/>
      <c r="H12" s="117"/>
      <c r="I12" s="117"/>
    </row>
    <row r="13" spans="1:12" s="115" customFormat="1" ht="15.75">
      <c r="A13" s="116"/>
      <c r="B13" s="124"/>
      <c r="C13" s="124" t="s">
        <v>88</v>
      </c>
      <c r="D13" s="127"/>
      <c r="G13" s="125"/>
      <c r="H13" s="117"/>
      <c r="I13" s="117"/>
    </row>
    <row r="14" spans="1:12" s="115" customFormat="1" ht="15">
      <c r="A14" s="116">
        <f>A11+1</f>
        <v>3</v>
      </c>
      <c r="B14" s="124"/>
      <c r="C14" s="124"/>
      <c r="D14" s="124" t="s">
        <v>484</v>
      </c>
      <c r="E14" s="117"/>
      <c r="F14" s="117"/>
      <c r="G14" s="125" t="s">
        <v>505</v>
      </c>
      <c r="H14" s="117"/>
      <c r="I14" s="117">
        <f>'Attachment 8 - Cap Structure'!E23</f>
        <v>1099920402.6576924</v>
      </c>
    </row>
    <row r="15" spans="1:12" s="115" customFormat="1" ht="15">
      <c r="A15" s="116">
        <f>A14+1</f>
        <v>4</v>
      </c>
      <c r="B15" s="124"/>
      <c r="C15" s="124"/>
      <c r="D15" s="124" t="s">
        <v>283</v>
      </c>
      <c r="E15" s="117"/>
      <c r="F15" s="117"/>
      <c r="G15" s="125" t="s">
        <v>926</v>
      </c>
      <c r="H15" s="117"/>
      <c r="I15" s="117">
        <f>'Attachment 8 - Cap Structure'!G23</f>
        <v>0</v>
      </c>
    </row>
    <row r="16" spans="1:12" s="115" customFormat="1" ht="15">
      <c r="A16" s="116">
        <f>A15+1</f>
        <v>5</v>
      </c>
      <c r="B16" s="124"/>
      <c r="C16" s="124"/>
      <c r="D16" s="124" t="s">
        <v>284</v>
      </c>
      <c r="E16" s="117"/>
      <c r="F16" s="117"/>
      <c r="G16" s="125" t="s">
        <v>506</v>
      </c>
      <c r="H16" s="117"/>
      <c r="I16" s="117">
        <f>'Attachment 8 - Cap Structure'!J23</f>
        <v>2491075.7684615348</v>
      </c>
    </row>
    <row r="17" spans="1:11" s="115" customFormat="1" ht="15">
      <c r="A17" s="116">
        <f>+A16+1</f>
        <v>6</v>
      </c>
      <c r="B17" s="124"/>
      <c r="C17" s="124"/>
      <c r="D17" s="124" t="s">
        <v>927</v>
      </c>
      <c r="E17" s="128"/>
      <c r="F17" s="128"/>
      <c r="G17" s="129" t="s">
        <v>928</v>
      </c>
      <c r="H17" s="128"/>
      <c r="I17" s="128">
        <f>'Attachment 8 - Cap Structure'!H23+'Attachment 8 - Cap Structure'!K23+'Attachment 8 - Cap Structure'!F23+'Attachment 8 - Cap Structure'!I23</f>
        <v>1182287.3846153845</v>
      </c>
    </row>
    <row r="18" spans="1:11" s="115" customFormat="1" ht="15">
      <c r="A18" s="116">
        <f>A17+1</f>
        <v>7</v>
      </c>
      <c r="B18" s="124"/>
      <c r="C18" s="124"/>
      <c r="D18" s="124" t="s">
        <v>88</v>
      </c>
      <c r="E18" s="117"/>
      <c r="F18" s="117"/>
      <c r="G18" s="125" t="s">
        <v>929</v>
      </c>
      <c r="H18" s="117"/>
      <c r="I18" s="117">
        <f>'Attachment 8 - Cap Structure'!L23</f>
        <v>1096247039.5046155</v>
      </c>
    </row>
    <row r="19" spans="1:11" s="115" customFormat="1" ht="15">
      <c r="A19" s="116"/>
      <c r="B19" s="124"/>
      <c r="C19" s="124"/>
      <c r="D19" s="124"/>
      <c r="E19" s="117"/>
      <c r="F19" s="117"/>
      <c r="G19" s="125"/>
      <c r="H19" s="117"/>
      <c r="I19" s="117"/>
    </row>
    <row r="20" spans="1:11" s="115" customFormat="1" ht="15">
      <c r="A20" s="116"/>
      <c r="B20" s="124"/>
      <c r="C20" s="124"/>
      <c r="D20" s="124"/>
      <c r="E20" s="117"/>
      <c r="F20" s="117"/>
      <c r="G20" s="125"/>
      <c r="H20" s="117"/>
      <c r="I20" s="117"/>
    </row>
    <row r="21" spans="1:11" s="115" customFormat="1" ht="15.75">
      <c r="A21" s="116"/>
      <c r="B21" s="124"/>
      <c r="C21" s="124" t="s">
        <v>485</v>
      </c>
      <c r="D21" s="127"/>
      <c r="G21" s="125"/>
      <c r="I21" s="117"/>
    </row>
    <row r="22" spans="1:11" s="115" customFormat="1" ht="15">
      <c r="A22" s="116">
        <f>+A18+1</f>
        <v>8</v>
      </c>
      <c r="B22" s="124"/>
      <c r="C22" s="124"/>
      <c r="D22" s="124" t="s">
        <v>229</v>
      </c>
      <c r="G22" s="125" t="s">
        <v>882</v>
      </c>
      <c r="I22" s="117">
        <f>'Attachment H-11A '!D245</f>
        <v>925000000</v>
      </c>
    </row>
    <row r="23" spans="1:11" s="115" customFormat="1" ht="15">
      <c r="A23" s="116">
        <f>A22+1</f>
        <v>9</v>
      </c>
      <c r="B23" s="124"/>
      <c r="C23" s="124"/>
      <c r="D23" s="124" t="s">
        <v>227</v>
      </c>
      <c r="G23" s="125" t="s">
        <v>883</v>
      </c>
      <c r="I23" s="117">
        <f>'Attachment H-11A '!D246</f>
        <v>0</v>
      </c>
    </row>
    <row r="24" spans="1:11" s="115" customFormat="1" ht="15">
      <c r="A24" s="116">
        <f t="shared" ref="A24:A25" si="0">A23+1</f>
        <v>10</v>
      </c>
      <c r="B24" s="124"/>
      <c r="C24" s="124"/>
      <c r="D24" s="124" t="s">
        <v>88</v>
      </c>
      <c r="G24" s="129" t="s">
        <v>884</v>
      </c>
      <c r="I24" s="117">
        <f>'Attachment H-11A '!D247</f>
        <v>1096247039.5046155</v>
      </c>
    </row>
    <row r="25" spans="1:11" s="115" customFormat="1" ht="15.75">
      <c r="A25" s="116">
        <f t="shared" si="0"/>
        <v>11</v>
      </c>
      <c r="B25" s="124"/>
      <c r="C25" s="124"/>
      <c r="D25" s="124" t="s">
        <v>945</v>
      </c>
      <c r="E25" s="130"/>
      <c r="F25" s="131"/>
      <c r="G25" s="125" t="s">
        <v>885</v>
      </c>
      <c r="H25" s="132"/>
      <c r="I25" s="132">
        <f>'Attachment H-11A '!D248</f>
        <v>2021247039.5046155</v>
      </c>
    </row>
    <row r="26" spans="1:11" s="115" customFormat="1" ht="15">
      <c r="A26" s="116"/>
      <c r="B26" s="124"/>
      <c r="C26" s="124"/>
      <c r="D26" s="124"/>
      <c r="G26" s="124"/>
      <c r="H26" s="117"/>
      <c r="I26" s="133"/>
    </row>
    <row r="27" spans="1:11" s="115" customFormat="1" ht="15">
      <c r="A27" s="116">
        <f>A25+1</f>
        <v>12</v>
      </c>
      <c r="B27" s="124"/>
      <c r="C27" s="124"/>
      <c r="D27" s="124" t="s">
        <v>486</v>
      </c>
      <c r="F27" s="124" t="s">
        <v>948</v>
      </c>
      <c r="G27" s="125" t="s">
        <v>886</v>
      </c>
      <c r="H27" s="117"/>
      <c r="I27" s="134">
        <f>'Attachment H-11A '!E245</f>
        <v>0.45763827079084152</v>
      </c>
    </row>
    <row r="28" spans="1:11" s="115" customFormat="1" ht="15">
      <c r="A28" s="116">
        <f>A27+1</f>
        <v>13</v>
      </c>
      <c r="B28" s="124"/>
      <c r="C28" s="124"/>
      <c r="D28" s="124" t="s">
        <v>487</v>
      </c>
      <c r="F28" s="124" t="s">
        <v>227</v>
      </c>
      <c r="G28" s="125" t="s">
        <v>887</v>
      </c>
      <c r="H28" s="117"/>
      <c r="I28" s="134">
        <f>'Attachment H-11A '!E246</f>
        <v>0</v>
      </c>
    </row>
    <row r="29" spans="1:11" s="115" customFormat="1" ht="15">
      <c r="A29" s="116">
        <f>A28+1</f>
        <v>14</v>
      </c>
      <c r="B29" s="124"/>
      <c r="C29" s="124"/>
      <c r="D29" s="124" t="s">
        <v>488</v>
      </c>
      <c r="F29" s="124" t="s">
        <v>88</v>
      </c>
      <c r="G29" s="125" t="s">
        <v>888</v>
      </c>
      <c r="H29" s="117"/>
      <c r="I29" s="134">
        <f>'Attachment H-11A '!E247</f>
        <v>0.54236172920915848</v>
      </c>
    </row>
    <row r="30" spans="1:11" s="115" customFormat="1" ht="15">
      <c r="A30" s="116"/>
      <c r="B30" s="124"/>
      <c r="C30" s="124"/>
      <c r="D30" s="124"/>
      <c r="F30" s="125"/>
      <c r="G30" s="124"/>
      <c r="H30" s="117"/>
      <c r="I30" s="133"/>
    </row>
    <row r="31" spans="1:11" s="115" customFormat="1" ht="15">
      <c r="A31" s="116">
        <f>A29+1</f>
        <v>15</v>
      </c>
      <c r="B31" s="124"/>
      <c r="C31" s="124"/>
      <c r="D31" s="124" t="s">
        <v>361</v>
      </c>
      <c r="F31" s="125" t="s">
        <v>948</v>
      </c>
      <c r="G31" s="125" t="s">
        <v>889</v>
      </c>
      <c r="H31" s="117"/>
      <c r="I31" s="135">
        <f>'Attachment H-11A '!G245</f>
        <v>4.1099999999999998E-2</v>
      </c>
      <c r="K31" s="135"/>
    </row>
    <row r="32" spans="1:11" s="115" customFormat="1" ht="15">
      <c r="A32" s="116">
        <f>A31+1</f>
        <v>16</v>
      </c>
      <c r="B32" s="124"/>
      <c r="C32" s="124"/>
      <c r="D32" s="124" t="s">
        <v>489</v>
      </c>
      <c r="F32" s="125" t="s">
        <v>227</v>
      </c>
      <c r="G32" s="125" t="s">
        <v>890</v>
      </c>
      <c r="H32" s="117"/>
      <c r="I32" s="135">
        <f>'Attachment H-11A '!G246</f>
        <v>0</v>
      </c>
    </row>
    <row r="33" spans="1:11" s="115" customFormat="1" ht="15">
      <c r="A33" s="116">
        <f>A32+1</f>
        <v>17</v>
      </c>
      <c r="B33" s="124"/>
      <c r="C33" s="124"/>
      <c r="D33" s="124" t="s">
        <v>490</v>
      </c>
      <c r="F33" s="125" t="s">
        <v>88</v>
      </c>
      <c r="G33" s="125" t="s">
        <v>891</v>
      </c>
      <c r="H33" s="117"/>
      <c r="I33" s="878">
        <f>'Attachment H-11A '!G247</f>
        <v>0.1045</v>
      </c>
      <c r="K33" s="135"/>
    </row>
    <row r="34" spans="1:11" s="115" customFormat="1" ht="15">
      <c r="A34" s="116"/>
      <c r="B34" s="124"/>
      <c r="C34" s="124"/>
      <c r="D34" s="124"/>
      <c r="F34" s="125"/>
      <c r="G34" s="124"/>
      <c r="H34" s="117"/>
    </row>
    <row r="35" spans="1:11" s="115" customFormat="1" ht="15">
      <c r="A35" s="116">
        <f>A33+1</f>
        <v>18</v>
      </c>
      <c r="B35" s="124"/>
      <c r="C35" s="124"/>
      <c r="D35" s="124" t="s">
        <v>491</v>
      </c>
      <c r="F35" s="124" t="s">
        <v>949</v>
      </c>
      <c r="G35" s="124" t="s">
        <v>301</v>
      </c>
      <c r="H35" s="136"/>
      <c r="I35" s="135">
        <f>I31*I27</f>
        <v>1.8808932929503586E-2</v>
      </c>
    </row>
    <row r="36" spans="1:11" s="115" customFormat="1" ht="15">
      <c r="A36" s="116">
        <f>A35+1</f>
        <v>19</v>
      </c>
      <c r="B36" s="124"/>
      <c r="C36" s="124"/>
      <c r="D36" s="124" t="s">
        <v>492</v>
      </c>
      <c r="F36" s="124" t="s">
        <v>227</v>
      </c>
      <c r="G36" s="124" t="s">
        <v>302</v>
      </c>
      <c r="H36" s="137"/>
      <c r="I36" s="135">
        <f>I32*I28</f>
        <v>0</v>
      </c>
    </row>
    <row r="37" spans="1:11" s="115" customFormat="1" ht="15">
      <c r="A37" s="116">
        <f>A36+1</f>
        <v>20</v>
      </c>
      <c r="B37" s="124"/>
      <c r="C37" s="124"/>
      <c r="D37" s="138" t="s">
        <v>493</v>
      </c>
      <c r="E37" s="139"/>
      <c r="F37" s="138" t="s">
        <v>88</v>
      </c>
      <c r="G37" s="138" t="s">
        <v>303</v>
      </c>
      <c r="H37" s="140"/>
      <c r="I37" s="141">
        <f>I33*I29</f>
        <v>5.6676800702357061E-2</v>
      </c>
    </row>
    <row r="38" spans="1:11" s="115" customFormat="1" ht="15.75">
      <c r="A38" s="116">
        <f>A37+1</f>
        <v>21</v>
      </c>
      <c r="B38" s="124"/>
      <c r="C38" s="124" t="s">
        <v>947</v>
      </c>
      <c r="D38" s="124"/>
      <c r="E38" s="142"/>
      <c r="F38" s="142"/>
      <c r="G38" s="124" t="str">
        <f>"(Sum Lines "&amp;A35&amp;" to "&amp;A37&amp;")"</f>
        <v>(Sum Lines 18 to 20)</v>
      </c>
      <c r="H38" s="143"/>
      <c r="I38" s="144">
        <f>SUM(I35:I37)</f>
        <v>7.5485733631860646E-2</v>
      </c>
    </row>
    <row r="39" spans="1:11" s="115" customFormat="1" ht="15.75">
      <c r="A39" s="122"/>
      <c r="B39" s="124"/>
      <c r="C39" s="124"/>
      <c r="D39" s="124"/>
      <c r="E39" s="142"/>
      <c r="F39" s="142"/>
      <c r="G39" s="127"/>
      <c r="H39" s="143"/>
      <c r="I39" s="144"/>
    </row>
    <row r="40" spans="1:11" s="115" customFormat="1" ht="16.5" thickBot="1">
      <c r="A40" s="116">
        <f>A38+1</f>
        <v>22</v>
      </c>
      <c r="B40" s="124"/>
      <c r="C40" s="124" t="s">
        <v>494</v>
      </c>
      <c r="D40" s="124"/>
      <c r="E40" s="145"/>
      <c r="F40" s="146"/>
      <c r="G40" s="147" t="str">
        <f>"(Line "&amp;A8&amp;" * Line "&amp;A38&amp;")"</f>
        <v>(Line 1 * Line 21)</v>
      </c>
      <c r="H40" s="148"/>
      <c r="I40" s="149">
        <f>+I38*I8</f>
        <v>24074582.450473018</v>
      </c>
    </row>
    <row r="41" spans="1:11" s="115" customFormat="1" ht="15.75" thickTop="1">
      <c r="A41" s="116"/>
      <c r="B41" s="116"/>
      <c r="C41" s="116"/>
      <c r="F41" s="116"/>
      <c r="G41" s="117"/>
      <c r="H41" s="117"/>
      <c r="I41" s="135"/>
    </row>
    <row r="42" spans="1:11" s="115" customFormat="1" ht="15.75">
      <c r="A42" s="150" t="s">
        <v>285</v>
      </c>
      <c r="B42" s="150"/>
      <c r="C42" s="151"/>
      <c r="D42" s="152"/>
      <c r="E42" s="120"/>
      <c r="F42" s="153"/>
      <c r="G42" s="120"/>
      <c r="H42" s="120"/>
      <c r="I42" s="154"/>
    </row>
    <row r="43" spans="1:11" s="115" customFormat="1" ht="15.75">
      <c r="A43" s="124"/>
      <c r="B43" s="124"/>
      <c r="C43" s="116"/>
      <c r="D43" s="142"/>
      <c r="F43" s="133"/>
      <c r="I43" s="155"/>
      <c r="K43" s="117"/>
    </row>
    <row r="44" spans="1:11" s="115" customFormat="1" ht="15.75">
      <c r="A44" s="116" t="s">
        <v>3</v>
      </c>
      <c r="B44" s="116"/>
      <c r="C44" s="156" t="s">
        <v>279</v>
      </c>
      <c r="F44" s="133"/>
      <c r="G44" s="117"/>
      <c r="H44" s="157"/>
    </row>
    <row r="45" spans="1:11" s="115" customFormat="1" ht="15">
      <c r="A45" s="116">
        <f>+A40+1</f>
        <v>23</v>
      </c>
      <c r="B45" s="116"/>
      <c r="C45" s="116"/>
      <c r="D45" s="201" t="s">
        <v>62</v>
      </c>
      <c r="F45" s="116"/>
      <c r="G45" s="125" t="s">
        <v>1125</v>
      </c>
      <c r="H45" s="158"/>
      <c r="I45" s="159">
        <f>'Attachment H-11A '!D144</f>
        <v>0.28892099999999998</v>
      </c>
    </row>
    <row r="46" spans="1:11" s="115" customFormat="1" ht="15">
      <c r="A46" s="116">
        <f>+A45+1</f>
        <v>24</v>
      </c>
      <c r="B46" s="116"/>
      <c r="C46" s="116"/>
      <c r="D46" s="78" t="s">
        <v>815</v>
      </c>
      <c r="E46" s="160"/>
      <c r="F46" s="116"/>
      <c r="G46" s="125" t="s">
        <v>291</v>
      </c>
      <c r="H46" s="158"/>
      <c r="I46" s="175">
        <f>(I45/(1-I45)*(1-I35/I38))</f>
        <v>0.30507154626542504</v>
      </c>
    </row>
    <row r="47" spans="1:11" s="115" customFormat="1" ht="15">
      <c r="A47" s="116"/>
      <c r="B47" s="116"/>
      <c r="C47" s="116"/>
      <c r="D47" s="202"/>
      <c r="E47" s="158"/>
      <c r="F47" s="116"/>
      <c r="G47" s="125"/>
      <c r="H47" s="158"/>
      <c r="I47" s="161"/>
    </row>
    <row r="48" spans="1:11" s="115" customFormat="1" ht="15">
      <c r="A48" s="116"/>
      <c r="B48" s="116"/>
      <c r="C48" s="116"/>
      <c r="D48" s="202"/>
      <c r="E48" s="162"/>
      <c r="F48" s="116"/>
      <c r="G48" s="125"/>
      <c r="H48" s="158"/>
      <c r="I48" s="159"/>
    </row>
    <row r="49" spans="1:11" s="115" customFormat="1" ht="15.75">
      <c r="A49" s="116">
        <v>25</v>
      </c>
      <c r="B49" s="116"/>
      <c r="C49" s="116"/>
      <c r="D49" s="201" t="s">
        <v>816</v>
      </c>
      <c r="E49" s="160"/>
      <c r="F49" s="116"/>
      <c r="G49" s="1022" t="s">
        <v>1126</v>
      </c>
      <c r="H49" s="158"/>
      <c r="I49" s="92">
        <f>'Attachment H-11A '!D148</f>
        <v>1.4063135038441579</v>
      </c>
      <c r="K49" s="163"/>
    </row>
    <row r="50" spans="1:11" s="115" customFormat="1" ht="15">
      <c r="A50" s="116">
        <v>26</v>
      </c>
      <c r="B50" s="116"/>
      <c r="C50" s="116"/>
      <c r="D50" s="202" t="s">
        <v>248</v>
      </c>
      <c r="F50" s="164"/>
      <c r="G50" s="125" t="s">
        <v>1127</v>
      </c>
      <c r="H50" s="157"/>
      <c r="I50" s="173">
        <f>'Attachment H-11A '!D149</f>
        <v>-948000</v>
      </c>
    </row>
    <row r="51" spans="1:11" s="115" customFormat="1" ht="15">
      <c r="A51" s="116">
        <v>27</v>
      </c>
      <c r="B51" s="116"/>
      <c r="C51" s="116"/>
      <c r="D51" s="202" t="s">
        <v>282</v>
      </c>
      <c r="F51" s="164"/>
      <c r="G51" s="125" t="s">
        <v>1128</v>
      </c>
      <c r="H51" s="157"/>
      <c r="I51" s="173">
        <f>'Attachment H-11A '!D150</f>
        <v>25598.689521</v>
      </c>
    </row>
    <row r="52" spans="1:11" s="115" customFormat="1" ht="15">
      <c r="A52" s="116">
        <v>28</v>
      </c>
      <c r="B52" s="116"/>
      <c r="C52" s="116"/>
      <c r="D52" s="202" t="s">
        <v>289</v>
      </c>
      <c r="F52" s="164"/>
      <c r="G52" s="125" t="s">
        <v>1129</v>
      </c>
      <c r="H52" s="157"/>
      <c r="I52" s="173">
        <f>'Attachment H-11A '!D151</f>
        <v>-731525.316613295</v>
      </c>
    </row>
    <row r="53" spans="1:11" s="115" customFormat="1" ht="15">
      <c r="A53" s="116">
        <v>29</v>
      </c>
      <c r="B53" s="116"/>
      <c r="C53" s="116"/>
      <c r="D53" s="201" t="s">
        <v>286</v>
      </c>
      <c r="F53" s="164"/>
      <c r="G53" s="162" t="s">
        <v>305</v>
      </c>
      <c r="H53" s="157"/>
      <c r="I53" s="173">
        <f>I46*I40</f>
        <v>7344470.0938602695</v>
      </c>
    </row>
    <row r="54" spans="1:11" s="115" customFormat="1" ht="15">
      <c r="A54" s="116">
        <v>30</v>
      </c>
      <c r="B54" s="116"/>
      <c r="C54" s="116"/>
      <c r="D54" s="78" t="s">
        <v>287</v>
      </c>
      <c r="F54" s="164"/>
      <c r="G54" s="125" t="s">
        <v>1130</v>
      </c>
      <c r="H54" s="157"/>
      <c r="I54" s="173">
        <f>'Attachment H-11A '!I153</f>
        <v>-217110.01640094846</v>
      </c>
    </row>
    <row r="55" spans="1:11" s="115" customFormat="1" ht="15">
      <c r="A55" s="116">
        <v>31</v>
      </c>
      <c r="B55" s="116"/>
      <c r="C55" s="116"/>
      <c r="D55" s="78" t="s">
        <v>288</v>
      </c>
      <c r="F55" s="164"/>
      <c r="G55" s="125" t="s">
        <v>1131</v>
      </c>
      <c r="H55" s="157"/>
      <c r="I55" s="173">
        <f>'Attachment H-11A '!I154</f>
        <v>35999.782754096239</v>
      </c>
    </row>
    <row r="56" spans="1:11" s="115" customFormat="1" ht="15.75" thickBot="1">
      <c r="A56" s="116">
        <v>32</v>
      </c>
      <c r="B56" s="116"/>
      <c r="C56" s="116"/>
      <c r="D56" s="78" t="s">
        <v>290</v>
      </c>
      <c r="F56" s="164"/>
      <c r="G56" s="125" t="s">
        <v>1132</v>
      </c>
      <c r="H56" s="157"/>
      <c r="I56" s="174">
        <f>'Attachment H-11A '!D155</f>
        <v>-1028753.9311571498</v>
      </c>
    </row>
    <row r="57" spans="1:11" s="115" customFormat="1" ht="15">
      <c r="A57" s="116">
        <v>33</v>
      </c>
      <c r="B57" s="116"/>
      <c r="C57" s="116"/>
      <c r="D57" s="201" t="s">
        <v>64</v>
      </c>
      <c r="F57" s="164"/>
      <c r="G57" s="162" t="s">
        <v>304</v>
      </c>
      <c r="H57" s="157"/>
      <c r="I57" s="200">
        <f>SUM(I53:I56)</f>
        <v>6134605.9290562682</v>
      </c>
    </row>
    <row r="58" spans="1:11" s="115" customFormat="1" ht="15">
      <c r="A58" s="116"/>
      <c r="B58" s="116"/>
      <c r="C58" s="116"/>
      <c r="F58" s="164"/>
      <c r="G58" s="162"/>
      <c r="H58" s="157"/>
      <c r="I58" s="165"/>
    </row>
    <row r="59" spans="1:11" s="115" customFormat="1" ht="15.75">
      <c r="A59" s="150" t="s">
        <v>785</v>
      </c>
      <c r="B59" s="150"/>
      <c r="C59" s="151"/>
      <c r="D59" s="152"/>
      <c r="E59" s="120"/>
      <c r="F59" s="153"/>
      <c r="G59" s="120"/>
      <c r="H59" s="120"/>
      <c r="I59" s="154"/>
    </row>
    <row r="60" spans="1:11" s="115" customFormat="1" ht="15.75">
      <c r="A60" s="195"/>
      <c r="B60" s="195"/>
      <c r="C60" s="196"/>
      <c r="D60" s="197"/>
      <c r="F60" s="198"/>
      <c r="I60" s="199"/>
    </row>
    <row r="61" spans="1:11" s="115" customFormat="1" ht="15">
      <c r="A61" s="116">
        <v>34</v>
      </c>
      <c r="B61" s="116"/>
      <c r="C61" s="116"/>
      <c r="D61" s="115" t="s">
        <v>786</v>
      </c>
      <c r="F61" s="164"/>
      <c r="G61" s="162" t="s">
        <v>306</v>
      </c>
      <c r="H61" s="157"/>
      <c r="I61" s="173">
        <f>I40+I57</f>
        <v>30209188.379529286</v>
      </c>
    </row>
    <row r="62" spans="1:11" s="115" customFormat="1" ht="15">
      <c r="A62" s="116"/>
      <c r="B62" s="116"/>
      <c r="C62" s="116"/>
      <c r="F62" s="164"/>
      <c r="G62" s="162"/>
      <c r="H62" s="157"/>
      <c r="I62" s="173"/>
    </row>
    <row r="63" spans="1:11" s="115" customFormat="1" ht="15">
      <c r="A63" s="116">
        <v>35</v>
      </c>
      <c r="B63" s="116"/>
      <c r="C63" s="116"/>
      <c r="D63" s="115" t="s">
        <v>822</v>
      </c>
      <c r="F63" s="164"/>
      <c r="G63" s="162" t="s">
        <v>1133</v>
      </c>
      <c r="H63" s="157"/>
      <c r="I63" s="173">
        <f>'Attachment H-11A '!I158</f>
        <v>24074582.450473018</v>
      </c>
    </row>
    <row r="64" spans="1:11" s="115" customFormat="1" ht="15">
      <c r="A64" s="116">
        <v>36</v>
      </c>
      <c r="B64" s="116"/>
      <c r="C64" s="116"/>
      <c r="D64" s="115" t="s">
        <v>823</v>
      </c>
      <c r="F64" s="164"/>
      <c r="G64" s="162" t="s">
        <v>1134</v>
      </c>
      <c r="H64" s="157"/>
      <c r="I64" s="173">
        <f>'Attachment H-11A '!I156</f>
        <v>6134605.9290562682</v>
      </c>
    </row>
    <row r="65" spans="1:11" s="115" customFormat="1" ht="15">
      <c r="A65" s="116"/>
      <c r="B65" s="116"/>
      <c r="C65" s="116"/>
      <c r="F65" s="164"/>
      <c r="G65" s="162"/>
      <c r="H65" s="157"/>
      <c r="I65" s="173"/>
    </row>
    <row r="66" spans="1:11" s="115" customFormat="1" ht="15.75">
      <c r="A66" s="116" t="s">
        <v>206</v>
      </c>
      <c r="B66" s="116"/>
      <c r="C66" s="116"/>
      <c r="F66" s="164"/>
      <c r="G66" s="162"/>
      <c r="H66" s="157"/>
      <c r="I66" s="166"/>
    </row>
    <row r="67" spans="1:11" s="115" customFormat="1" ht="22.35" customHeight="1">
      <c r="A67" s="116"/>
      <c r="B67" s="1097" t="s">
        <v>892</v>
      </c>
      <c r="C67" s="1097"/>
      <c r="D67" s="1097"/>
      <c r="E67" s="1097"/>
      <c r="F67" s="1097"/>
      <c r="G67" s="1097"/>
      <c r="H67" s="1097"/>
      <c r="I67" s="1097"/>
      <c r="J67" s="1097"/>
      <c r="K67" s="1097"/>
    </row>
    <row r="68" spans="1:11" s="115" customFormat="1" ht="15.75">
      <c r="A68" s="116"/>
      <c r="B68" s="116"/>
      <c r="C68" s="116"/>
      <c r="D68" s="124"/>
      <c r="F68" s="116"/>
      <c r="G68" s="117"/>
      <c r="H68" s="167"/>
      <c r="I68" s="168"/>
    </row>
  </sheetData>
  <mergeCells count="6">
    <mergeCell ref="A1:I1"/>
    <mergeCell ref="A2:I2"/>
    <mergeCell ref="B67:K67"/>
    <mergeCell ref="J2:K2"/>
    <mergeCell ref="J1:K1"/>
    <mergeCell ref="J3:K3"/>
  </mergeCells>
  <printOptions horizontalCentered="1"/>
  <pageMargins left="0.5" right="0.33" top="0.5" bottom="0.5" header="0.5" footer="0.5"/>
  <pageSetup scale="43" orientation="portrait" r:id="rId1"/>
  <headerFooter alignWithMargins="0"/>
  <ignoredErrors>
    <ignoredError sqref="I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8E6-003C-4755-8E72-04C2D224B9A1}">
  <sheetPr codeName="Sheet10"/>
  <dimension ref="A1:L72"/>
  <sheetViews>
    <sheetView view="pageBreakPreview" zoomScale="60" zoomScaleNormal="70" workbookViewId="0">
      <selection sqref="A1:I1"/>
    </sheetView>
  </sheetViews>
  <sheetFormatPr defaultRowHeight="12.75"/>
  <cols>
    <col min="1" max="1" width="7.109375" style="113" customWidth="1"/>
    <col min="2" max="2" width="2.33203125" style="113" customWidth="1"/>
    <col min="3" max="3" width="6.33203125" style="113" customWidth="1"/>
    <col min="4" max="4" width="33.44140625" style="113" customWidth="1"/>
    <col min="5" max="5" width="18" style="113" customWidth="1"/>
    <col min="6" max="6" width="27.6640625" style="113" customWidth="1"/>
    <col min="7" max="7" width="54.33203125" style="113" customWidth="1"/>
    <col min="8" max="8" width="0.5546875" style="113" customWidth="1"/>
    <col min="9" max="9" width="23.44140625" style="113" customWidth="1"/>
    <col min="10" max="10" width="7.88671875" style="113" customWidth="1"/>
    <col min="11" max="11" width="17.88671875" style="113" bestFit="1" customWidth="1"/>
    <col min="12" max="12" width="6.109375" style="113" customWidth="1"/>
    <col min="13" max="256" width="8.88671875" style="113"/>
    <col min="257" max="257" width="7.109375" style="113" customWidth="1"/>
    <col min="258" max="258" width="2.33203125" style="113" customWidth="1"/>
    <col min="259" max="259" width="6.33203125" style="113" customWidth="1"/>
    <col min="260" max="260" width="33.44140625" style="113" customWidth="1"/>
    <col min="261" max="261" width="18" style="113" customWidth="1"/>
    <col min="262" max="262" width="27.6640625" style="113" customWidth="1"/>
    <col min="263" max="263" width="28.88671875" style="113" bestFit="1" customWidth="1"/>
    <col min="264" max="264" width="3" style="113" customWidth="1"/>
    <col min="265" max="265" width="23.44140625" style="113" customWidth="1"/>
    <col min="266" max="266" width="8.88671875" style="113"/>
    <col min="267" max="267" width="17.88671875" style="113" bestFit="1" customWidth="1"/>
    <col min="268" max="512" width="8.88671875" style="113"/>
    <col min="513" max="513" width="7.109375" style="113" customWidth="1"/>
    <col min="514" max="514" width="2.33203125" style="113" customWidth="1"/>
    <col min="515" max="515" width="6.33203125" style="113" customWidth="1"/>
    <col min="516" max="516" width="33.44140625" style="113" customWidth="1"/>
    <col min="517" max="517" width="18" style="113" customWidth="1"/>
    <col min="518" max="518" width="27.6640625" style="113" customWidth="1"/>
    <col min="519" max="519" width="28.88671875" style="113" bestFit="1" customWidth="1"/>
    <col min="520" max="520" width="3" style="113" customWidth="1"/>
    <col min="521" max="521" width="23.44140625" style="113" customWidth="1"/>
    <col min="522" max="522" width="8.88671875" style="113"/>
    <col min="523" max="523" width="17.88671875" style="113" bestFit="1" customWidth="1"/>
    <col min="524" max="768" width="8.88671875" style="113"/>
    <col min="769" max="769" width="7.109375" style="113" customWidth="1"/>
    <col min="770" max="770" width="2.33203125" style="113" customWidth="1"/>
    <col min="771" max="771" width="6.33203125" style="113" customWidth="1"/>
    <col min="772" max="772" width="33.44140625" style="113" customWidth="1"/>
    <col min="773" max="773" width="18" style="113" customWidth="1"/>
    <col min="774" max="774" width="27.6640625" style="113" customWidth="1"/>
    <col min="775" max="775" width="28.88671875" style="113" bestFit="1" customWidth="1"/>
    <col min="776" max="776" width="3" style="113" customWidth="1"/>
    <col min="777" max="777" width="23.44140625" style="113" customWidth="1"/>
    <col min="778" max="778" width="8.88671875" style="113"/>
    <col min="779" max="779" width="17.88671875" style="113" bestFit="1" customWidth="1"/>
    <col min="780" max="1024" width="8.88671875" style="113"/>
    <col min="1025" max="1025" width="7.109375" style="113" customWidth="1"/>
    <col min="1026" max="1026" width="2.33203125" style="113" customWidth="1"/>
    <col min="1027" max="1027" width="6.33203125" style="113" customWidth="1"/>
    <col min="1028" max="1028" width="33.44140625" style="113" customWidth="1"/>
    <col min="1029" max="1029" width="18" style="113" customWidth="1"/>
    <col min="1030" max="1030" width="27.6640625" style="113" customWidth="1"/>
    <col min="1031" max="1031" width="28.88671875" style="113" bestFit="1" customWidth="1"/>
    <col min="1032" max="1032" width="3" style="113" customWidth="1"/>
    <col min="1033" max="1033" width="23.44140625" style="113" customWidth="1"/>
    <col min="1034" max="1034" width="8.88671875" style="113"/>
    <col min="1035" max="1035" width="17.88671875" style="113" bestFit="1" customWidth="1"/>
    <col min="1036" max="1280" width="8.88671875" style="113"/>
    <col min="1281" max="1281" width="7.109375" style="113" customWidth="1"/>
    <col min="1282" max="1282" width="2.33203125" style="113" customWidth="1"/>
    <col min="1283" max="1283" width="6.33203125" style="113" customWidth="1"/>
    <col min="1284" max="1284" width="33.44140625" style="113" customWidth="1"/>
    <col min="1285" max="1285" width="18" style="113" customWidth="1"/>
    <col min="1286" max="1286" width="27.6640625" style="113" customWidth="1"/>
    <col min="1287" max="1287" width="28.88671875" style="113" bestFit="1" customWidth="1"/>
    <col min="1288" max="1288" width="3" style="113" customWidth="1"/>
    <col min="1289" max="1289" width="23.44140625" style="113" customWidth="1"/>
    <col min="1290" max="1290" width="8.88671875" style="113"/>
    <col min="1291" max="1291" width="17.88671875" style="113" bestFit="1" customWidth="1"/>
    <col min="1292" max="1536" width="8.88671875" style="113"/>
    <col min="1537" max="1537" width="7.109375" style="113" customWidth="1"/>
    <col min="1538" max="1538" width="2.33203125" style="113" customWidth="1"/>
    <col min="1539" max="1539" width="6.33203125" style="113" customWidth="1"/>
    <col min="1540" max="1540" width="33.44140625" style="113" customWidth="1"/>
    <col min="1541" max="1541" width="18" style="113" customWidth="1"/>
    <col min="1542" max="1542" width="27.6640625" style="113" customWidth="1"/>
    <col min="1543" max="1543" width="28.88671875" style="113" bestFit="1" customWidth="1"/>
    <col min="1544" max="1544" width="3" style="113" customWidth="1"/>
    <col min="1545" max="1545" width="23.44140625" style="113" customWidth="1"/>
    <col min="1546" max="1546" width="8.88671875" style="113"/>
    <col min="1547" max="1547" width="17.88671875" style="113" bestFit="1" customWidth="1"/>
    <col min="1548" max="1792" width="8.88671875" style="113"/>
    <col min="1793" max="1793" width="7.109375" style="113" customWidth="1"/>
    <col min="1794" max="1794" width="2.33203125" style="113" customWidth="1"/>
    <col min="1795" max="1795" width="6.33203125" style="113" customWidth="1"/>
    <col min="1796" max="1796" width="33.44140625" style="113" customWidth="1"/>
    <col min="1797" max="1797" width="18" style="113" customWidth="1"/>
    <col min="1798" max="1798" width="27.6640625" style="113" customWidth="1"/>
    <col min="1799" max="1799" width="28.88671875" style="113" bestFit="1" customWidth="1"/>
    <col min="1800" max="1800" width="3" style="113" customWidth="1"/>
    <col min="1801" max="1801" width="23.44140625" style="113" customWidth="1"/>
    <col min="1802" max="1802" width="8.88671875" style="113"/>
    <col min="1803" max="1803" width="17.88671875" style="113" bestFit="1" customWidth="1"/>
    <col min="1804" max="2048" width="8.88671875" style="113"/>
    <col min="2049" max="2049" width="7.109375" style="113" customWidth="1"/>
    <col min="2050" max="2050" width="2.33203125" style="113" customWidth="1"/>
    <col min="2051" max="2051" width="6.33203125" style="113" customWidth="1"/>
    <col min="2052" max="2052" width="33.44140625" style="113" customWidth="1"/>
    <col min="2053" max="2053" width="18" style="113" customWidth="1"/>
    <col min="2054" max="2054" width="27.6640625" style="113" customWidth="1"/>
    <col min="2055" max="2055" width="28.88671875" style="113" bestFit="1" customWidth="1"/>
    <col min="2056" max="2056" width="3" style="113" customWidth="1"/>
    <col min="2057" max="2057" width="23.44140625" style="113" customWidth="1"/>
    <col min="2058" max="2058" width="8.88671875" style="113"/>
    <col min="2059" max="2059" width="17.88671875" style="113" bestFit="1" customWidth="1"/>
    <col min="2060" max="2304" width="8.88671875" style="113"/>
    <col min="2305" max="2305" width="7.109375" style="113" customWidth="1"/>
    <col min="2306" max="2306" width="2.33203125" style="113" customWidth="1"/>
    <col min="2307" max="2307" width="6.33203125" style="113" customWidth="1"/>
    <col min="2308" max="2308" width="33.44140625" style="113" customWidth="1"/>
    <col min="2309" max="2309" width="18" style="113" customWidth="1"/>
    <col min="2310" max="2310" width="27.6640625" style="113" customWidth="1"/>
    <col min="2311" max="2311" width="28.88671875" style="113" bestFit="1" customWidth="1"/>
    <col min="2312" max="2312" width="3" style="113" customWidth="1"/>
    <col min="2313" max="2313" width="23.44140625" style="113" customWidth="1"/>
    <col min="2314" max="2314" width="8.88671875" style="113"/>
    <col min="2315" max="2315" width="17.88671875" style="113" bestFit="1" customWidth="1"/>
    <col min="2316" max="2560" width="8.88671875" style="113"/>
    <col min="2561" max="2561" width="7.109375" style="113" customWidth="1"/>
    <col min="2562" max="2562" width="2.33203125" style="113" customWidth="1"/>
    <col min="2563" max="2563" width="6.33203125" style="113" customWidth="1"/>
    <col min="2564" max="2564" width="33.44140625" style="113" customWidth="1"/>
    <col min="2565" max="2565" width="18" style="113" customWidth="1"/>
    <col min="2566" max="2566" width="27.6640625" style="113" customWidth="1"/>
    <col min="2567" max="2567" width="28.88671875" style="113" bestFit="1" customWidth="1"/>
    <col min="2568" max="2568" width="3" style="113" customWidth="1"/>
    <col min="2569" max="2569" width="23.44140625" style="113" customWidth="1"/>
    <col min="2570" max="2570" width="8.88671875" style="113"/>
    <col min="2571" max="2571" width="17.88671875" style="113" bestFit="1" customWidth="1"/>
    <col min="2572" max="2816" width="8.88671875" style="113"/>
    <col min="2817" max="2817" width="7.109375" style="113" customWidth="1"/>
    <col min="2818" max="2818" width="2.33203125" style="113" customWidth="1"/>
    <col min="2819" max="2819" width="6.33203125" style="113" customWidth="1"/>
    <col min="2820" max="2820" width="33.44140625" style="113" customWidth="1"/>
    <col min="2821" max="2821" width="18" style="113" customWidth="1"/>
    <col min="2822" max="2822" width="27.6640625" style="113" customWidth="1"/>
    <col min="2823" max="2823" width="28.88671875" style="113" bestFit="1" customWidth="1"/>
    <col min="2824" max="2824" width="3" style="113" customWidth="1"/>
    <col min="2825" max="2825" width="23.44140625" style="113" customWidth="1"/>
    <col min="2826" max="2826" width="8.88671875" style="113"/>
    <col min="2827" max="2827" width="17.88671875" style="113" bestFit="1" customWidth="1"/>
    <col min="2828" max="3072" width="8.88671875" style="113"/>
    <col min="3073" max="3073" width="7.109375" style="113" customWidth="1"/>
    <col min="3074" max="3074" width="2.33203125" style="113" customWidth="1"/>
    <col min="3075" max="3075" width="6.33203125" style="113" customWidth="1"/>
    <col min="3076" max="3076" width="33.44140625" style="113" customWidth="1"/>
    <col min="3077" max="3077" width="18" style="113" customWidth="1"/>
    <col min="3078" max="3078" width="27.6640625" style="113" customWidth="1"/>
    <col min="3079" max="3079" width="28.88671875" style="113" bestFit="1" customWidth="1"/>
    <col min="3080" max="3080" width="3" style="113" customWidth="1"/>
    <col min="3081" max="3081" width="23.44140625" style="113" customWidth="1"/>
    <col min="3082" max="3082" width="8.88671875" style="113"/>
    <col min="3083" max="3083" width="17.88671875" style="113" bestFit="1" customWidth="1"/>
    <col min="3084" max="3328" width="8.88671875" style="113"/>
    <col min="3329" max="3329" width="7.109375" style="113" customWidth="1"/>
    <col min="3330" max="3330" width="2.33203125" style="113" customWidth="1"/>
    <col min="3331" max="3331" width="6.33203125" style="113" customWidth="1"/>
    <col min="3332" max="3332" width="33.44140625" style="113" customWidth="1"/>
    <col min="3333" max="3333" width="18" style="113" customWidth="1"/>
    <col min="3334" max="3334" width="27.6640625" style="113" customWidth="1"/>
    <col min="3335" max="3335" width="28.88671875" style="113" bestFit="1" customWidth="1"/>
    <col min="3336" max="3336" width="3" style="113" customWidth="1"/>
    <col min="3337" max="3337" width="23.44140625" style="113" customWidth="1"/>
    <col min="3338" max="3338" width="8.88671875" style="113"/>
    <col min="3339" max="3339" width="17.88671875" style="113" bestFit="1" customWidth="1"/>
    <col min="3340" max="3584" width="8.88671875" style="113"/>
    <col min="3585" max="3585" width="7.109375" style="113" customWidth="1"/>
    <col min="3586" max="3586" width="2.33203125" style="113" customWidth="1"/>
    <col min="3587" max="3587" width="6.33203125" style="113" customWidth="1"/>
    <col min="3588" max="3588" width="33.44140625" style="113" customWidth="1"/>
    <col min="3589" max="3589" width="18" style="113" customWidth="1"/>
    <col min="3590" max="3590" width="27.6640625" style="113" customWidth="1"/>
    <col min="3591" max="3591" width="28.88671875" style="113" bestFit="1" customWidth="1"/>
    <col min="3592" max="3592" width="3" style="113" customWidth="1"/>
    <col min="3593" max="3593" width="23.44140625" style="113" customWidth="1"/>
    <col min="3594" max="3594" width="8.88671875" style="113"/>
    <col min="3595" max="3595" width="17.88671875" style="113" bestFit="1" customWidth="1"/>
    <col min="3596" max="3840" width="8.88671875" style="113"/>
    <col min="3841" max="3841" width="7.109375" style="113" customWidth="1"/>
    <col min="3842" max="3842" width="2.33203125" style="113" customWidth="1"/>
    <col min="3843" max="3843" width="6.33203125" style="113" customWidth="1"/>
    <col min="3844" max="3844" width="33.44140625" style="113" customWidth="1"/>
    <col min="3845" max="3845" width="18" style="113" customWidth="1"/>
    <col min="3846" max="3846" width="27.6640625" style="113" customWidth="1"/>
    <col min="3847" max="3847" width="28.88671875" style="113" bestFit="1" customWidth="1"/>
    <col min="3848" max="3848" width="3" style="113" customWidth="1"/>
    <col min="3849" max="3849" width="23.44140625" style="113" customWidth="1"/>
    <col min="3850" max="3850" width="8.88671875" style="113"/>
    <col min="3851" max="3851" width="17.88671875" style="113" bestFit="1" customWidth="1"/>
    <col min="3852" max="4096" width="8.88671875" style="113"/>
    <col min="4097" max="4097" width="7.109375" style="113" customWidth="1"/>
    <col min="4098" max="4098" width="2.33203125" style="113" customWidth="1"/>
    <col min="4099" max="4099" width="6.33203125" style="113" customWidth="1"/>
    <col min="4100" max="4100" width="33.44140625" style="113" customWidth="1"/>
    <col min="4101" max="4101" width="18" style="113" customWidth="1"/>
    <col min="4102" max="4102" width="27.6640625" style="113" customWidth="1"/>
    <col min="4103" max="4103" width="28.88671875" style="113" bestFit="1" customWidth="1"/>
    <col min="4104" max="4104" width="3" style="113" customWidth="1"/>
    <col min="4105" max="4105" width="23.44140625" style="113" customWidth="1"/>
    <col min="4106" max="4106" width="8.88671875" style="113"/>
    <col min="4107" max="4107" width="17.88671875" style="113" bestFit="1" customWidth="1"/>
    <col min="4108" max="4352" width="8.88671875" style="113"/>
    <col min="4353" max="4353" width="7.109375" style="113" customWidth="1"/>
    <col min="4354" max="4354" width="2.33203125" style="113" customWidth="1"/>
    <col min="4355" max="4355" width="6.33203125" style="113" customWidth="1"/>
    <col min="4356" max="4356" width="33.44140625" style="113" customWidth="1"/>
    <col min="4357" max="4357" width="18" style="113" customWidth="1"/>
    <col min="4358" max="4358" width="27.6640625" style="113" customWidth="1"/>
    <col min="4359" max="4359" width="28.88671875" style="113" bestFit="1" customWidth="1"/>
    <col min="4360" max="4360" width="3" style="113" customWidth="1"/>
    <col min="4361" max="4361" width="23.44140625" style="113" customWidth="1"/>
    <col min="4362" max="4362" width="8.88671875" style="113"/>
    <col min="4363" max="4363" width="17.88671875" style="113" bestFit="1" customWidth="1"/>
    <col min="4364" max="4608" width="8.88671875" style="113"/>
    <col min="4609" max="4609" width="7.109375" style="113" customWidth="1"/>
    <col min="4610" max="4610" width="2.33203125" style="113" customWidth="1"/>
    <col min="4611" max="4611" width="6.33203125" style="113" customWidth="1"/>
    <col min="4612" max="4612" width="33.44140625" style="113" customWidth="1"/>
    <col min="4613" max="4613" width="18" style="113" customWidth="1"/>
    <col min="4614" max="4614" width="27.6640625" style="113" customWidth="1"/>
    <col min="4615" max="4615" width="28.88671875" style="113" bestFit="1" customWidth="1"/>
    <col min="4616" max="4616" width="3" style="113" customWidth="1"/>
    <col min="4617" max="4617" width="23.44140625" style="113" customWidth="1"/>
    <col min="4618" max="4618" width="8.88671875" style="113"/>
    <col min="4619" max="4619" width="17.88671875" style="113" bestFit="1" customWidth="1"/>
    <col min="4620" max="4864" width="8.88671875" style="113"/>
    <col min="4865" max="4865" width="7.109375" style="113" customWidth="1"/>
    <col min="4866" max="4866" width="2.33203125" style="113" customWidth="1"/>
    <col min="4867" max="4867" width="6.33203125" style="113" customWidth="1"/>
    <col min="4868" max="4868" width="33.44140625" style="113" customWidth="1"/>
    <col min="4869" max="4869" width="18" style="113" customWidth="1"/>
    <col min="4870" max="4870" width="27.6640625" style="113" customWidth="1"/>
    <col min="4871" max="4871" width="28.88671875" style="113" bestFit="1" customWidth="1"/>
    <col min="4872" max="4872" width="3" style="113" customWidth="1"/>
    <col min="4873" max="4873" width="23.44140625" style="113" customWidth="1"/>
    <col min="4874" max="4874" width="8.88671875" style="113"/>
    <col min="4875" max="4875" width="17.88671875" style="113" bestFit="1" customWidth="1"/>
    <col min="4876" max="5120" width="8.88671875" style="113"/>
    <col min="5121" max="5121" width="7.109375" style="113" customWidth="1"/>
    <col min="5122" max="5122" width="2.33203125" style="113" customWidth="1"/>
    <col min="5123" max="5123" width="6.33203125" style="113" customWidth="1"/>
    <col min="5124" max="5124" width="33.44140625" style="113" customWidth="1"/>
    <col min="5125" max="5125" width="18" style="113" customWidth="1"/>
    <col min="5126" max="5126" width="27.6640625" style="113" customWidth="1"/>
    <col min="5127" max="5127" width="28.88671875" style="113" bestFit="1" customWidth="1"/>
    <col min="5128" max="5128" width="3" style="113" customWidth="1"/>
    <col min="5129" max="5129" width="23.44140625" style="113" customWidth="1"/>
    <col min="5130" max="5130" width="8.88671875" style="113"/>
    <col min="5131" max="5131" width="17.88671875" style="113" bestFit="1" customWidth="1"/>
    <col min="5132" max="5376" width="8.88671875" style="113"/>
    <col min="5377" max="5377" width="7.109375" style="113" customWidth="1"/>
    <col min="5378" max="5378" width="2.33203125" style="113" customWidth="1"/>
    <col min="5379" max="5379" width="6.33203125" style="113" customWidth="1"/>
    <col min="5380" max="5380" width="33.44140625" style="113" customWidth="1"/>
    <col min="5381" max="5381" width="18" style="113" customWidth="1"/>
    <col min="5382" max="5382" width="27.6640625" style="113" customWidth="1"/>
    <col min="5383" max="5383" width="28.88671875" style="113" bestFit="1" customWidth="1"/>
    <col min="5384" max="5384" width="3" style="113" customWidth="1"/>
    <col min="5385" max="5385" width="23.44140625" style="113" customWidth="1"/>
    <col min="5386" max="5386" width="8.88671875" style="113"/>
    <col min="5387" max="5387" width="17.88671875" style="113" bestFit="1" customWidth="1"/>
    <col min="5388" max="5632" width="8.88671875" style="113"/>
    <col min="5633" max="5633" width="7.109375" style="113" customWidth="1"/>
    <col min="5634" max="5634" width="2.33203125" style="113" customWidth="1"/>
    <col min="5635" max="5635" width="6.33203125" style="113" customWidth="1"/>
    <col min="5636" max="5636" width="33.44140625" style="113" customWidth="1"/>
    <col min="5637" max="5637" width="18" style="113" customWidth="1"/>
    <col min="5638" max="5638" width="27.6640625" style="113" customWidth="1"/>
    <col min="5639" max="5639" width="28.88671875" style="113" bestFit="1" customWidth="1"/>
    <col min="5640" max="5640" width="3" style="113" customWidth="1"/>
    <col min="5641" max="5641" width="23.44140625" style="113" customWidth="1"/>
    <col min="5642" max="5642" width="8.88671875" style="113"/>
    <col min="5643" max="5643" width="17.88671875" style="113" bestFit="1" customWidth="1"/>
    <col min="5644" max="5888" width="8.88671875" style="113"/>
    <col min="5889" max="5889" width="7.109375" style="113" customWidth="1"/>
    <col min="5890" max="5890" width="2.33203125" style="113" customWidth="1"/>
    <col min="5891" max="5891" width="6.33203125" style="113" customWidth="1"/>
    <col min="5892" max="5892" width="33.44140625" style="113" customWidth="1"/>
    <col min="5893" max="5893" width="18" style="113" customWidth="1"/>
    <col min="5894" max="5894" width="27.6640625" style="113" customWidth="1"/>
    <col min="5895" max="5895" width="28.88671875" style="113" bestFit="1" customWidth="1"/>
    <col min="5896" max="5896" width="3" style="113" customWidth="1"/>
    <col min="5897" max="5897" width="23.44140625" style="113" customWidth="1"/>
    <col min="5898" max="5898" width="8.88671875" style="113"/>
    <col min="5899" max="5899" width="17.88671875" style="113" bestFit="1" customWidth="1"/>
    <col min="5900" max="6144" width="8.88671875" style="113"/>
    <col min="6145" max="6145" width="7.109375" style="113" customWidth="1"/>
    <col min="6146" max="6146" width="2.33203125" style="113" customWidth="1"/>
    <col min="6147" max="6147" width="6.33203125" style="113" customWidth="1"/>
    <col min="6148" max="6148" width="33.44140625" style="113" customWidth="1"/>
    <col min="6149" max="6149" width="18" style="113" customWidth="1"/>
    <col min="6150" max="6150" width="27.6640625" style="113" customWidth="1"/>
    <col min="6151" max="6151" width="28.88671875" style="113" bestFit="1" customWidth="1"/>
    <col min="6152" max="6152" width="3" style="113" customWidth="1"/>
    <col min="6153" max="6153" width="23.44140625" style="113" customWidth="1"/>
    <col min="6154" max="6154" width="8.88671875" style="113"/>
    <col min="6155" max="6155" width="17.88671875" style="113" bestFit="1" customWidth="1"/>
    <col min="6156" max="6400" width="8.88671875" style="113"/>
    <col min="6401" max="6401" width="7.109375" style="113" customWidth="1"/>
    <col min="6402" max="6402" width="2.33203125" style="113" customWidth="1"/>
    <col min="6403" max="6403" width="6.33203125" style="113" customWidth="1"/>
    <col min="6404" max="6404" width="33.44140625" style="113" customWidth="1"/>
    <col min="6405" max="6405" width="18" style="113" customWidth="1"/>
    <col min="6406" max="6406" width="27.6640625" style="113" customWidth="1"/>
    <col min="6407" max="6407" width="28.88671875" style="113" bestFit="1" customWidth="1"/>
    <col min="6408" max="6408" width="3" style="113" customWidth="1"/>
    <col min="6409" max="6409" width="23.44140625" style="113" customWidth="1"/>
    <col min="6410" max="6410" width="8.88671875" style="113"/>
    <col min="6411" max="6411" width="17.88671875" style="113" bestFit="1" customWidth="1"/>
    <col min="6412" max="6656" width="8.88671875" style="113"/>
    <col min="6657" max="6657" width="7.109375" style="113" customWidth="1"/>
    <col min="6658" max="6658" width="2.33203125" style="113" customWidth="1"/>
    <col min="6659" max="6659" width="6.33203125" style="113" customWidth="1"/>
    <col min="6660" max="6660" width="33.44140625" style="113" customWidth="1"/>
    <col min="6661" max="6661" width="18" style="113" customWidth="1"/>
    <col min="6662" max="6662" width="27.6640625" style="113" customWidth="1"/>
    <col min="6663" max="6663" width="28.88671875" style="113" bestFit="1" customWidth="1"/>
    <col min="6664" max="6664" width="3" style="113" customWidth="1"/>
    <col min="6665" max="6665" width="23.44140625" style="113" customWidth="1"/>
    <col min="6666" max="6666" width="8.88671875" style="113"/>
    <col min="6667" max="6667" width="17.88671875" style="113" bestFit="1" customWidth="1"/>
    <col min="6668" max="6912" width="8.88671875" style="113"/>
    <col min="6913" max="6913" width="7.109375" style="113" customWidth="1"/>
    <col min="6914" max="6914" width="2.33203125" style="113" customWidth="1"/>
    <col min="6915" max="6915" width="6.33203125" style="113" customWidth="1"/>
    <col min="6916" max="6916" width="33.44140625" style="113" customWidth="1"/>
    <col min="6917" max="6917" width="18" style="113" customWidth="1"/>
    <col min="6918" max="6918" width="27.6640625" style="113" customWidth="1"/>
    <col min="6919" max="6919" width="28.88671875" style="113" bestFit="1" customWidth="1"/>
    <col min="6920" max="6920" width="3" style="113" customWidth="1"/>
    <col min="6921" max="6921" width="23.44140625" style="113" customWidth="1"/>
    <col min="6922" max="6922" width="8.88671875" style="113"/>
    <col min="6923" max="6923" width="17.88671875" style="113" bestFit="1" customWidth="1"/>
    <col min="6924" max="7168" width="8.88671875" style="113"/>
    <col min="7169" max="7169" width="7.109375" style="113" customWidth="1"/>
    <col min="7170" max="7170" width="2.33203125" style="113" customWidth="1"/>
    <col min="7171" max="7171" width="6.33203125" style="113" customWidth="1"/>
    <col min="7172" max="7172" width="33.44140625" style="113" customWidth="1"/>
    <col min="7173" max="7173" width="18" style="113" customWidth="1"/>
    <col min="7174" max="7174" width="27.6640625" style="113" customWidth="1"/>
    <col min="7175" max="7175" width="28.88671875" style="113" bestFit="1" customWidth="1"/>
    <col min="7176" max="7176" width="3" style="113" customWidth="1"/>
    <col min="7177" max="7177" width="23.44140625" style="113" customWidth="1"/>
    <col min="7178" max="7178" width="8.88671875" style="113"/>
    <col min="7179" max="7179" width="17.88671875" style="113" bestFit="1" customWidth="1"/>
    <col min="7180" max="7424" width="8.88671875" style="113"/>
    <col min="7425" max="7425" width="7.109375" style="113" customWidth="1"/>
    <col min="7426" max="7426" width="2.33203125" style="113" customWidth="1"/>
    <col min="7427" max="7427" width="6.33203125" style="113" customWidth="1"/>
    <col min="7428" max="7428" width="33.44140625" style="113" customWidth="1"/>
    <col min="7429" max="7429" width="18" style="113" customWidth="1"/>
    <col min="7430" max="7430" width="27.6640625" style="113" customWidth="1"/>
    <col min="7431" max="7431" width="28.88671875" style="113" bestFit="1" customWidth="1"/>
    <col min="7432" max="7432" width="3" style="113" customWidth="1"/>
    <col min="7433" max="7433" width="23.44140625" style="113" customWidth="1"/>
    <col min="7434" max="7434" width="8.88671875" style="113"/>
    <col min="7435" max="7435" width="17.88671875" style="113" bestFit="1" customWidth="1"/>
    <col min="7436" max="7680" width="8.88671875" style="113"/>
    <col min="7681" max="7681" width="7.109375" style="113" customWidth="1"/>
    <col min="7682" max="7682" width="2.33203125" style="113" customWidth="1"/>
    <col min="7683" max="7683" width="6.33203125" style="113" customWidth="1"/>
    <col min="7684" max="7684" width="33.44140625" style="113" customWidth="1"/>
    <col min="7685" max="7685" width="18" style="113" customWidth="1"/>
    <col min="7686" max="7686" width="27.6640625" style="113" customWidth="1"/>
    <col min="7687" max="7687" width="28.88671875" style="113" bestFit="1" customWidth="1"/>
    <col min="7688" max="7688" width="3" style="113" customWidth="1"/>
    <col min="7689" max="7689" width="23.44140625" style="113" customWidth="1"/>
    <col min="7690" max="7690" width="8.88671875" style="113"/>
    <col min="7691" max="7691" width="17.88671875" style="113" bestFit="1" customWidth="1"/>
    <col min="7692" max="7936" width="8.88671875" style="113"/>
    <col min="7937" max="7937" width="7.109375" style="113" customWidth="1"/>
    <col min="7938" max="7938" width="2.33203125" style="113" customWidth="1"/>
    <col min="7939" max="7939" width="6.33203125" style="113" customWidth="1"/>
    <col min="7940" max="7940" width="33.44140625" style="113" customWidth="1"/>
    <col min="7941" max="7941" width="18" style="113" customWidth="1"/>
    <col min="7942" max="7942" width="27.6640625" style="113" customWidth="1"/>
    <col min="7943" max="7943" width="28.88671875" style="113" bestFit="1" customWidth="1"/>
    <col min="7944" max="7944" width="3" style="113" customWidth="1"/>
    <col min="7945" max="7945" width="23.44140625" style="113" customWidth="1"/>
    <col min="7946" max="7946" width="8.88671875" style="113"/>
    <col min="7947" max="7947" width="17.88671875" style="113" bestFit="1" customWidth="1"/>
    <col min="7948" max="8192" width="8.88671875" style="113"/>
    <col min="8193" max="8193" width="7.109375" style="113" customWidth="1"/>
    <col min="8194" max="8194" width="2.33203125" style="113" customWidth="1"/>
    <col min="8195" max="8195" width="6.33203125" style="113" customWidth="1"/>
    <col min="8196" max="8196" width="33.44140625" style="113" customWidth="1"/>
    <col min="8197" max="8197" width="18" style="113" customWidth="1"/>
    <col min="8198" max="8198" width="27.6640625" style="113" customWidth="1"/>
    <col min="8199" max="8199" width="28.88671875" style="113" bestFit="1" customWidth="1"/>
    <col min="8200" max="8200" width="3" style="113" customWidth="1"/>
    <col min="8201" max="8201" width="23.44140625" style="113" customWidth="1"/>
    <col min="8202" max="8202" width="8.88671875" style="113"/>
    <col min="8203" max="8203" width="17.88671875" style="113" bestFit="1" customWidth="1"/>
    <col min="8204" max="8448" width="8.88671875" style="113"/>
    <col min="8449" max="8449" width="7.109375" style="113" customWidth="1"/>
    <col min="8450" max="8450" width="2.33203125" style="113" customWidth="1"/>
    <col min="8451" max="8451" width="6.33203125" style="113" customWidth="1"/>
    <col min="8452" max="8452" width="33.44140625" style="113" customWidth="1"/>
    <col min="8453" max="8453" width="18" style="113" customWidth="1"/>
    <col min="8454" max="8454" width="27.6640625" style="113" customWidth="1"/>
    <col min="8455" max="8455" width="28.88671875" style="113" bestFit="1" customWidth="1"/>
    <col min="8456" max="8456" width="3" style="113" customWidth="1"/>
    <col min="8457" max="8457" width="23.44140625" style="113" customWidth="1"/>
    <col min="8458" max="8458" width="8.88671875" style="113"/>
    <col min="8459" max="8459" width="17.88671875" style="113" bestFit="1" customWidth="1"/>
    <col min="8460" max="8704" width="8.88671875" style="113"/>
    <col min="8705" max="8705" width="7.109375" style="113" customWidth="1"/>
    <col min="8706" max="8706" width="2.33203125" style="113" customWidth="1"/>
    <col min="8707" max="8707" width="6.33203125" style="113" customWidth="1"/>
    <col min="8708" max="8708" width="33.44140625" style="113" customWidth="1"/>
    <col min="8709" max="8709" width="18" style="113" customWidth="1"/>
    <col min="8710" max="8710" width="27.6640625" style="113" customWidth="1"/>
    <col min="8711" max="8711" width="28.88671875" style="113" bestFit="1" customWidth="1"/>
    <col min="8712" max="8712" width="3" style="113" customWidth="1"/>
    <col min="8713" max="8713" width="23.44140625" style="113" customWidth="1"/>
    <col min="8714" max="8714" width="8.88671875" style="113"/>
    <col min="8715" max="8715" width="17.88671875" style="113" bestFit="1" customWidth="1"/>
    <col min="8716" max="8960" width="8.88671875" style="113"/>
    <col min="8961" max="8961" width="7.109375" style="113" customWidth="1"/>
    <col min="8962" max="8962" width="2.33203125" style="113" customWidth="1"/>
    <col min="8963" max="8963" width="6.33203125" style="113" customWidth="1"/>
    <col min="8964" max="8964" width="33.44140625" style="113" customWidth="1"/>
    <col min="8965" max="8965" width="18" style="113" customWidth="1"/>
    <col min="8966" max="8966" width="27.6640625" style="113" customWidth="1"/>
    <col min="8967" max="8967" width="28.88671875" style="113" bestFit="1" customWidth="1"/>
    <col min="8968" max="8968" width="3" style="113" customWidth="1"/>
    <col min="8969" max="8969" width="23.44140625" style="113" customWidth="1"/>
    <col min="8970" max="8970" width="8.88671875" style="113"/>
    <col min="8971" max="8971" width="17.88671875" style="113" bestFit="1" customWidth="1"/>
    <col min="8972" max="9216" width="8.88671875" style="113"/>
    <col min="9217" max="9217" width="7.109375" style="113" customWidth="1"/>
    <col min="9218" max="9218" width="2.33203125" style="113" customWidth="1"/>
    <col min="9219" max="9219" width="6.33203125" style="113" customWidth="1"/>
    <col min="9220" max="9220" width="33.44140625" style="113" customWidth="1"/>
    <col min="9221" max="9221" width="18" style="113" customWidth="1"/>
    <col min="9222" max="9222" width="27.6640625" style="113" customWidth="1"/>
    <col min="9223" max="9223" width="28.88671875" style="113" bestFit="1" customWidth="1"/>
    <col min="9224" max="9224" width="3" style="113" customWidth="1"/>
    <col min="9225" max="9225" width="23.44140625" style="113" customWidth="1"/>
    <col min="9226" max="9226" width="8.88671875" style="113"/>
    <col min="9227" max="9227" width="17.88671875" style="113" bestFit="1" customWidth="1"/>
    <col min="9228" max="9472" width="8.88671875" style="113"/>
    <col min="9473" max="9473" width="7.109375" style="113" customWidth="1"/>
    <col min="9474" max="9474" width="2.33203125" style="113" customWidth="1"/>
    <col min="9475" max="9475" width="6.33203125" style="113" customWidth="1"/>
    <col min="9476" max="9476" width="33.44140625" style="113" customWidth="1"/>
    <col min="9477" max="9477" width="18" style="113" customWidth="1"/>
    <col min="9478" max="9478" width="27.6640625" style="113" customWidth="1"/>
    <col min="9479" max="9479" width="28.88671875" style="113" bestFit="1" customWidth="1"/>
    <col min="9480" max="9480" width="3" style="113" customWidth="1"/>
    <col min="9481" max="9481" width="23.44140625" style="113" customWidth="1"/>
    <col min="9482" max="9482" width="8.88671875" style="113"/>
    <col min="9483" max="9483" width="17.88671875" style="113" bestFit="1" customWidth="1"/>
    <col min="9484" max="9728" width="8.88671875" style="113"/>
    <col min="9729" max="9729" width="7.109375" style="113" customWidth="1"/>
    <col min="9730" max="9730" width="2.33203125" style="113" customWidth="1"/>
    <col min="9731" max="9731" width="6.33203125" style="113" customWidth="1"/>
    <col min="9732" max="9732" width="33.44140625" style="113" customWidth="1"/>
    <col min="9733" max="9733" width="18" style="113" customWidth="1"/>
    <col min="9734" max="9734" width="27.6640625" style="113" customWidth="1"/>
    <col min="9735" max="9735" width="28.88671875" style="113" bestFit="1" customWidth="1"/>
    <col min="9736" max="9736" width="3" style="113" customWidth="1"/>
    <col min="9737" max="9737" width="23.44140625" style="113" customWidth="1"/>
    <col min="9738" max="9738" width="8.88671875" style="113"/>
    <col min="9739" max="9739" width="17.88671875" style="113" bestFit="1" customWidth="1"/>
    <col min="9740" max="9984" width="8.88671875" style="113"/>
    <col min="9985" max="9985" width="7.109375" style="113" customWidth="1"/>
    <col min="9986" max="9986" width="2.33203125" style="113" customWidth="1"/>
    <col min="9987" max="9987" width="6.33203125" style="113" customWidth="1"/>
    <col min="9988" max="9988" width="33.44140625" style="113" customWidth="1"/>
    <col min="9989" max="9989" width="18" style="113" customWidth="1"/>
    <col min="9990" max="9990" width="27.6640625" style="113" customWidth="1"/>
    <col min="9991" max="9991" width="28.88671875" style="113" bestFit="1" customWidth="1"/>
    <col min="9992" max="9992" width="3" style="113" customWidth="1"/>
    <col min="9993" max="9993" width="23.44140625" style="113" customWidth="1"/>
    <col min="9994" max="9994" width="8.88671875" style="113"/>
    <col min="9995" max="9995" width="17.88671875" style="113" bestFit="1" customWidth="1"/>
    <col min="9996" max="10240" width="8.88671875" style="113"/>
    <col min="10241" max="10241" width="7.109375" style="113" customWidth="1"/>
    <col min="10242" max="10242" width="2.33203125" style="113" customWidth="1"/>
    <col min="10243" max="10243" width="6.33203125" style="113" customWidth="1"/>
    <col min="10244" max="10244" width="33.44140625" style="113" customWidth="1"/>
    <col min="10245" max="10245" width="18" style="113" customWidth="1"/>
    <col min="10246" max="10246" width="27.6640625" style="113" customWidth="1"/>
    <col min="10247" max="10247" width="28.88671875" style="113" bestFit="1" customWidth="1"/>
    <col min="10248" max="10248" width="3" style="113" customWidth="1"/>
    <col min="10249" max="10249" width="23.44140625" style="113" customWidth="1"/>
    <col min="10250" max="10250" width="8.88671875" style="113"/>
    <col min="10251" max="10251" width="17.88671875" style="113" bestFit="1" customWidth="1"/>
    <col min="10252" max="10496" width="8.88671875" style="113"/>
    <col min="10497" max="10497" width="7.109375" style="113" customWidth="1"/>
    <col min="10498" max="10498" width="2.33203125" style="113" customWidth="1"/>
    <col min="10499" max="10499" width="6.33203125" style="113" customWidth="1"/>
    <col min="10500" max="10500" width="33.44140625" style="113" customWidth="1"/>
    <col min="10501" max="10501" width="18" style="113" customWidth="1"/>
    <col min="10502" max="10502" width="27.6640625" style="113" customWidth="1"/>
    <col min="10503" max="10503" width="28.88671875" style="113" bestFit="1" customWidth="1"/>
    <col min="10504" max="10504" width="3" style="113" customWidth="1"/>
    <col min="10505" max="10505" width="23.44140625" style="113" customWidth="1"/>
    <col min="10506" max="10506" width="8.88671875" style="113"/>
    <col min="10507" max="10507" width="17.88671875" style="113" bestFit="1" customWidth="1"/>
    <col min="10508" max="10752" width="8.88671875" style="113"/>
    <col min="10753" max="10753" width="7.109375" style="113" customWidth="1"/>
    <col min="10754" max="10754" width="2.33203125" style="113" customWidth="1"/>
    <col min="10755" max="10755" width="6.33203125" style="113" customWidth="1"/>
    <col min="10756" max="10756" width="33.44140625" style="113" customWidth="1"/>
    <col min="10757" max="10757" width="18" style="113" customWidth="1"/>
    <col min="10758" max="10758" width="27.6640625" style="113" customWidth="1"/>
    <col min="10759" max="10759" width="28.88671875" style="113" bestFit="1" customWidth="1"/>
    <col min="10760" max="10760" width="3" style="113" customWidth="1"/>
    <col min="10761" max="10761" width="23.44140625" style="113" customWidth="1"/>
    <col min="10762" max="10762" width="8.88671875" style="113"/>
    <col min="10763" max="10763" width="17.88671875" style="113" bestFit="1" customWidth="1"/>
    <col min="10764" max="11008" width="8.88671875" style="113"/>
    <col min="11009" max="11009" width="7.109375" style="113" customWidth="1"/>
    <col min="11010" max="11010" width="2.33203125" style="113" customWidth="1"/>
    <col min="11011" max="11011" width="6.33203125" style="113" customWidth="1"/>
    <col min="11012" max="11012" width="33.44140625" style="113" customWidth="1"/>
    <col min="11013" max="11013" width="18" style="113" customWidth="1"/>
    <col min="11014" max="11014" width="27.6640625" style="113" customWidth="1"/>
    <col min="11015" max="11015" width="28.88671875" style="113" bestFit="1" customWidth="1"/>
    <col min="11016" max="11016" width="3" style="113" customWidth="1"/>
    <col min="11017" max="11017" width="23.44140625" style="113" customWidth="1"/>
    <col min="11018" max="11018" width="8.88671875" style="113"/>
    <col min="11019" max="11019" width="17.88671875" style="113" bestFit="1" customWidth="1"/>
    <col min="11020" max="11264" width="8.88671875" style="113"/>
    <col min="11265" max="11265" width="7.109375" style="113" customWidth="1"/>
    <col min="11266" max="11266" width="2.33203125" style="113" customWidth="1"/>
    <col min="11267" max="11267" width="6.33203125" style="113" customWidth="1"/>
    <col min="11268" max="11268" width="33.44140625" style="113" customWidth="1"/>
    <col min="11269" max="11269" width="18" style="113" customWidth="1"/>
    <col min="11270" max="11270" width="27.6640625" style="113" customWidth="1"/>
    <col min="11271" max="11271" width="28.88671875" style="113" bestFit="1" customWidth="1"/>
    <col min="11272" max="11272" width="3" style="113" customWidth="1"/>
    <col min="11273" max="11273" width="23.44140625" style="113" customWidth="1"/>
    <col min="11274" max="11274" width="8.88671875" style="113"/>
    <col min="11275" max="11275" width="17.88671875" style="113" bestFit="1" customWidth="1"/>
    <col min="11276" max="11520" width="8.88671875" style="113"/>
    <col min="11521" max="11521" width="7.109375" style="113" customWidth="1"/>
    <col min="11522" max="11522" width="2.33203125" style="113" customWidth="1"/>
    <col min="11523" max="11523" width="6.33203125" style="113" customWidth="1"/>
    <col min="11524" max="11524" width="33.44140625" style="113" customWidth="1"/>
    <col min="11525" max="11525" width="18" style="113" customWidth="1"/>
    <col min="11526" max="11526" width="27.6640625" style="113" customWidth="1"/>
    <col min="11527" max="11527" width="28.88671875" style="113" bestFit="1" customWidth="1"/>
    <col min="11528" max="11528" width="3" style="113" customWidth="1"/>
    <col min="11529" max="11529" width="23.44140625" style="113" customWidth="1"/>
    <col min="11530" max="11530" width="8.88671875" style="113"/>
    <col min="11531" max="11531" width="17.88671875" style="113" bestFit="1" customWidth="1"/>
    <col min="11532" max="11776" width="8.88671875" style="113"/>
    <col min="11777" max="11777" width="7.109375" style="113" customWidth="1"/>
    <col min="11778" max="11778" width="2.33203125" style="113" customWidth="1"/>
    <col min="11779" max="11779" width="6.33203125" style="113" customWidth="1"/>
    <col min="11780" max="11780" width="33.44140625" style="113" customWidth="1"/>
    <col min="11781" max="11781" width="18" style="113" customWidth="1"/>
    <col min="11782" max="11782" width="27.6640625" style="113" customWidth="1"/>
    <col min="11783" max="11783" width="28.88671875" style="113" bestFit="1" customWidth="1"/>
    <col min="11784" max="11784" width="3" style="113" customWidth="1"/>
    <col min="11785" max="11785" width="23.44140625" style="113" customWidth="1"/>
    <col min="11786" max="11786" width="8.88671875" style="113"/>
    <col min="11787" max="11787" width="17.88671875" style="113" bestFit="1" customWidth="1"/>
    <col min="11788" max="12032" width="8.88671875" style="113"/>
    <col min="12033" max="12033" width="7.109375" style="113" customWidth="1"/>
    <col min="12034" max="12034" width="2.33203125" style="113" customWidth="1"/>
    <col min="12035" max="12035" width="6.33203125" style="113" customWidth="1"/>
    <col min="12036" max="12036" width="33.44140625" style="113" customWidth="1"/>
    <col min="12037" max="12037" width="18" style="113" customWidth="1"/>
    <col min="12038" max="12038" width="27.6640625" style="113" customWidth="1"/>
    <col min="12039" max="12039" width="28.88671875" style="113" bestFit="1" customWidth="1"/>
    <col min="12040" max="12040" width="3" style="113" customWidth="1"/>
    <col min="12041" max="12041" width="23.44140625" style="113" customWidth="1"/>
    <col min="12042" max="12042" width="8.88671875" style="113"/>
    <col min="12043" max="12043" width="17.88671875" style="113" bestFit="1" customWidth="1"/>
    <col min="12044" max="12288" width="8.88671875" style="113"/>
    <col min="12289" max="12289" width="7.109375" style="113" customWidth="1"/>
    <col min="12290" max="12290" width="2.33203125" style="113" customWidth="1"/>
    <col min="12291" max="12291" width="6.33203125" style="113" customWidth="1"/>
    <col min="12292" max="12292" width="33.44140625" style="113" customWidth="1"/>
    <col min="12293" max="12293" width="18" style="113" customWidth="1"/>
    <col min="12294" max="12294" width="27.6640625" style="113" customWidth="1"/>
    <col min="12295" max="12295" width="28.88671875" style="113" bestFit="1" customWidth="1"/>
    <col min="12296" max="12296" width="3" style="113" customWidth="1"/>
    <col min="12297" max="12297" width="23.44140625" style="113" customWidth="1"/>
    <col min="12298" max="12298" width="8.88671875" style="113"/>
    <col min="12299" max="12299" width="17.88671875" style="113" bestFit="1" customWidth="1"/>
    <col min="12300" max="12544" width="8.88671875" style="113"/>
    <col min="12545" max="12545" width="7.109375" style="113" customWidth="1"/>
    <col min="12546" max="12546" width="2.33203125" style="113" customWidth="1"/>
    <col min="12547" max="12547" width="6.33203125" style="113" customWidth="1"/>
    <col min="12548" max="12548" width="33.44140625" style="113" customWidth="1"/>
    <col min="12549" max="12549" width="18" style="113" customWidth="1"/>
    <col min="12550" max="12550" width="27.6640625" style="113" customWidth="1"/>
    <col min="12551" max="12551" width="28.88671875" style="113" bestFit="1" customWidth="1"/>
    <col min="12552" max="12552" width="3" style="113" customWidth="1"/>
    <col min="12553" max="12553" width="23.44140625" style="113" customWidth="1"/>
    <col min="12554" max="12554" width="8.88671875" style="113"/>
    <col min="12555" max="12555" width="17.88671875" style="113" bestFit="1" customWidth="1"/>
    <col min="12556" max="12800" width="8.88671875" style="113"/>
    <col min="12801" max="12801" width="7.109375" style="113" customWidth="1"/>
    <col min="12802" max="12802" width="2.33203125" style="113" customWidth="1"/>
    <col min="12803" max="12803" width="6.33203125" style="113" customWidth="1"/>
    <col min="12804" max="12804" width="33.44140625" style="113" customWidth="1"/>
    <col min="12805" max="12805" width="18" style="113" customWidth="1"/>
    <col min="12806" max="12806" width="27.6640625" style="113" customWidth="1"/>
    <col min="12807" max="12807" width="28.88671875" style="113" bestFit="1" customWidth="1"/>
    <col min="12808" max="12808" width="3" style="113" customWidth="1"/>
    <col min="12809" max="12809" width="23.44140625" style="113" customWidth="1"/>
    <col min="12810" max="12810" width="8.88671875" style="113"/>
    <col min="12811" max="12811" width="17.88671875" style="113" bestFit="1" customWidth="1"/>
    <col min="12812" max="13056" width="8.88671875" style="113"/>
    <col min="13057" max="13057" width="7.109375" style="113" customWidth="1"/>
    <col min="13058" max="13058" width="2.33203125" style="113" customWidth="1"/>
    <col min="13059" max="13059" width="6.33203125" style="113" customWidth="1"/>
    <col min="13060" max="13060" width="33.44140625" style="113" customWidth="1"/>
    <col min="13061" max="13061" width="18" style="113" customWidth="1"/>
    <col min="13062" max="13062" width="27.6640625" style="113" customWidth="1"/>
    <col min="13063" max="13063" width="28.88671875" style="113" bestFit="1" customWidth="1"/>
    <col min="13064" max="13064" width="3" style="113" customWidth="1"/>
    <col min="13065" max="13065" width="23.44140625" style="113" customWidth="1"/>
    <col min="13066" max="13066" width="8.88671875" style="113"/>
    <col min="13067" max="13067" width="17.88671875" style="113" bestFit="1" customWidth="1"/>
    <col min="13068" max="13312" width="8.88671875" style="113"/>
    <col min="13313" max="13313" width="7.109375" style="113" customWidth="1"/>
    <col min="13314" max="13314" width="2.33203125" style="113" customWidth="1"/>
    <col min="13315" max="13315" width="6.33203125" style="113" customWidth="1"/>
    <col min="13316" max="13316" width="33.44140625" style="113" customWidth="1"/>
    <col min="13317" max="13317" width="18" style="113" customWidth="1"/>
    <col min="13318" max="13318" width="27.6640625" style="113" customWidth="1"/>
    <col min="13319" max="13319" width="28.88671875" style="113" bestFit="1" customWidth="1"/>
    <col min="13320" max="13320" width="3" style="113" customWidth="1"/>
    <col min="13321" max="13321" width="23.44140625" style="113" customWidth="1"/>
    <col min="13322" max="13322" width="8.88671875" style="113"/>
    <col min="13323" max="13323" width="17.88671875" style="113" bestFit="1" customWidth="1"/>
    <col min="13324" max="13568" width="8.88671875" style="113"/>
    <col min="13569" max="13569" width="7.109375" style="113" customWidth="1"/>
    <col min="13570" max="13570" width="2.33203125" style="113" customWidth="1"/>
    <col min="13571" max="13571" width="6.33203125" style="113" customWidth="1"/>
    <col min="13572" max="13572" width="33.44140625" style="113" customWidth="1"/>
    <col min="13573" max="13573" width="18" style="113" customWidth="1"/>
    <col min="13574" max="13574" width="27.6640625" style="113" customWidth="1"/>
    <col min="13575" max="13575" width="28.88671875" style="113" bestFit="1" customWidth="1"/>
    <col min="13576" max="13576" width="3" style="113" customWidth="1"/>
    <col min="13577" max="13577" width="23.44140625" style="113" customWidth="1"/>
    <col min="13578" max="13578" width="8.88671875" style="113"/>
    <col min="13579" max="13579" width="17.88671875" style="113" bestFit="1" customWidth="1"/>
    <col min="13580" max="13824" width="8.88671875" style="113"/>
    <col min="13825" max="13825" width="7.109375" style="113" customWidth="1"/>
    <col min="13826" max="13826" width="2.33203125" style="113" customWidth="1"/>
    <col min="13827" max="13827" width="6.33203125" style="113" customWidth="1"/>
    <col min="13828" max="13828" width="33.44140625" style="113" customWidth="1"/>
    <col min="13829" max="13829" width="18" style="113" customWidth="1"/>
    <col min="13830" max="13830" width="27.6640625" style="113" customWidth="1"/>
    <col min="13831" max="13831" width="28.88671875" style="113" bestFit="1" customWidth="1"/>
    <col min="13832" max="13832" width="3" style="113" customWidth="1"/>
    <col min="13833" max="13833" width="23.44140625" style="113" customWidth="1"/>
    <col min="13834" max="13834" width="8.88671875" style="113"/>
    <col min="13835" max="13835" width="17.88671875" style="113" bestFit="1" customWidth="1"/>
    <col min="13836" max="14080" width="8.88671875" style="113"/>
    <col min="14081" max="14081" width="7.109375" style="113" customWidth="1"/>
    <col min="14082" max="14082" width="2.33203125" style="113" customWidth="1"/>
    <col min="14083" max="14083" width="6.33203125" style="113" customWidth="1"/>
    <col min="14084" max="14084" width="33.44140625" style="113" customWidth="1"/>
    <col min="14085" max="14085" width="18" style="113" customWidth="1"/>
    <col min="14086" max="14086" width="27.6640625" style="113" customWidth="1"/>
    <col min="14087" max="14087" width="28.88671875" style="113" bestFit="1" customWidth="1"/>
    <col min="14088" max="14088" width="3" style="113" customWidth="1"/>
    <col min="14089" max="14089" width="23.44140625" style="113" customWidth="1"/>
    <col min="14090" max="14090" width="8.88671875" style="113"/>
    <col min="14091" max="14091" width="17.88671875" style="113" bestFit="1" customWidth="1"/>
    <col min="14092" max="14336" width="8.88671875" style="113"/>
    <col min="14337" max="14337" width="7.109375" style="113" customWidth="1"/>
    <col min="14338" max="14338" width="2.33203125" style="113" customWidth="1"/>
    <col min="14339" max="14339" width="6.33203125" style="113" customWidth="1"/>
    <col min="14340" max="14340" width="33.44140625" style="113" customWidth="1"/>
    <col min="14341" max="14341" width="18" style="113" customWidth="1"/>
    <col min="14342" max="14342" width="27.6640625" style="113" customWidth="1"/>
    <col min="14343" max="14343" width="28.88671875" style="113" bestFit="1" customWidth="1"/>
    <col min="14344" max="14344" width="3" style="113" customWidth="1"/>
    <col min="14345" max="14345" width="23.44140625" style="113" customWidth="1"/>
    <col min="14346" max="14346" width="8.88671875" style="113"/>
    <col min="14347" max="14347" width="17.88671875" style="113" bestFit="1" customWidth="1"/>
    <col min="14348" max="14592" width="8.88671875" style="113"/>
    <col min="14593" max="14593" width="7.109375" style="113" customWidth="1"/>
    <col min="14594" max="14594" width="2.33203125" style="113" customWidth="1"/>
    <col min="14595" max="14595" width="6.33203125" style="113" customWidth="1"/>
    <col min="14596" max="14596" width="33.44140625" style="113" customWidth="1"/>
    <col min="14597" max="14597" width="18" style="113" customWidth="1"/>
    <col min="14598" max="14598" width="27.6640625" style="113" customWidth="1"/>
    <col min="14599" max="14599" width="28.88671875" style="113" bestFit="1" customWidth="1"/>
    <col min="14600" max="14600" width="3" style="113" customWidth="1"/>
    <col min="14601" max="14601" width="23.44140625" style="113" customWidth="1"/>
    <col min="14602" max="14602" width="8.88671875" style="113"/>
    <col min="14603" max="14603" width="17.88671875" style="113" bestFit="1" customWidth="1"/>
    <col min="14604" max="14848" width="8.88671875" style="113"/>
    <col min="14849" max="14849" width="7.109375" style="113" customWidth="1"/>
    <col min="14850" max="14850" width="2.33203125" style="113" customWidth="1"/>
    <col min="14851" max="14851" width="6.33203125" style="113" customWidth="1"/>
    <col min="14852" max="14852" width="33.44140625" style="113" customWidth="1"/>
    <col min="14853" max="14853" width="18" style="113" customWidth="1"/>
    <col min="14854" max="14854" width="27.6640625" style="113" customWidth="1"/>
    <col min="14855" max="14855" width="28.88671875" style="113" bestFit="1" customWidth="1"/>
    <col min="14856" max="14856" width="3" style="113" customWidth="1"/>
    <col min="14857" max="14857" width="23.44140625" style="113" customWidth="1"/>
    <col min="14858" max="14858" width="8.88671875" style="113"/>
    <col min="14859" max="14859" width="17.88671875" style="113" bestFit="1" customWidth="1"/>
    <col min="14860" max="15104" width="8.88671875" style="113"/>
    <col min="15105" max="15105" width="7.109375" style="113" customWidth="1"/>
    <col min="15106" max="15106" width="2.33203125" style="113" customWidth="1"/>
    <col min="15107" max="15107" width="6.33203125" style="113" customWidth="1"/>
    <col min="15108" max="15108" width="33.44140625" style="113" customWidth="1"/>
    <col min="15109" max="15109" width="18" style="113" customWidth="1"/>
    <col min="15110" max="15110" width="27.6640625" style="113" customWidth="1"/>
    <col min="15111" max="15111" width="28.88671875" style="113" bestFit="1" customWidth="1"/>
    <col min="15112" max="15112" width="3" style="113" customWidth="1"/>
    <col min="15113" max="15113" width="23.44140625" style="113" customWidth="1"/>
    <col min="15114" max="15114" width="8.88671875" style="113"/>
    <col min="15115" max="15115" width="17.88671875" style="113" bestFit="1" customWidth="1"/>
    <col min="15116" max="15360" width="8.88671875" style="113"/>
    <col min="15361" max="15361" width="7.109375" style="113" customWidth="1"/>
    <col min="15362" max="15362" width="2.33203125" style="113" customWidth="1"/>
    <col min="15363" max="15363" width="6.33203125" style="113" customWidth="1"/>
    <col min="15364" max="15364" width="33.44140625" style="113" customWidth="1"/>
    <col min="15365" max="15365" width="18" style="113" customWidth="1"/>
    <col min="15366" max="15366" width="27.6640625" style="113" customWidth="1"/>
    <col min="15367" max="15367" width="28.88671875" style="113" bestFit="1" customWidth="1"/>
    <col min="15368" max="15368" width="3" style="113" customWidth="1"/>
    <col min="15369" max="15369" width="23.44140625" style="113" customWidth="1"/>
    <col min="15370" max="15370" width="8.88671875" style="113"/>
    <col min="15371" max="15371" width="17.88671875" style="113" bestFit="1" customWidth="1"/>
    <col min="15372" max="15616" width="8.88671875" style="113"/>
    <col min="15617" max="15617" width="7.109375" style="113" customWidth="1"/>
    <col min="15618" max="15618" width="2.33203125" style="113" customWidth="1"/>
    <col min="15619" max="15619" width="6.33203125" style="113" customWidth="1"/>
    <col min="15620" max="15620" width="33.44140625" style="113" customWidth="1"/>
    <col min="15621" max="15621" width="18" style="113" customWidth="1"/>
    <col min="15622" max="15622" width="27.6640625" style="113" customWidth="1"/>
    <col min="15623" max="15623" width="28.88671875" style="113" bestFit="1" customWidth="1"/>
    <col min="15624" max="15624" width="3" style="113" customWidth="1"/>
    <col min="15625" max="15625" width="23.44140625" style="113" customWidth="1"/>
    <col min="15626" max="15626" width="8.88671875" style="113"/>
    <col min="15627" max="15627" width="17.88671875" style="113" bestFit="1" customWidth="1"/>
    <col min="15628" max="15872" width="8.88671875" style="113"/>
    <col min="15873" max="15873" width="7.109375" style="113" customWidth="1"/>
    <col min="15874" max="15874" width="2.33203125" style="113" customWidth="1"/>
    <col min="15875" max="15875" width="6.33203125" style="113" customWidth="1"/>
    <col min="15876" max="15876" width="33.44140625" style="113" customWidth="1"/>
    <col min="15877" max="15877" width="18" style="113" customWidth="1"/>
    <col min="15878" max="15878" width="27.6640625" style="113" customWidth="1"/>
    <col min="15879" max="15879" width="28.88671875" style="113" bestFit="1" customWidth="1"/>
    <col min="15880" max="15880" width="3" style="113" customWidth="1"/>
    <col min="15881" max="15881" width="23.44140625" style="113" customWidth="1"/>
    <col min="15882" max="15882" width="8.88671875" style="113"/>
    <col min="15883" max="15883" width="17.88671875" style="113" bestFit="1" customWidth="1"/>
    <col min="15884" max="16128" width="8.88671875" style="113"/>
    <col min="16129" max="16129" width="7.109375" style="113" customWidth="1"/>
    <col min="16130" max="16130" width="2.33203125" style="113" customWidth="1"/>
    <col min="16131" max="16131" width="6.33203125" style="113" customWidth="1"/>
    <col min="16132" max="16132" width="33.44140625" style="113" customWidth="1"/>
    <col min="16133" max="16133" width="18" style="113" customWidth="1"/>
    <col min="16134" max="16134" width="27.6640625" style="113" customWidth="1"/>
    <col min="16135" max="16135" width="28.88671875" style="113" bestFit="1" customWidth="1"/>
    <col min="16136" max="16136" width="3" style="113" customWidth="1"/>
    <col min="16137" max="16137" width="23.44140625" style="113" customWidth="1"/>
    <col min="16138" max="16138" width="8.88671875" style="113"/>
    <col min="16139" max="16139" width="17.88671875" style="113" bestFit="1" customWidth="1"/>
    <col min="16140" max="16384" width="8.88671875" style="113"/>
  </cols>
  <sheetData>
    <row r="1" spans="1:12" ht="18">
      <c r="A1" s="1094"/>
      <c r="B1" s="1095"/>
      <c r="C1" s="1095"/>
      <c r="D1" s="1095"/>
      <c r="E1" s="1095"/>
      <c r="F1" s="1095"/>
      <c r="G1" s="1095"/>
      <c r="H1" s="1095"/>
      <c r="I1" s="1095"/>
      <c r="J1" s="1098" t="str">
        <f>'Attachment H-11A '!K1&amp;""&amp;", Attachment 2a"</f>
        <v>Attachment H -11A, Attachment 2a</v>
      </c>
      <c r="K1" s="1098"/>
      <c r="L1" s="1098"/>
    </row>
    <row r="2" spans="1:12" ht="18">
      <c r="A2" s="1096" t="s">
        <v>495</v>
      </c>
      <c r="B2" s="1096"/>
      <c r="C2" s="1096"/>
      <c r="D2" s="1096"/>
      <c r="E2" s="1096"/>
      <c r="F2" s="1096"/>
      <c r="G2" s="1096"/>
      <c r="H2" s="1096"/>
      <c r="I2" s="1096"/>
      <c r="J2" s="696"/>
      <c r="K2" s="1098" t="s">
        <v>168</v>
      </c>
      <c r="L2" s="1098"/>
    </row>
    <row r="3" spans="1:12" ht="18">
      <c r="A3" s="172"/>
      <c r="B3" s="172"/>
      <c r="C3" s="172"/>
      <c r="D3" s="172"/>
      <c r="E3" s="172"/>
      <c r="F3" s="172"/>
      <c r="G3" s="172"/>
      <c r="H3" s="172"/>
      <c r="I3" s="172"/>
      <c r="J3" s="1098" t="str">
        <f>'Attachment H-11A '!K4</f>
        <v>For the 12 months ended 12/31/2022</v>
      </c>
      <c r="K3" s="1098"/>
      <c r="L3" s="1098"/>
    </row>
    <row r="4" spans="1:12" s="115" customFormat="1" ht="15">
      <c r="A4" s="116"/>
      <c r="B4" s="116"/>
    </row>
    <row r="5" spans="1:12" s="115" customFormat="1" ht="15.75">
      <c r="A5" s="119" t="s">
        <v>278</v>
      </c>
      <c r="B5" s="120"/>
      <c r="C5" s="120"/>
      <c r="D5" s="120"/>
      <c r="E5" s="120"/>
      <c r="F5" s="120"/>
      <c r="G5" s="120"/>
      <c r="H5" s="120"/>
      <c r="I5" s="120"/>
    </row>
    <row r="6" spans="1:12" s="115" customFormat="1" ht="15.75">
      <c r="A6" s="121"/>
      <c r="G6" s="122" t="s">
        <v>944</v>
      </c>
    </row>
    <row r="7" spans="1:12" s="115" customFormat="1" ht="15">
      <c r="I7" s="123"/>
    </row>
    <row r="8" spans="1:12" s="115" customFormat="1" ht="15">
      <c r="A8" s="116">
        <v>1</v>
      </c>
      <c r="C8" s="124" t="s">
        <v>481</v>
      </c>
      <c r="D8" s="124"/>
      <c r="F8" s="124"/>
      <c r="G8" s="125" t="s">
        <v>880</v>
      </c>
      <c r="H8" s="124"/>
      <c r="I8" s="118">
        <f>'Attachment H-11A '!I85</f>
        <v>318928906.06168443</v>
      </c>
    </row>
    <row r="9" spans="1:12" s="115" customFormat="1" ht="15">
      <c r="G9" s="124"/>
      <c r="I9" s="123"/>
    </row>
    <row r="10" spans="1:12" s="115" customFormat="1" ht="15">
      <c r="A10" s="116"/>
      <c r="B10" s="124"/>
      <c r="C10" s="124"/>
      <c r="D10" s="124"/>
      <c r="F10" s="117"/>
      <c r="G10" s="124"/>
      <c r="H10" s="117"/>
      <c r="I10" s="117"/>
    </row>
    <row r="11" spans="1:12" s="115" customFormat="1" ht="15.75">
      <c r="A11" s="116">
        <f>A8+1</f>
        <v>2</v>
      </c>
      <c r="B11" s="124"/>
      <c r="C11" s="124" t="s">
        <v>482</v>
      </c>
      <c r="D11" s="126"/>
      <c r="F11" s="115" t="s">
        <v>483</v>
      </c>
      <c r="G11" s="125" t="s">
        <v>881</v>
      </c>
      <c r="H11" s="117"/>
      <c r="I11" s="117">
        <f>'Attachment H-11A '!I240</f>
        <v>0</v>
      </c>
    </row>
    <row r="12" spans="1:12" s="115" customFormat="1" ht="15">
      <c r="A12" s="116"/>
      <c r="B12" s="124"/>
      <c r="C12" s="124"/>
      <c r="D12" s="124"/>
      <c r="G12" s="125"/>
      <c r="H12" s="117"/>
      <c r="I12" s="117"/>
    </row>
    <row r="13" spans="1:12" s="115" customFormat="1" ht="15.75">
      <c r="A13" s="116"/>
      <c r="B13" s="124"/>
      <c r="C13" s="124" t="s">
        <v>88</v>
      </c>
      <c r="D13" s="127"/>
      <c r="G13" s="125"/>
      <c r="H13" s="117"/>
      <c r="I13" s="117"/>
    </row>
    <row r="14" spans="1:12" s="115" customFormat="1" ht="15">
      <c r="A14" s="116">
        <f>A11+1</f>
        <v>3</v>
      </c>
      <c r="B14" s="124"/>
      <c r="C14" s="124"/>
      <c r="D14" s="124" t="s">
        <v>484</v>
      </c>
      <c r="E14" s="117"/>
      <c r="F14" s="117"/>
      <c r="G14" s="125" t="s">
        <v>505</v>
      </c>
      <c r="H14" s="117"/>
      <c r="I14" s="117">
        <f>'Attachment 8 - Cap Structure'!E23</f>
        <v>1099920402.6576924</v>
      </c>
    </row>
    <row r="15" spans="1:12" s="115" customFormat="1" ht="15">
      <c r="A15" s="116">
        <f>A14+1</f>
        <v>4</v>
      </c>
      <c r="B15" s="124"/>
      <c r="C15" s="124"/>
      <c r="D15" s="124" t="s">
        <v>283</v>
      </c>
      <c r="E15" s="117"/>
      <c r="F15" s="117"/>
      <c r="G15" s="125" t="s">
        <v>926</v>
      </c>
      <c r="H15" s="117"/>
      <c r="I15" s="117">
        <f>'Attachment 8 - Cap Structure'!G23</f>
        <v>0</v>
      </c>
    </row>
    <row r="16" spans="1:12" s="115" customFormat="1" ht="15">
      <c r="A16" s="116">
        <f>A15+1</f>
        <v>5</v>
      </c>
      <c r="B16" s="124"/>
      <c r="C16" s="124"/>
      <c r="D16" s="124" t="s">
        <v>284</v>
      </c>
      <c r="E16" s="117"/>
      <c r="F16" s="117"/>
      <c r="G16" s="125" t="s">
        <v>506</v>
      </c>
      <c r="H16" s="117"/>
      <c r="I16" s="117">
        <f>'Attachment 8 - Cap Structure'!J23</f>
        <v>2491075.7684615348</v>
      </c>
    </row>
    <row r="17" spans="1:11" s="115" customFormat="1" ht="15">
      <c r="A17" s="116">
        <f>+A16+1</f>
        <v>6</v>
      </c>
      <c r="B17" s="124"/>
      <c r="C17" s="124"/>
      <c r="D17" s="124" t="s">
        <v>927</v>
      </c>
      <c r="E17" s="128"/>
      <c r="F17" s="128"/>
      <c r="G17" s="129" t="s">
        <v>928</v>
      </c>
      <c r="H17" s="128"/>
      <c r="I17" s="128">
        <f>'Attachment 8 - Cap Structure'!H23+'Attachment 8 - Cap Structure'!K23+'Attachment 8 - Cap Structure'!F23+'Attachment 8 - Cap Structure'!I23</f>
        <v>1182287.3846153845</v>
      </c>
    </row>
    <row r="18" spans="1:11" s="115" customFormat="1" ht="15">
      <c r="A18" s="116">
        <f>A17+1</f>
        <v>7</v>
      </c>
      <c r="B18" s="124"/>
      <c r="C18" s="124"/>
      <c r="D18" s="124" t="s">
        <v>88</v>
      </c>
      <c r="E18" s="117"/>
      <c r="F18" s="117"/>
      <c r="G18" s="125" t="s">
        <v>929</v>
      </c>
      <c r="H18" s="117"/>
      <c r="I18" s="117">
        <f>'Attachment 8 - Cap Structure'!L23</f>
        <v>1096247039.5046155</v>
      </c>
    </row>
    <row r="19" spans="1:11" s="115" customFormat="1" ht="15">
      <c r="A19" s="116"/>
      <c r="B19" s="124"/>
      <c r="C19" s="124"/>
      <c r="D19" s="124"/>
      <c r="E19" s="117"/>
      <c r="F19" s="117"/>
      <c r="G19" s="125"/>
      <c r="H19" s="117"/>
      <c r="I19" s="117"/>
    </row>
    <row r="20" spans="1:11" s="115" customFormat="1" ht="15">
      <c r="A20" s="116"/>
      <c r="B20" s="124"/>
      <c r="C20" s="124"/>
      <c r="D20" s="124"/>
      <c r="E20" s="117"/>
      <c r="F20" s="117"/>
      <c r="G20" s="125"/>
      <c r="H20" s="117"/>
      <c r="I20" s="117"/>
    </row>
    <row r="21" spans="1:11" s="115" customFormat="1" ht="15.75">
      <c r="A21" s="116"/>
      <c r="B21" s="124"/>
      <c r="C21" s="124" t="s">
        <v>485</v>
      </c>
      <c r="D21" s="127"/>
      <c r="G21" s="125"/>
      <c r="I21" s="117"/>
    </row>
    <row r="22" spans="1:11" s="115" customFormat="1" ht="15">
      <c r="A22" s="116">
        <f>+A18+1</f>
        <v>8</v>
      </c>
      <c r="B22" s="124"/>
      <c r="C22" s="124"/>
      <c r="D22" s="124" t="s">
        <v>229</v>
      </c>
      <c r="G22" s="125" t="s">
        <v>882</v>
      </c>
      <c r="I22" s="117">
        <f>'Attachment H-11A '!D245</f>
        <v>925000000</v>
      </c>
    </row>
    <row r="23" spans="1:11" s="115" customFormat="1" ht="15">
      <c r="A23" s="116">
        <f>A22+1</f>
        <v>9</v>
      </c>
      <c r="B23" s="124"/>
      <c r="C23" s="124"/>
      <c r="D23" s="124" t="s">
        <v>227</v>
      </c>
      <c r="G23" s="125" t="s">
        <v>883</v>
      </c>
      <c r="I23" s="117">
        <f>'Attachment H-11A '!D246</f>
        <v>0</v>
      </c>
    </row>
    <row r="24" spans="1:11" s="115" customFormat="1" ht="15">
      <c r="A24" s="116">
        <f t="shared" ref="A24:A25" si="0">A23+1</f>
        <v>10</v>
      </c>
      <c r="B24" s="124"/>
      <c r="C24" s="124"/>
      <c r="D24" s="124" t="s">
        <v>88</v>
      </c>
      <c r="G24" s="129" t="s">
        <v>884</v>
      </c>
      <c r="I24" s="117">
        <f>'Attachment H-11A '!D247</f>
        <v>1096247039.5046155</v>
      </c>
    </row>
    <row r="25" spans="1:11" s="115" customFormat="1" ht="15.75">
      <c r="A25" s="116">
        <f t="shared" si="0"/>
        <v>11</v>
      </c>
      <c r="B25" s="124"/>
      <c r="C25" s="124"/>
      <c r="D25" s="124" t="s">
        <v>945</v>
      </c>
      <c r="E25" s="130"/>
      <c r="F25" s="131"/>
      <c r="G25" s="125" t="s">
        <v>885</v>
      </c>
      <c r="H25" s="132"/>
      <c r="I25" s="132">
        <f>'Attachment H-11A '!D248</f>
        <v>2021247039.5046155</v>
      </c>
    </row>
    <row r="26" spans="1:11" s="115" customFormat="1" ht="15">
      <c r="A26" s="116"/>
      <c r="B26" s="124"/>
      <c r="C26" s="124"/>
      <c r="D26" s="124"/>
      <c r="G26" s="124"/>
      <c r="H26" s="117"/>
      <c r="I26" s="133"/>
    </row>
    <row r="27" spans="1:11" s="115" customFormat="1" ht="15">
      <c r="A27" s="116">
        <f>A25+1</f>
        <v>12</v>
      </c>
      <c r="B27" s="124"/>
      <c r="C27" s="124"/>
      <c r="D27" s="124" t="s">
        <v>486</v>
      </c>
      <c r="F27" s="124" t="s">
        <v>948</v>
      </c>
      <c r="G27" s="125" t="s">
        <v>886</v>
      </c>
      <c r="H27" s="117"/>
      <c r="I27" s="134">
        <f>'Attachment H-11A '!E245</f>
        <v>0.45763827079084152</v>
      </c>
    </row>
    <row r="28" spans="1:11" s="115" customFormat="1" ht="15">
      <c r="A28" s="116">
        <f>A27+1</f>
        <v>13</v>
      </c>
      <c r="B28" s="124"/>
      <c r="C28" s="124"/>
      <c r="D28" s="124" t="s">
        <v>487</v>
      </c>
      <c r="F28" s="124" t="s">
        <v>227</v>
      </c>
      <c r="G28" s="125" t="s">
        <v>887</v>
      </c>
      <c r="H28" s="117"/>
      <c r="I28" s="134">
        <f>'Attachment H-11A '!E246</f>
        <v>0</v>
      </c>
    </row>
    <row r="29" spans="1:11" s="115" customFormat="1" ht="15">
      <c r="A29" s="116">
        <f>A28+1</f>
        <v>14</v>
      </c>
      <c r="B29" s="124"/>
      <c r="C29" s="124"/>
      <c r="D29" s="124" t="s">
        <v>488</v>
      </c>
      <c r="F29" s="124" t="s">
        <v>88</v>
      </c>
      <c r="G29" s="125" t="s">
        <v>888</v>
      </c>
      <c r="H29" s="117"/>
      <c r="I29" s="134">
        <f>'Attachment H-11A '!E247</f>
        <v>0.54236172920915848</v>
      </c>
    </row>
    <row r="30" spans="1:11" s="115" customFormat="1" ht="15">
      <c r="A30" s="116"/>
      <c r="B30" s="124"/>
      <c r="C30" s="124"/>
      <c r="D30" s="124"/>
      <c r="F30" s="125"/>
      <c r="G30" s="124"/>
      <c r="H30" s="117"/>
      <c r="I30" s="133"/>
    </row>
    <row r="31" spans="1:11" s="115" customFormat="1" ht="15">
      <c r="A31" s="116">
        <f>A29+1</f>
        <v>15</v>
      </c>
      <c r="B31" s="124"/>
      <c r="C31" s="124"/>
      <c r="D31" s="124" t="s">
        <v>361</v>
      </c>
      <c r="F31" s="125" t="s">
        <v>948</v>
      </c>
      <c r="G31" s="125" t="s">
        <v>889</v>
      </c>
      <c r="H31" s="117"/>
      <c r="I31" s="135">
        <f>'Attachment H-11A '!G245</f>
        <v>4.1099999999999998E-2</v>
      </c>
      <c r="K31" s="135"/>
    </row>
    <row r="32" spans="1:11" s="115" customFormat="1" ht="15">
      <c r="A32" s="116">
        <f>A31+1</f>
        <v>16</v>
      </c>
      <c r="B32" s="124"/>
      <c r="C32" s="124"/>
      <c r="D32" s="124" t="s">
        <v>489</v>
      </c>
      <c r="F32" s="125" t="s">
        <v>227</v>
      </c>
      <c r="G32" s="125" t="s">
        <v>890</v>
      </c>
      <c r="H32" s="117"/>
      <c r="I32" s="135">
        <f>'Attachment H-11A '!G246</f>
        <v>0</v>
      </c>
    </row>
    <row r="33" spans="1:11" s="115" customFormat="1" ht="15">
      <c r="A33" s="116">
        <f>A32+1</f>
        <v>17</v>
      </c>
      <c r="B33" s="124"/>
      <c r="C33" s="124"/>
      <c r="D33" s="124" t="s">
        <v>490</v>
      </c>
      <c r="F33" s="125" t="s">
        <v>88</v>
      </c>
      <c r="G33" s="125" t="s">
        <v>893</v>
      </c>
      <c r="H33" s="117"/>
      <c r="I33" s="878">
        <f>'Attachment H-11A '!G247+0.01</f>
        <v>0.11449999999999999</v>
      </c>
      <c r="K33" s="135"/>
    </row>
    <row r="34" spans="1:11" s="115" customFormat="1" ht="15">
      <c r="A34" s="116"/>
      <c r="B34" s="124"/>
      <c r="C34" s="124"/>
      <c r="D34" s="124"/>
      <c r="F34" s="125"/>
      <c r="G34" s="124"/>
      <c r="H34" s="117"/>
    </row>
    <row r="35" spans="1:11" s="115" customFormat="1" ht="15">
      <c r="A35" s="116">
        <f>A33+1</f>
        <v>18</v>
      </c>
      <c r="B35" s="124"/>
      <c r="C35" s="124"/>
      <c r="D35" s="124" t="s">
        <v>491</v>
      </c>
      <c r="F35" s="124" t="s">
        <v>949</v>
      </c>
      <c r="G35" s="124" t="s">
        <v>301</v>
      </c>
      <c r="H35" s="136"/>
      <c r="I35" s="135">
        <f>I31*I27</f>
        <v>1.8808932929503586E-2</v>
      </c>
    </row>
    <row r="36" spans="1:11" s="115" customFormat="1" ht="15">
      <c r="A36" s="116">
        <f>A35+1</f>
        <v>19</v>
      </c>
      <c r="B36" s="124"/>
      <c r="C36" s="124"/>
      <c r="D36" s="124" t="s">
        <v>492</v>
      </c>
      <c r="F36" s="124" t="s">
        <v>227</v>
      </c>
      <c r="G36" s="124" t="s">
        <v>302</v>
      </c>
      <c r="H36" s="137"/>
      <c r="I36" s="135">
        <f>I32*I28</f>
        <v>0</v>
      </c>
    </row>
    <row r="37" spans="1:11" s="115" customFormat="1" ht="15">
      <c r="A37" s="116">
        <f>A36+1</f>
        <v>20</v>
      </c>
      <c r="B37" s="124"/>
      <c r="C37" s="124"/>
      <c r="D37" s="138" t="s">
        <v>493</v>
      </c>
      <c r="E37" s="139"/>
      <c r="F37" s="138" t="s">
        <v>88</v>
      </c>
      <c r="G37" s="138" t="s">
        <v>303</v>
      </c>
      <c r="H37" s="140"/>
      <c r="I37" s="141">
        <f>I33*I29</f>
        <v>6.210041799444864E-2</v>
      </c>
    </row>
    <row r="38" spans="1:11" s="115" customFormat="1" ht="15.75">
      <c r="A38" s="116">
        <f>A37+1</f>
        <v>21</v>
      </c>
      <c r="B38" s="124"/>
      <c r="C38" s="124" t="s">
        <v>947</v>
      </c>
      <c r="D38" s="124"/>
      <c r="E38" s="142"/>
      <c r="F38" s="142"/>
      <c r="G38" s="124" t="str">
        <f>"(Sum Lines "&amp;A35&amp;" to "&amp;A37&amp;")"</f>
        <v>(Sum Lines 18 to 20)</v>
      </c>
      <c r="H38" s="143"/>
      <c r="I38" s="144">
        <f>SUM(I35:I37)</f>
        <v>8.0909350923952225E-2</v>
      </c>
    </row>
    <row r="39" spans="1:11" s="115" customFormat="1" ht="15.75">
      <c r="A39" s="122"/>
      <c r="B39" s="124"/>
      <c r="C39" s="124"/>
      <c r="D39" s="124"/>
      <c r="E39" s="142"/>
      <c r="F39" s="142"/>
      <c r="G39" s="127"/>
      <c r="H39" s="143"/>
      <c r="I39" s="144"/>
    </row>
    <row r="40" spans="1:11" s="115" customFormat="1" ht="16.5" thickBot="1">
      <c r="A40" s="116">
        <f>A38+1</f>
        <v>22</v>
      </c>
      <c r="B40" s="124"/>
      <c r="C40" s="124" t="s">
        <v>494</v>
      </c>
      <c r="D40" s="124"/>
      <c r="E40" s="145"/>
      <c r="F40" s="146"/>
      <c r="G40" s="147" t="str">
        <f>"(Line "&amp;A8&amp;" * Line "&amp;A38&amp;")"</f>
        <v>(Line 1 * Line 21)</v>
      </c>
      <c r="H40" s="148"/>
      <c r="I40" s="149">
        <f>+I38*I8</f>
        <v>25804330.780337021</v>
      </c>
    </row>
    <row r="41" spans="1:11" s="115" customFormat="1" ht="15.75" thickTop="1">
      <c r="A41" s="116"/>
      <c r="B41" s="116"/>
      <c r="C41" s="116"/>
      <c r="F41" s="116"/>
      <c r="G41" s="117"/>
      <c r="H41" s="117"/>
      <c r="I41" s="135"/>
    </row>
    <row r="42" spans="1:11" s="115" customFormat="1" ht="15.75">
      <c r="A42" s="150" t="s">
        <v>285</v>
      </c>
      <c r="B42" s="150"/>
      <c r="C42" s="151"/>
      <c r="D42" s="152"/>
      <c r="E42" s="120"/>
      <c r="F42" s="153"/>
      <c r="G42" s="120"/>
      <c r="H42" s="120"/>
      <c r="I42" s="154"/>
    </row>
    <row r="43" spans="1:11" s="115" customFormat="1" ht="15.75">
      <c r="A43" s="124"/>
      <c r="B43" s="124"/>
      <c r="C43" s="116"/>
      <c r="D43" s="142"/>
      <c r="F43" s="133"/>
      <c r="I43" s="155"/>
      <c r="K43" s="117"/>
    </row>
    <row r="44" spans="1:11" s="115" customFormat="1" ht="15.75">
      <c r="A44" s="116" t="s">
        <v>3</v>
      </c>
      <c r="B44" s="116"/>
      <c r="C44" s="156" t="s">
        <v>279</v>
      </c>
      <c r="F44" s="133"/>
      <c r="G44" s="117"/>
      <c r="H44" s="157"/>
    </row>
    <row r="45" spans="1:11" s="115" customFormat="1" ht="15">
      <c r="A45" s="116">
        <f>+A40+1</f>
        <v>23</v>
      </c>
      <c r="B45" s="116"/>
      <c r="C45" s="116"/>
      <c r="D45" s="201" t="s">
        <v>62</v>
      </c>
      <c r="F45" s="116"/>
      <c r="G45" s="125" t="s">
        <v>1125</v>
      </c>
      <c r="H45" s="158"/>
      <c r="I45" s="159">
        <f>'Attachment H-11A '!D144</f>
        <v>0.28892099999999998</v>
      </c>
    </row>
    <row r="46" spans="1:11" s="115" customFormat="1" ht="15">
      <c r="A46" s="116">
        <f>+A45+1</f>
        <v>24</v>
      </c>
      <c r="B46" s="116"/>
      <c r="C46" s="116"/>
      <c r="D46" s="78" t="s">
        <v>815</v>
      </c>
      <c r="E46" s="160"/>
      <c r="F46" s="116"/>
      <c r="G46" s="125" t="s">
        <v>291</v>
      </c>
      <c r="H46" s="158"/>
      <c r="I46" s="175">
        <f>(I45/(1-I45)*(1-I35/I38))</f>
        <v>0.31185812439933347</v>
      </c>
    </row>
    <row r="47" spans="1:11" s="115" customFormat="1" ht="15">
      <c r="A47" s="116"/>
      <c r="B47" s="116"/>
      <c r="C47" s="116"/>
      <c r="D47" s="202"/>
      <c r="E47" s="158"/>
      <c r="F47" s="116"/>
      <c r="G47" s="125"/>
      <c r="H47" s="158"/>
      <c r="I47" s="161"/>
    </row>
    <row r="48" spans="1:11" s="115" customFormat="1" ht="15">
      <c r="A48" s="116"/>
      <c r="B48" s="116"/>
      <c r="C48" s="116"/>
      <c r="D48" s="202"/>
      <c r="E48" s="162"/>
      <c r="F48" s="116"/>
      <c r="G48" s="125"/>
      <c r="H48" s="158"/>
      <c r="I48" s="159"/>
    </row>
    <row r="49" spans="1:11" s="115" customFormat="1" ht="15.75">
      <c r="A49" s="116">
        <v>25</v>
      </c>
      <c r="B49" s="116"/>
      <c r="C49" s="116"/>
      <c r="D49" s="201" t="s">
        <v>816</v>
      </c>
      <c r="E49" s="160"/>
      <c r="F49" s="116"/>
      <c r="G49" s="1022" t="s">
        <v>1126</v>
      </c>
      <c r="H49" s="158"/>
      <c r="I49" s="92">
        <f>'Attachment H-11A '!D148</f>
        <v>1.4063135038441579</v>
      </c>
      <c r="K49" s="163"/>
    </row>
    <row r="50" spans="1:11" s="115" customFormat="1" ht="15">
      <c r="A50" s="116">
        <v>26</v>
      </c>
      <c r="B50" s="116"/>
      <c r="C50" s="116"/>
      <c r="D50" s="202" t="s">
        <v>248</v>
      </c>
      <c r="F50" s="164"/>
      <c r="G50" s="125" t="s">
        <v>1127</v>
      </c>
      <c r="H50" s="157"/>
      <c r="I50" s="173">
        <f>'Attachment H-11A '!D149</f>
        <v>-948000</v>
      </c>
    </row>
    <row r="51" spans="1:11" s="115" customFormat="1" ht="15">
      <c r="A51" s="116">
        <v>27</v>
      </c>
      <c r="B51" s="116"/>
      <c r="C51" s="116"/>
      <c r="D51" s="202" t="s">
        <v>282</v>
      </c>
      <c r="F51" s="164"/>
      <c r="G51" s="125" t="s">
        <v>1128</v>
      </c>
      <c r="H51" s="157"/>
      <c r="I51" s="173">
        <f>'Attachment H-11A '!D150</f>
        <v>25598.689521</v>
      </c>
    </row>
    <row r="52" spans="1:11" s="115" customFormat="1" ht="15">
      <c r="A52" s="116">
        <v>28</v>
      </c>
      <c r="B52" s="116"/>
      <c r="C52" s="116"/>
      <c r="D52" s="202" t="s">
        <v>289</v>
      </c>
      <c r="F52" s="164"/>
      <c r="G52" s="125" t="s">
        <v>1129</v>
      </c>
      <c r="H52" s="157"/>
      <c r="I52" s="173">
        <f>'Attachment H-11A '!D151</f>
        <v>-731525.316613295</v>
      </c>
    </row>
    <row r="53" spans="1:11" s="115" customFormat="1" ht="15">
      <c r="A53" s="116">
        <v>29</v>
      </c>
      <c r="B53" s="116"/>
      <c r="C53" s="116"/>
      <c r="D53" s="201" t="s">
        <v>286</v>
      </c>
      <c r="F53" s="164"/>
      <c r="G53" s="162" t="s">
        <v>305</v>
      </c>
      <c r="H53" s="157"/>
      <c r="I53" s="173">
        <f>I46*I40</f>
        <v>8047290.1985358922</v>
      </c>
    </row>
    <row r="54" spans="1:11" s="115" customFormat="1" ht="15">
      <c r="A54" s="116">
        <v>30</v>
      </c>
      <c r="B54" s="116"/>
      <c r="C54" s="116"/>
      <c r="D54" s="78" t="s">
        <v>287</v>
      </c>
      <c r="F54" s="164"/>
      <c r="G54" s="125" t="s">
        <v>1135</v>
      </c>
      <c r="H54" s="157"/>
      <c r="I54" s="173">
        <f>'Attachment H-11A '!I153</f>
        <v>-217110.01640094846</v>
      </c>
    </row>
    <row r="55" spans="1:11" s="115" customFormat="1" ht="15">
      <c r="A55" s="116">
        <v>31</v>
      </c>
      <c r="B55" s="116"/>
      <c r="C55" s="116"/>
      <c r="D55" s="78" t="s">
        <v>288</v>
      </c>
      <c r="F55" s="164"/>
      <c r="G55" s="125" t="s">
        <v>1131</v>
      </c>
      <c r="H55" s="157"/>
      <c r="I55" s="173">
        <f>'Attachment H-11A '!I154</f>
        <v>35999.782754096239</v>
      </c>
    </row>
    <row r="56" spans="1:11" s="115" customFormat="1" ht="15.75" thickBot="1">
      <c r="A56" s="116">
        <v>32</v>
      </c>
      <c r="B56" s="116"/>
      <c r="C56" s="116"/>
      <c r="D56" s="78" t="s">
        <v>290</v>
      </c>
      <c r="F56" s="164"/>
      <c r="G56" s="125" t="s">
        <v>1132</v>
      </c>
      <c r="H56" s="157"/>
      <c r="I56" s="174">
        <f>'Attachment H-11A '!D155</f>
        <v>-1028753.9311571498</v>
      </c>
    </row>
    <row r="57" spans="1:11" s="115" customFormat="1" ht="15">
      <c r="A57" s="116">
        <v>33</v>
      </c>
      <c r="B57" s="116"/>
      <c r="C57" s="116"/>
      <c r="D57" s="201" t="s">
        <v>64</v>
      </c>
      <c r="F57" s="164"/>
      <c r="G57" s="162" t="s">
        <v>304</v>
      </c>
      <c r="H57" s="157"/>
      <c r="I57" s="200">
        <f>SUM(I53:I56)</f>
        <v>6837426.0337318908</v>
      </c>
    </row>
    <row r="58" spans="1:11" s="115" customFormat="1" ht="15">
      <c r="A58" s="116"/>
      <c r="B58" s="116"/>
      <c r="C58" s="116"/>
      <c r="F58" s="164"/>
      <c r="G58" s="162"/>
      <c r="H58" s="157"/>
      <c r="I58" s="165"/>
    </row>
    <row r="59" spans="1:11" s="115" customFormat="1" ht="15.75">
      <c r="A59" s="150" t="s">
        <v>788</v>
      </c>
      <c r="B59" s="150"/>
      <c r="C59" s="151"/>
      <c r="D59" s="152"/>
      <c r="E59" s="120"/>
      <c r="F59" s="153"/>
      <c r="G59" s="120"/>
      <c r="H59" s="120"/>
      <c r="I59" s="154"/>
    </row>
    <row r="60" spans="1:11" s="115" customFormat="1" ht="15.75">
      <c r="A60" s="195"/>
      <c r="B60" s="195"/>
      <c r="C60" s="196"/>
      <c r="D60" s="197"/>
      <c r="F60" s="198"/>
      <c r="I60" s="199"/>
    </row>
    <row r="61" spans="1:11" s="115" customFormat="1" ht="15">
      <c r="A61" s="116">
        <v>34</v>
      </c>
      <c r="B61" s="116"/>
      <c r="C61" s="116"/>
      <c r="D61" s="115" t="s">
        <v>855</v>
      </c>
      <c r="F61" s="164"/>
      <c r="G61" s="162" t="s">
        <v>306</v>
      </c>
      <c r="H61" s="157"/>
      <c r="I61" s="173">
        <f>I40+I57</f>
        <v>32641756.814068913</v>
      </c>
    </row>
    <row r="62" spans="1:11" s="115" customFormat="1" ht="15">
      <c r="A62" s="116"/>
      <c r="B62" s="116"/>
      <c r="C62" s="116"/>
      <c r="F62" s="164"/>
      <c r="G62" s="162"/>
      <c r="H62" s="157"/>
      <c r="I62" s="173"/>
    </row>
    <row r="63" spans="1:11" s="115" customFormat="1" ht="15">
      <c r="A63" s="116">
        <v>35</v>
      </c>
      <c r="B63" s="116"/>
      <c r="C63" s="116"/>
      <c r="D63" s="115" t="s">
        <v>693</v>
      </c>
      <c r="F63" s="164"/>
      <c r="G63" s="162" t="s">
        <v>695</v>
      </c>
      <c r="H63" s="157"/>
      <c r="I63" s="173">
        <f>I40</f>
        <v>25804330.780337021</v>
      </c>
    </row>
    <row r="64" spans="1:11" s="115" customFormat="1" ht="15">
      <c r="A64" s="116">
        <v>36</v>
      </c>
      <c r="B64" s="116"/>
      <c r="C64" s="116"/>
      <c r="D64" s="115" t="s">
        <v>694</v>
      </c>
      <c r="F64" s="164"/>
      <c r="G64" s="162" t="s">
        <v>696</v>
      </c>
      <c r="H64" s="157"/>
      <c r="I64" s="173">
        <f>I57</f>
        <v>6837426.0337318908</v>
      </c>
    </row>
    <row r="65" spans="1:11" s="115" customFormat="1" ht="15">
      <c r="A65" s="116">
        <v>37</v>
      </c>
      <c r="B65" s="116"/>
      <c r="C65" s="116"/>
      <c r="D65" s="115" t="s">
        <v>514</v>
      </c>
      <c r="F65" s="164"/>
      <c r="G65" s="162" t="s">
        <v>849</v>
      </c>
      <c r="H65" s="157"/>
      <c r="I65" s="173">
        <f>I61-'Attachment 2 - ROE Calcs'!I61</f>
        <v>2432568.4345396273</v>
      </c>
      <c r="J65" s="233"/>
    </row>
    <row r="66" spans="1:11" s="115" customFormat="1" ht="15">
      <c r="A66" s="116">
        <v>38</v>
      </c>
      <c r="B66" s="116"/>
      <c r="C66" s="116"/>
      <c r="D66" s="115" t="s">
        <v>308</v>
      </c>
      <c r="F66" s="164"/>
      <c r="G66" s="162" t="s">
        <v>307</v>
      </c>
      <c r="H66" s="157"/>
      <c r="I66" s="173">
        <f>I8</f>
        <v>318928906.06168443</v>
      </c>
    </row>
    <row r="67" spans="1:11" s="115" customFormat="1" ht="15">
      <c r="A67" s="116">
        <v>39</v>
      </c>
      <c r="B67" s="116"/>
      <c r="C67" s="116"/>
      <c r="D67" s="115" t="s">
        <v>515</v>
      </c>
      <c r="F67" s="164"/>
      <c r="G67" s="162" t="s">
        <v>759</v>
      </c>
      <c r="H67" s="157"/>
      <c r="I67" s="194">
        <f>I65/I66</f>
        <v>7.6273062375510773E-3</v>
      </c>
      <c r="J67" s="233"/>
    </row>
    <row r="68" spans="1:11" s="115" customFormat="1" ht="15">
      <c r="A68" s="116"/>
      <c r="B68" s="116"/>
      <c r="C68" s="116"/>
      <c r="F68" s="164"/>
      <c r="G68" s="162"/>
      <c r="H68" s="157"/>
      <c r="I68" s="173"/>
    </row>
    <row r="69" spans="1:11" s="115" customFormat="1" ht="15.75">
      <c r="A69" s="116" t="s">
        <v>206</v>
      </c>
      <c r="B69" s="116"/>
      <c r="C69" s="116"/>
      <c r="F69" s="164"/>
      <c r="G69" s="162"/>
      <c r="H69" s="157"/>
      <c r="I69" s="166"/>
    </row>
    <row r="70" spans="1:11" s="115" customFormat="1" ht="31.5" customHeight="1">
      <c r="A70" s="116" t="s">
        <v>205</v>
      </c>
      <c r="B70" s="1100" t="s">
        <v>946</v>
      </c>
      <c r="C70" s="1100"/>
      <c r="D70" s="1100"/>
      <c r="E70" s="1100"/>
      <c r="F70" s="1100"/>
      <c r="G70" s="1100"/>
      <c r="H70" s="1100"/>
      <c r="I70" s="1100"/>
      <c r="J70" s="1100"/>
      <c r="K70" s="1100"/>
    </row>
    <row r="71" spans="1:11" s="115" customFormat="1" ht="16.5" thickBot="1">
      <c r="A71" s="116"/>
      <c r="B71" s="116"/>
      <c r="C71" s="176"/>
      <c r="D71" s="176"/>
      <c r="E71" s="177"/>
      <c r="F71" s="178"/>
      <c r="G71" s="179"/>
      <c r="H71" s="180"/>
      <c r="I71" s="181"/>
      <c r="K71" s="117" t="s">
        <v>3</v>
      </c>
    </row>
    <row r="72" spans="1:11" s="115" customFormat="1" ht="15.75" thickTop="1">
      <c r="A72" s="116"/>
      <c r="B72" s="116"/>
      <c r="C72" s="116"/>
      <c r="D72" s="162"/>
      <c r="F72" s="116"/>
      <c r="G72" s="169"/>
      <c r="H72" s="170"/>
      <c r="I72" s="171"/>
    </row>
  </sheetData>
  <mergeCells count="6">
    <mergeCell ref="A1:I1"/>
    <mergeCell ref="A2:I2"/>
    <mergeCell ref="B70:K70"/>
    <mergeCell ref="J3:L3"/>
    <mergeCell ref="K2:L2"/>
    <mergeCell ref="J1:L1"/>
  </mergeCells>
  <pageMargins left="0.7" right="0.7" top="0.75" bottom="0.75" header="0.3" footer="0.3"/>
  <pageSetup scale="36" orientation="portrait" r:id="rId1"/>
  <ignoredErrors>
    <ignoredError sqref="I4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64C-64DF-40C2-9850-3106ABEAF529}">
  <sheetPr codeName="Sheet12"/>
  <dimension ref="A1:AV42"/>
  <sheetViews>
    <sheetView view="pageBreakPreview" zoomScale="60" zoomScaleNormal="60" workbookViewId="0">
      <selection activeCell="A3" sqref="A3"/>
    </sheetView>
  </sheetViews>
  <sheetFormatPr defaultRowHeight="15"/>
  <cols>
    <col min="1" max="1" width="7.5546875" customWidth="1"/>
    <col min="2" max="2" width="3.6640625" bestFit="1" customWidth="1"/>
    <col min="3" max="3" width="31.6640625" customWidth="1"/>
    <col min="4" max="4" width="14.44140625" customWidth="1"/>
    <col min="5" max="5" width="15.109375" customWidth="1"/>
    <col min="6" max="11" width="13.109375" bestFit="1" customWidth="1"/>
    <col min="12" max="18" width="16" bestFit="1" customWidth="1"/>
    <col min="19" max="19" width="3.88671875" customWidth="1"/>
    <col min="20" max="20" width="15.33203125" bestFit="1" customWidth="1"/>
    <col min="21" max="21" width="15.44140625" customWidth="1"/>
    <col min="22" max="28" width="12.5546875" customWidth="1"/>
    <col min="29" max="29" width="15.44140625" customWidth="1"/>
    <col min="30" max="30" width="14.88671875" customWidth="1"/>
    <col min="31" max="31" width="12.88671875" bestFit="1" customWidth="1"/>
    <col min="32" max="32" width="13.6640625" bestFit="1" customWidth="1"/>
    <col min="33" max="33" width="13.109375" bestFit="1" customWidth="1"/>
    <col min="34" max="34" width="3.88671875" customWidth="1"/>
    <col min="35" max="35" width="13.88671875" customWidth="1"/>
    <col min="36" max="36" width="11" bestFit="1" customWidth="1"/>
    <col min="37" max="37" width="15.6640625" bestFit="1" customWidth="1"/>
    <col min="38" max="38" width="17.33203125" bestFit="1" customWidth="1"/>
    <col min="39" max="39" width="15.33203125" bestFit="1" customWidth="1"/>
  </cols>
  <sheetData>
    <row r="1" spans="1:48" ht="15.75">
      <c r="A1" s="1101" t="s">
        <v>742</v>
      </c>
      <c r="B1" s="1101"/>
      <c r="C1" s="1101"/>
      <c r="D1" s="1101"/>
      <c r="E1" s="1101"/>
      <c r="F1" s="1101"/>
      <c r="G1" s="1101"/>
      <c r="H1" s="1101"/>
      <c r="I1" s="1101"/>
      <c r="J1" s="1101"/>
      <c r="K1" s="1101"/>
      <c r="L1" s="1101"/>
      <c r="M1" s="1101"/>
      <c r="N1" s="1101"/>
      <c r="O1" s="18"/>
      <c r="R1" s="3"/>
      <c r="S1" s="3" t="str">
        <f>'Attachment H-11A '!K1&amp;""&amp;", Attachment 2b"</f>
        <v>Attachment H -11A, Attachment 2b</v>
      </c>
      <c r="T1" s="1101" t="str">
        <f>A1</f>
        <v>Incentive ROE NITS Worksheet Support</v>
      </c>
      <c r="U1" s="1101"/>
      <c r="V1" s="1101"/>
      <c r="W1" s="1101"/>
      <c r="X1" s="1101"/>
      <c r="Y1" s="1101"/>
      <c r="Z1" s="1101"/>
      <c r="AA1" s="1101"/>
      <c r="AB1" s="1101"/>
      <c r="AC1" s="1101"/>
      <c r="AD1" s="1101"/>
      <c r="AE1" s="1101"/>
      <c r="AF1" s="18"/>
      <c r="AK1" s="18"/>
      <c r="AL1" s="18"/>
      <c r="AM1" s="3" t="str">
        <f>S1</f>
        <v>Attachment H -11A, Attachment 2b</v>
      </c>
    </row>
    <row r="2" spans="1:48" ht="15.75">
      <c r="A2" s="1102" t="s">
        <v>347</v>
      </c>
      <c r="B2" s="1102"/>
      <c r="C2" s="1102"/>
      <c r="D2" s="1102"/>
      <c r="E2" s="1102"/>
      <c r="F2" s="1102"/>
      <c r="G2" s="1102"/>
      <c r="H2" s="1102"/>
      <c r="I2" s="1102"/>
      <c r="J2" s="1102"/>
      <c r="K2" s="1102"/>
      <c r="L2" s="1102"/>
      <c r="M2" s="1102"/>
      <c r="N2" s="1102"/>
      <c r="O2" s="235"/>
      <c r="R2" s="3"/>
      <c r="S2" s="3" t="s">
        <v>171</v>
      </c>
      <c r="T2" s="1102" t="s">
        <v>347</v>
      </c>
      <c r="U2" s="1102"/>
      <c r="V2" s="1102"/>
      <c r="W2" s="1102"/>
      <c r="X2" s="1102"/>
      <c r="Y2" s="1102"/>
      <c r="Z2" s="1102"/>
      <c r="AA2" s="1102"/>
      <c r="AB2" s="1102"/>
      <c r="AC2" s="1102"/>
      <c r="AD2" s="1102"/>
      <c r="AE2" s="1102"/>
      <c r="AF2" s="235"/>
      <c r="AK2" s="235"/>
      <c r="AL2" s="235"/>
      <c r="AM2" s="3" t="s">
        <v>174</v>
      </c>
    </row>
    <row r="3" spans="1:48" ht="15.75">
      <c r="A3" s="235"/>
      <c r="B3" s="236"/>
      <c r="C3" s="236"/>
      <c r="D3" s="236"/>
      <c r="E3" s="236"/>
      <c r="F3" s="236"/>
      <c r="G3" s="236"/>
      <c r="H3" s="236"/>
      <c r="I3" s="236"/>
      <c r="J3" s="236"/>
      <c r="K3" s="236"/>
      <c r="L3" s="236"/>
      <c r="M3" s="3"/>
      <c r="R3" s="3"/>
      <c r="S3" s="3" t="str">
        <f>'Attachment H-11A '!K4</f>
        <v>For the 12 months ended 12/31/2022</v>
      </c>
      <c r="AM3" s="3" t="str">
        <f>'Attachment H-11A '!K4</f>
        <v>For the 12 months ended 12/31/2022</v>
      </c>
    </row>
    <row r="4" spans="1:48" ht="15.75">
      <c r="A4" s="235"/>
      <c r="B4" s="236"/>
      <c r="C4" s="236"/>
      <c r="D4" s="236"/>
      <c r="E4" s="236"/>
      <c r="F4" s="236"/>
      <c r="G4" s="236"/>
      <c r="H4" s="236"/>
      <c r="I4" s="236"/>
      <c r="J4" s="236"/>
      <c r="K4" s="236"/>
      <c r="L4" s="236"/>
      <c r="M4" s="3"/>
    </row>
    <row r="5" spans="1:48" ht="15.75">
      <c r="A5" s="235"/>
      <c r="B5" s="236"/>
      <c r="C5" s="236"/>
      <c r="D5" s="236"/>
      <c r="E5" s="236"/>
      <c r="F5" s="236"/>
      <c r="G5" s="236"/>
      <c r="H5" s="236"/>
      <c r="I5" s="236"/>
      <c r="J5" s="236"/>
      <c r="K5" s="236"/>
      <c r="L5" s="236"/>
      <c r="M5" s="3"/>
    </row>
    <row r="6" spans="1:48" ht="15.75">
      <c r="A6" s="235"/>
      <c r="B6" s="236"/>
      <c r="C6" s="236"/>
      <c r="D6" s="236"/>
      <c r="E6" s="236"/>
      <c r="F6" s="236"/>
      <c r="G6" s="236"/>
      <c r="H6" s="236"/>
      <c r="I6" s="236"/>
      <c r="J6" s="236"/>
      <c r="K6" s="236"/>
      <c r="L6" s="236"/>
      <c r="M6" s="3"/>
      <c r="AI6" s="851" t="s">
        <v>688</v>
      </c>
      <c r="AJ6" s="851" t="s">
        <v>807</v>
      </c>
      <c r="AK6" s="851" t="s">
        <v>808</v>
      </c>
      <c r="AL6" s="851" t="s">
        <v>809</v>
      </c>
      <c r="AM6" s="851" t="s">
        <v>803</v>
      </c>
    </row>
    <row r="7" spans="1:48" ht="15.75">
      <c r="A7" s="235"/>
      <c r="B7" s="236"/>
      <c r="C7" s="236"/>
      <c r="D7" s="236"/>
      <c r="E7" s="236"/>
      <c r="F7" s="236"/>
      <c r="G7" s="236"/>
      <c r="H7" s="236"/>
      <c r="I7" s="236"/>
      <c r="J7" s="236"/>
      <c r="K7" s="236"/>
      <c r="L7" s="236"/>
      <c r="M7" s="3"/>
    </row>
    <row r="8" spans="1:48" ht="50.25" customHeight="1">
      <c r="A8" s="19" t="s">
        <v>159</v>
      </c>
      <c r="B8" s="20"/>
      <c r="C8" s="30" t="s">
        <v>160</v>
      </c>
      <c r="D8" s="21" t="s">
        <v>175</v>
      </c>
      <c r="E8" s="22" t="s">
        <v>255</v>
      </c>
      <c r="F8" s="489">
        <v>44550</v>
      </c>
      <c r="G8" s="237">
        <f>F8+31</f>
        <v>44581</v>
      </c>
      <c r="H8" s="237">
        <f>G8+31</f>
        <v>44612</v>
      </c>
      <c r="I8" s="237">
        <f>H8+31</f>
        <v>44643</v>
      </c>
      <c r="J8" s="237">
        <f>I8+31</f>
        <v>44674</v>
      </c>
      <c r="K8" s="237">
        <f t="shared" ref="K8:R8" si="0">J8+31</f>
        <v>44705</v>
      </c>
      <c r="L8" s="237">
        <f t="shared" si="0"/>
        <v>44736</v>
      </c>
      <c r="M8" s="237">
        <f t="shared" si="0"/>
        <v>44767</v>
      </c>
      <c r="N8" s="237">
        <f t="shared" si="0"/>
        <v>44798</v>
      </c>
      <c r="O8" s="237">
        <f t="shared" si="0"/>
        <v>44829</v>
      </c>
      <c r="P8" s="237">
        <f t="shared" si="0"/>
        <v>44860</v>
      </c>
      <c r="Q8" s="237">
        <f t="shared" si="0"/>
        <v>44891</v>
      </c>
      <c r="R8" s="237">
        <f t="shared" si="0"/>
        <v>44922</v>
      </c>
      <c r="S8" s="237"/>
      <c r="T8" s="22" t="s">
        <v>345</v>
      </c>
      <c r="U8" s="237">
        <f>F8</f>
        <v>44550</v>
      </c>
      <c r="V8" s="237">
        <f t="shared" ref="V8:AG8" si="1">G8</f>
        <v>44581</v>
      </c>
      <c r="W8" s="237">
        <f t="shared" si="1"/>
        <v>44612</v>
      </c>
      <c r="X8" s="237">
        <f t="shared" si="1"/>
        <v>44643</v>
      </c>
      <c r="Y8" s="237">
        <f t="shared" si="1"/>
        <v>44674</v>
      </c>
      <c r="Z8" s="237">
        <f t="shared" si="1"/>
        <v>44705</v>
      </c>
      <c r="AA8" s="237">
        <f t="shared" si="1"/>
        <v>44736</v>
      </c>
      <c r="AB8" s="237">
        <f t="shared" si="1"/>
        <v>44767</v>
      </c>
      <c r="AC8" s="237">
        <f t="shared" si="1"/>
        <v>44798</v>
      </c>
      <c r="AD8" s="237">
        <f t="shared" si="1"/>
        <v>44829</v>
      </c>
      <c r="AE8" s="237">
        <f t="shared" si="1"/>
        <v>44860</v>
      </c>
      <c r="AF8" s="237">
        <f t="shared" si="1"/>
        <v>44891</v>
      </c>
      <c r="AG8" s="237">
        <f t="shared" si="1"/>
        <v>44922</v>
      </c>
      <c r="AH8" s="238"/>
      <c r="AI8" s="22" t="s">
        <v>346</v>
      </c>
      <c r="AJ8" s="237" t="s">
        <v>749</v>
      </c>
      <c r="AK8" s="241" t="s">
        <v>697</v>
      </c>
      <c r="AL8" s="241" t="s">
        <v>744</v>
      </c>
      <c r="AM8" s="241" t="s">
        <v>751</v>
      </c>
      <c r="AN8" s="240"/>
      <c r="AO8" s="240"/>
      <c r="AP8" s="240"/>
      <c r="AQ8" s="240"/>
      <c r="AR8" s="240"/>
      <c r="AS8" s="240"/>
      <c r="AT8" s="240"/>
      <c r="AU8" s="240"/>
      <c r="AV8" s="240"/>
    </row>
    <row r="9" spans="1:48" ht="15.75">
      <c r="A9" s="23"/>
      <c r="B9" s="24"/>
      <c r="C9" s="25" t="s">
        <v>13</v>
      </c>
      <c r="D9" s="24"/>
      <c r="E9" s="25" t="s">
        <v>14</v>
      </c>
      <c r="F9" s="25" t="s">
        <v>15</v>
      </c>
      <c r="G9" s="25" t="s">
        <v>15</v>
      </c>
      <c r="H9" s="25" t="s">
        <v>15</v>
      </c>
      <c r="I9" s="25" t="s">
        <v>15</v>
      </c>
      <c r="J9" s="25" t="s">
        <v>15</v>
      </c>
      <c r="K9" s="25" t="s">
        <v>15</v>
      </c>
      <c r="L9" s="25" t="s">
        <v>15</v>
      </c>
      <c r="M9" s="25" t="s">
        <v>15</v>
      </c>
      <c r="N9" s="25" t="s">
        <v>15</v>
      </c>
      <c r="O9" s="25" t="s">
        <v>15</v>
      </c>
      <c r="P9" s="25" t="s">
        <v>15</v>
      </c>
      <c r="Q9" s="25" t="s">
        <v>15</v>
      </c>
      <c r="R9" s="25" t="s">
        <v>15</v>
      </c>
      <c r="S9" s="25"/>
      <c r="T9" s="25" t="s">
        <v>916</v>
      </c>
      <c r="U9" s="25" t="s">
        <v>15</v>
      </c>
      <c r="V9" s="25" t="s">
        <v>15</v>
      </c>
      <c r="W9" s="25" t="s">
        <v>15</v>
      </c>
      <c r="X9" s="25" t="s">
        <v>15</v>
      </c>
      <c r="Y9" s="25" t="s">
        <v>15</v>
      </c>
      <c r="Z9" s="25" t="s">
        <v>15</v>
      </c>
      <c r="AA9" s="25" t="s">
        <v>15</v>
      </c>
      <c r="AB9" s="25" t="s">
        <v>15</v>
      </c>
      <c r="AC9" s="25" t="s">
        <v>15</v>
      </c>
      <c r="AD9" s="25" t="s">
        <v>15</v>
      </c>
      <c r="AE9" s="25" t="s">
        <v>15</v>
      </c>
      <c r="AF9" s="25" t="s">
        <v>15</v>
      </c>
      <c r="AG9" s="25" t="s">
        <v>15</v>
      </c>
      <c r="AH9" s="239"/>
      <c r="AI9" s="25" t="s">
        <v>916</v>
      </c>
      <c r="AJ9" s="879" t="s">
        <v>16</v>
      </c>
      <c r="AK9" s="880" t="s">
        <v>131</v>
      </c>
      <c r="AL9" s="880" t="s">
        <v>539</v>
      </c>
      <c r="AM9" s="880" t="s">
        <v>309</v>
      </c>
    </row>
    <row r="10" spans="1:48" ht="15.75">
      <c r="A10" s="26"/>
      <c r="B10" s="2"/>
      <c r="C10" s="2"/>
      <c r="D10" s="2"/>
      <c r="E10" s="2"/>
      <c r="F10" s="2"/>
      <c r="G10" s="2"/>
      <c r="H10" s="2"/>
      <c r="I10" s="2"/>
      <c r="J10" s="2"/>
      <c r="K10" s="2"/>
      <c r="L10" s="2"/>
      <c r="M10" s="2"/>
      <c r="N10" s="2"/>
      <c r="O10" s="2"/>
      <c r="P10" s="2"/>
      <c r="Q10" s="2"/>
      <c r="R10" s="2"/>
      <c r="S10" s="2"/>
      <c r="AH10" s="242"/>
      <c r="AM10" s="243"/>
    </row>
    <row r="11" spans="1:48" ht="15.75">
      <c r="A11" s="273"/>
      <c r="B11" s="17"/>
      <c r="C11" s="17"/>
      <c r="D11" s="27"/>
      <c r="E11" s="9"/>
      <c r="F11" s="9"/>
      <c r="G11" s="9"/>
      <c r="H11" s="9"/>
      <c r="I11" s="9"/>
      <c r="J11" s="9"/>
      <c r="K11" s="9"/>
      <c r="L11" s="9"/>
      <c r="M11" s="9"/>
      <c r="N11" s="9"/>
      <c r="O11" s="9"/>
      <c r="P11" s="9"/>
      <c r="Q11" s="9"/>
      <c r="R11" s="9"/>
      <c r="S11" s="9"/>
      <c r="U11" s="9"/>
      <c r="V11" s="9"/>
      <c r="W11" s="9"/>
      <c r="X11" s="9"/>
      <c r="Y11" s="9"/>
      <c r="Z11" s="9"/>
      <c r="AA11" s="9"/>
      <c r="AB11" s="9"/>
      <c r="AC11" s="9"/>
      <c r="AD11" s="9"/>
      <c r="AE11" s="9"/>
      <c r="AF11" s="9"/>
      <c r="AG11" s="9"/>
      <c r="AH11" s="242"/>
      <c r="AM11" s="243"/>
    </row>
    <row r="12" spans="1:48" ht="15.75">
      <c r="A12" s="790" t="s">
        <v>464</v>
      </c>
      <c r="B12" s="689"/>
      <c r="C12" s="791"/>
      <c r="D12" s="792"/>
      <c r="E12" s="9">
        <f>AVERAGE(F12:R12)</f>
        <v>0</v>
      </c>
      <c r="F12" s="59">
        <v>0</v>
      </c>
      <c r="G12" s="59">
        <v>0</v>
      </c>
      <c r="H12" s="59">
        <v>0</v>
      </c>
      <c r="I12" s="59">
        <v>0</v>
      </c>
      <c r="J12" s="59">
        <v>0</v>
      </c>
      <c r="K12" s="59">
        <v>0</v>
      </c>
      <c r="L12" s="59">
        <v>0</v>
      </c>
      <c r="M12" s="59">
        <v>0</v>
      </c>
      <c r="N12" s="59">
        <v>0</v>
      </c>
      <c r="O12" s="59">
        <v>0</v>
      </c>
      <c r="P12" s="59">
        <v>0</v>
      </c>
      <c r="Q12" s="59">
        <v>0</v>
      </c>
      <c r="R12" s="59">
        <v>0</v>
      </c>
      <c r="S12" s="9"/>
      <c r="T12" s="9">
        <f>AVERAGE(U12:AG12)</f>
        <v>0</v>
      </c>
      <c r="U12" s="59">
        <v>0</v>
      </c>
      <c r="V12" s="59">
        <v>0</v>
      </c>
      <c r="W12" s="59">
        <v>0</v>
      </c>
      <c r="X12" s="59">
        <v>0</v>
      </c>
      <c r="Y12" s="59">
        <v>0</v>
      </c>
      <c r="Z12" s="59">
        <v>0</v>
      </c>
      <c r="AA12" s="59">
        <v>0</v>
      </c>
      <c r="AB12" s="59">
        <v>0</v>
      </c>
      <c r="AC12" s="59">
        <v>0</v>
      </c>
      <c r="AD12" s="59">
        <v>0</v>
      </c>
      <c r="AE12" s="59">
        <v>0</v>
      </c>
      <c r="AF12" s="59">
        <v>0</v>
      </c>
      <c r="AG12" s="59">
        <v>0</v>
      </c>
      <c r="AH12" s="242"/>
      <c r="AI12" s="788">
        <f t="shared" ref="AI12:AI17" si="2">E12-T12</f>
        <v>0</v>
      </c>
      <c r="AJ12" s="395"/>
      <c r="AK12" s="788">
        <f>AI12*'Attachment H-11A '!$I$227</f>
        <v>0</v>
      </c>
      <c r="AL12" s="709">
        <f>AI12*(('Attachment H-11A '!$I$234)*AJ12/100+'Attachment H-11A '!$I$227)</f>
        <v>0</v>
      </c>
      <c r="AM12" s="243">
        <f>AL12-AK12</f>
        <v>0</v>
      </c>
    </row>
    <row r="13" spans="1:48" ht="15.75">
      <c r="A13" s="790" t="s">
        <v>465</v>
      </c>
      <c r="B13" s="689"/>
      <c r="C13" s="791"/>
      <c r="D13" s="792"/>
      <c r="E13" s="9">
        <f t="shared" ref="E13:E17" si="3">AVERAGE(F13:R13)</f>
        <v>0</v>
      </c>
      <c r="F13" s="59">
        <v>0</v>
      </c>
      <c r="G13" s="59">
        <v>0</v>
      </c>
      <c r="H13" s="59">
        <v>0</v>
      </c>
      <c r="I13" s="59">
        <v>0</v>
      </c>
      <c r="J13" s="59">
        <v>0</v>
      </c>
      <c r="K13" s="59">
        <v>0</v>
      </c>
      <c r="L13" s="59">
        <v>0</v>
      </c>
      <c r="M13" s="59">
        <v>0</v>
      </c>
      <c r="N13" s="59">
        <v>0</v>
      </c>
      <c r="O13" s="59">
        <v>0</v>
      </c>
      <c r="P13" s="59">
        <v>0</v>
      </c>
      <c r="Q13" s="59">
        <v>0</v>
      </c>
      <c r="R13" s="59">
        <v>0</v>
      </c>
      <c r="S13" s="9"/>
      <c r="T13" s="9">
        <f t="shared" ref="T13:T17" si="4">AVERAGE(U13:AG13)</f>
        <v>0</v>
      </c>
      <c r="U13" s="59">
        <v>0</v>
      </c>
      <c r="V13" s="59">
        <v>0</v>
      </c>
      <c r="W13" s="59">
        <v>0</v>
      </c>
      <c r="X13" s="59">
        <v>0</v>
      </c>
      <c r="Y13" s="59">
        <v>0</v>
      </c>
      <c r="Z13" s="59">
        <v>0</v>
      </c>
      <c r="AA13" s="59">
        <v>0</v>
      </c>
      <c r="AB13" s="59">
        <v>0</v>
      </c>
      <c r="AC13" s="59">
        <v>0</v>
      </c>
      <c r="AD13" s="59">
        <v>0</v>
      </c>
      <c r="AE13" s="59">
        <v>0</v>
      </c>
      <c r="AF13" s="59">
        <v>0</v>
      </c>
      <c r="AG13" s="59">
        <v>0</v>
      </c>
      <c r="AH13" s="242"/>
      <c r="AI13" s="788">
        <f t="shared" si="2"/>
        <v>0</v>
      </c>
      <c r="AJ13" s="395"/>
      <c r="AK13" s="709">
        <f>AI13*'Attachment H-11A '!$I$227</f>
        <v>0</v>
      </c>
      <c r="AL13" s="709">
        <f>AI13*(('Attachment H-11A '!$I$234)*AJ13/100+'Attachment H-11A '!$I$227)</f>
        <v>0</v>
      </c>
      <c r="AM13" s="243">
        <f t="shared" ref="AM13:AM17" si="5">AL13-AK13</f>
        <v>0</v>
      </c>
    </row>
    <row r="14" spans="1:48" ht="15.75">
      <c r="A14" s="790" t="s">
        <v>466</v>
      </c>
      <c r="B14" s="689"/>
      <c r="C14" s="791"/>
      <c r="D14" s="792"/>
      <c r="E14" s="9">
        <f t="shared" si="3"/>
        <v>0</v>
      </c>
      <c r="F14" s="59">
        <v>0</v>
      </c>
      <c r="G14" s="59">
        <v>0</v>
      </c>
      <c r="H14" s="59">
        <v>0</v>
      </c>
      <c r="I14" s="59">
        <v>0</v>
      </c>
      <c r="J14" s="59">
        <v>0</v>
      </c>
      <c r="K14" s="59">
        <v>0</v>
      </c>
      <c r="L14" s="59">
        <v>0</v>
      </c>
      <c r="M14" s="59">
        <v>0</v>
      </c>
      <c r="N14" s="59">
        <v>0</v>
      </c>
      <c r="O14" s="59">
        <v>0</v>
      </c>
      <c r="P14" s="59">
        <v>0</v>
      </c>
      <c r="Q14" s="59">
        <v>0</v>
      </c>
      <c r="R14" s="59">
        <v>0</v>
      </c>
      <c r="T14" s="9">
        <f t="shared" si="4"/>
        <v>0</v>
      </c>
      <c r="U14" s="59">
        <v>0</v>
      </c>
      <c r="V14" s="59">
        <v>0</v>
      </c>
      <c r="W14" s="59">
        <v>0</v>
      </c>
      <c r="X14" s="59">
        <v>0</v>
      </c>
      <c r="Y14" s="59">
        <v>0</v>
      </c>
      <c r="Z14" s="59">
        <v>0</v>
      </c>
      <c r="AA14" s="59">
        <v>0</v>
      </c>
      <c r="AB14" s="59">
        <v>0</v>
      </c>
      <c r="AC14" s="59">
        <v>0</v>
      </c>
      <c r="AD14" s="59">
        <v>0</v>
      </c>
      <c r="AE14" s="59">
        <v>0</v>
      </c>
      <c r="AF14" s="59">
        <v>0</v>
      </c>
      <c r="AG14" s="59">
        <v>0</v>
      </c>
      <c r="AH14" s="242"/>
      <c r="AI14" s="788">
        <f t="shared" si="2"/>
        <v>0</v>
      </c>
      <c r="AJ14" s="395"/>
      <c r="AK14" s="709">
        <f>AI14*'Attachment H-11A '!$I$227</f>
        <v>0</v>
      </c>
      <c r="AL14" s="709">
        <f>AI14*(('Attachment H-11A '!$I$234)*AJ14/100+'Attachment H-11A '!$I$227)</f>
        <v>0</v>
      </c>
      <c r="AM14" s="243">
        <f t="shared" si="5"/>
        <v>0</v>
      </c>
    </row>
    <row r="15" spans="1:48" ht="15.75">
      <c r="A15" s="790" t="s">
        <v>509</v>
      </c>
      <c r="B15" s="689"/>
      <c r="C15" s="791"/>
      <c r="D15" s="792"/>
      <c r="E15" s="9">
        <f t="shared" si="3"/>
        <v>0</v>
      </c>
      <c r="F15" s="59">
        <v>0</v>
      </c>
      <c r="G15" s="59">
        <v>0</v>
      </c>
      <c r="H15" s="59">
        <v>0</v>
      </c>
      <c r="I15" s="59">
        <v>0</v>
      </c>
      <c r="J15" s="59">
        <v>0</v>
      </c>
      <c r="K15" s="59">
        <v>0</v>
      </c>
      <c r="L15" s="59">
        <v>0</v>
      </c>
      <c r="M15" s="59">
        <v>0</v>
      </c>
      <c r="N15" s="59">
        <v>0</v>
      </c>
      <c r="O15" s="59">
        <v>0</v>
      </c>
      <c r="P15" s="59">
        <v>0</v>
      </c>
      <c r="Q15" s="59">
        <v>0</v>
      </c>
      <c r="R15" s="59">
        <v>0</v>
      </c>
      <c r="T15" s="9">
        <f t="shared" si="4"/>
        <v>0</v>
      </c>
      <c r="U15" s="59">
        <v>0</v>
      </c>
      <c r="V15" s="59">
        <v>0</v>
      </c>
      <c r="W15" s="59">
        <v>0</v>
      </c>
      <c r="X15" s="59">
        <v>0</v>
      </c>
      <c r="Y15" s="59">
        <v>0</v>
      </c>
      <c r="Z15" s="59">
        <v>0</v>
      </c>
      <c r="AA15" s="59">
        <v>0</v>
      </c>
      <c r="AB15" s="59">
        <v>0</v>
      </c>
      <c r="AC15" s="59">
        <v>0</v>
      </c>
      <c r="AD15" s="59">
        <v>0</v>
      </c>
      <c r="AE15" s="59">
        <v>0</v>
      </c>
      <c r="AF15" s="59">
        <v>0</v>
      </c>
      <c r="AG15" s="59">
        <v>0</v>
      </c>
      <c r="AH15" s="242"/>
      <c r="AI15" s="788">
        <f t="shared" si="2"/>
        <v>0</v>
      </c>
      <c r="AJ15" s="395"/>
      <c r="AK15" s="709">
        <f>AI15*'Attachment H-11A '!$I$227</f>
        <v>0</v>
      </c>
      <c r="AL15" s="709">
        <f>AI15*(('Attachment H-11A '!$I$234)*AJ15/100+'Attachment H-11A '!$I$227)</f>
        <v>0</v>
      </c>
      <c r="AM15" s="243">
        <f t="shared" si="5"/>
        <v>0</v>
      </c>
    </row>
    <row r="16" spans="1:48" ht="15.75">
      <c r="A16" s="790" t="s">
        <v>764</v>
      </c>
      <c r="B16" s="689"/>
      <c r="C16" s="791"/>
      <c r="D16" s="792"/>
      <c r="E16" s="9">
        <f t="shared" si="3"/>
        <v>0</v>
      </c>
      <c r="F16" s="59">
        <v>0</v>
      </c>
      <c r="G16" s="59">
        <v>0</v>
      </c>
      <c r="H16" s="59">
        <v>0</v>
      </c>
      <c r="I16" s="59">
        <v>0</v>
      </c>
      <c r="J16" s="59">
        <v>0</v>
      </c>
      <c r="K16" s="59">
        <v>0</v>
      </c>
      <c r="L16" s="59">
        <v>0</v>
      </c>
      <c r="M16" s="59">
        <v>0</v>
      </c>
      <c r="N16" s="59">
        <v>0</v>
      </c>
      <c r="O16" s="59">
        <v>0</v>
      </c>
      <c r="P16" s="59">
        <v>0</v>
      </c>
      <c r="Q16" s="59">
        <v>0</v>
      </c>
      <c r="R16" s="59">
        <v>0</v>
      </c>
      <c r="T16" s="9">
        <f t="shared" si="4"/>
        <v>0</v>
      </c>
      <c r="U16" s="59">
        <v>0</v>
      </c>
      <c r="V16" s="59">
        <v>0</v>
      </c>
      <c r="W16" s="59">
        <v>0</v>
      </c>
      <c r="X16" s="59">
        <v>0</v>
      </c>
      <c r="Y16" s="59">
        <v>0</v>
      </c>
      <c r="Z16" s="59">
        <v>0</v>
      </c>
      <c r="AA16" s="59">
        <v>0</v>
      </c>
      <c r="AB16" s="59">
        <v>0</v>
      </c>
      <c r="AC16" s="59">
        <v>0</v>
      </c>
      <c r="AD16" s="59">
        <v>0</v>
      </c>
      <c r="AE16" s="59">
        <v>0</v>
      </c>
      <c r="AF16" s="59">
        <v>0</v>
      </c>
      <c r="AG16" s="59">
        <v>0</v>
      </c>
      <c r="AH16" s="242"/>
      <c r="AI16" s="788">
        <f t="shared" si="2"/>
        <v>0</v>
      </c>
      <c r="AJ16" s="395"/>
      <c r="AK16" s="709">
        <f>AI16*'Attachment H-11A '!$I$227</f>
        <v>0</v>
      </c>
      <c r="AL16" s="709">
        <f>AI16*(('Attachment H-11A '!$I$234)*AJ16/100+'Attachment H-11A '!$I$227)</f>
        <v>0</v>
      </c>
      <c r="AM16" s="243">
        <f t="shared" si="5"/>
        <v>0</v>
      </c>
    </row>
    <row r="17" spans="1:39" ht="15.75">
      <c r="A17" s="790" t="s">
        <v>765</v>
      </c>
      <c r="B17" s="689"/>
      <c r="C17" s="791"/>
      <c r="D17" s="792"/>
      <c r="E17" s="9">
        <f t="shared" si="3"/>
        <v>0</v>
      </c>
      <c r="F17" s="59">
        <v>0</v>
      </c>
      <c r="G17" s="59">
        <v>0</v>
      </c>
      <c r="H17" s="59">
        <v>0</v>
      </c>
      <c r="I17" s="59">
        <v>0</v>
      </c>
      <c r="J17" s="59">
        <v>0</v>
      </c>
      <c r="K17" s="59">
        <v>0</v>
      </c>
      <c r="L17" s="59">
        <v>0</v>
      </c>
      <c r="M17" s="59">
        <v>0</v>
      </c>
      <c r="N17" s="59">
        <v>0</v>
      </c>
      <c r="O17" s="59">
        <v>0</v>
      </c>
      <c r="P17" s="59">
        <v>0</v>
      </c>
      <c r="Q17" s="59">
        <v>0</v>
      </c>
      <c r="R17" s="59">
        <v>0</v>
      </c>
      <c r="T17" s="9">
        <f t="shared" si="4"/>
        <v>0</v>
      </c>
      <c r="U17" s="59">
        <v>0</v>
      </c>
      <c r="V17" s="59">
        <v>0</v>
      </c>
      <c r="W17" s="59">
        <v>0</v>
      </c>
      <c r="X17" s="59">
        <v>0</v>
      </c>
      <c r="Y17" s="59">
        <v>0</v>
      </c>
      <c r="Z17" s="59">
        <v>0</v>
      </c>
      <c r="AA17" s="59">
        <v>0</v>
      </c>
      <c r="AB17" s="59">
        <v>0</v>
      </c>
      <c r="AC17" s="59">
        <v>0</v>
      </c>
      <c r="AD17" s="59">
        <v>0</v>
      </c>
      <c r="AE17" s="59">
        <v>0</v>
      </c>
      <c r="AF17" s="59">
        <v>0</v>
      </c>
      <c r="AG17" s="59">
        <v>0</v>
      </c>
      <c r="AH17" s="242"/>
      <c r="AI17" s="788">
        <f t="shared" si="2"/>
        <v>0</v>
      </c>
      <c r="AJ17" s="395"/>
      <c r="AK17" s="709">
        <f>AI17*'Attachment H-11A '!$I$227</f>
        <v>0</v>
      </c>
      <c r="AL17" s="709">
        <f>AI17*(('Attachment H-11A '!$I$234)*AJ17/100+'Attachment H-11A '!$I$227)</f>
        <v>0</v>
      </c>
      <c r="AM17" s="243">
        <f t="shared" si="5"/>
        <v>0</v>
      </c>
    </row>
    <row r="18" spans="1:39">
      <c r="A18" s="244"/>
      <c r="AM18" s="243"/>
    </row>
    <row r="19" spans="1:39">
      <c r="A19" s="244"/>
      <c r="AM19" s="243"/>
    </row>
    <row r="20" spans="1:39" ht="15.6" customHeight="1">
      <c r="A20" s="244"/>
      <c r="U20" s="501"/>
      <c r="X20" s="683"/>
      <c r="Y20" s="683"/>
      <c r="Z20" s="683"/>
      <c r="AA20" s="683"/>
      <c r="AB20" s="683"/>
      <c r="AM20" s="243"/>
    </row>
    <row r="21" spans="1:39" ht="15.75">
      <c r="A21" s="244"/>
      <c r="X21" s="683"/>
      <c r="Y21" s="683"/>
      <c r="Z21" s="683"/>
      <c r="AA21" s="683"/>
      <c r="AB21" s="683"/>
      <c r="AM21" s="243"/>
    </row>
    <row r="22" spans="1:39" ht="15.75">
      <c r="A22" s="244"/>
      <c r="X22" s="683"/>
      <c r="Y22" s="683"/>
      <c r="Z22" s="683"/>
      <c r="AA22" s="683"/>
      <c r="AB22" s="683"/>
      <c r="AM22" s="243"/>
    </row>
    <row r="23" spans="1:39" ht="15.75">
      <c r="A23" s="244"/>
      <c r="X23" s="683"/>
      <c r="Y23" s="683"/>
      <c r="Z23" s="683"/>
      <c r="AA23" s="683"/>
      <c r="AB23" s="683"/>
      <c r="AM23" s="243"/>
    </row>
    <row r="24" spans="1:39">
      <c r="A24" s="244"/>
      <c r="AM24" s="243"/>
    </row>
    <row r="25" spans="1:39">
      <c r="A25" s="244"/>
      <c r="AM25" s="243"/>
    </row>
    <row r="26" spans="1:39">
      <c r="A26" s="244"/>
      <c r="AM26" s="243"/>
    </row>
    <row r="27" spans="1:39">
      <c r="A27" s="244"/>
      <c r="AM27" s="243"/>
    </row>
    <row r="28" spans="1:39">
      <c r="A28" s="244"/>
      <c r="AM28" s="243"/>
    </row>
    <row r="29" spans="1:39">
      <c r="A29" s="244"/>
      <c r="AM29" s="243"/>
    </row>
    <row r="30" spans="1:39">
      <c r="A30" s="24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7"/>
    </row>
    <row r="31" spans="1:39">
      <c r="A31" s="855" t="s">
        <v>467</v>
      </c>
      <c r="C31" t="s">
        <v>236</v>
      </c>
      <c r="AM31">
        <f>SUM(AM12:AM26)</f>
        <v>0</v>
      </c>
    </row>
    <row r="32" spans="1:39" ht="15.75">
      <c r="A32" s="1" t="s">
        <v>247</v>
      </c>
      <c r="B32" s="1"/>
      <c r="C32" s="1"/>
      <c r="S32" s="28"/>
      <c r="T32" s="1" t="s">
        <v>810</v>
      </c>
      <c r="U32" s="1"/>
    </row>
    <row r="33" spans="1:32" ht="15.75" customHeight="1">
      <c r="A33" s="29"/>
      <c r="B33" s="1" t="s">
        <v>205</v>
      </c>
      <c r="C33" s="1" t="s">
        <v>873</v>
      </c>
      <c r="D33" s="1"/>
      <c r="E33" s="1"/>
      <c r="F33" s="1"/>
      <c r="G33" s="1"/>
      <c r="H33" s="1"/>
      <c r="I33" s="1"/>
      <c r="J33" s="1"/>
      <c r="K33" s="1"/>
      <c r="M33" s="1" t="s">
        <v>824</v>
      </c>
      <c r="S33" s="29"/>
      <c r="T33" s="16" t="s">
        <v>257</v>
      </c>
      <c r="U33" s="1" t="s">
        <v>817</v>
      </c>
      <c r="V33" s="1"/>
      <c r="W33" s="1"/>
      <c r="X33" s="1"/>
      <c r="Y33" s="1"/>
      <c r="Z33" s="1"/>
      <c r="AA33" s="1"/>
      <c r="AB33" s="1"/>
      <c r="AC33" s="1"/>
      <c r="AD33" s="892" t="s">
        <v>631</v>
      </c>
      <c r="AE33" t="s">
        <v>894</v>
      </c>
    </row>
    <row r="34" spans="1:32" ht="33.75" customHeight="1">
      <c r="B34" s="1" t="s">
        <v>218</v>
      </c>
      <c r="C34" s="1" t="s">
        <v>794</v>
      </c>
      <c r="D34" s="1"/>
      <c r="E34" s="1"/>
      <c r="F34" s="1"/>
      <c r="G34" s="1"/>
      <c r="H34" s="1"/>
      <c r="I34" s="1"/>
      <c r="J34" s="1"/>
      <c r="K34" s="1"/>
      <c r="T34" s="16" t="s">
        <v>267</v>
      </c>
      <c r="U34" s="1105" t="s">
        <v>913</v>
      </c>
      <c r="V34" s="1105"/>
      <c r="W34" s="1105"/>
      <c r="X34" s="1105"/>
      <c r="Y34" s="1105"/>
      <c r="Z34" s="1105"/>
      <c r="AA34" s="1105"/>
      <c r="AB34" s="1105"/>
      <c r="AC34" s="1105"/>
      <c r="AD34" s="892" t="s">
        <v>512</v>
      </c>
      <c r="AE34" t="s">
        <v>1136</v>
      </c>
    </row>
    <row r="35" spans="1:32" ht="15.75">
      <c r="T35" s="16" t="s">
        <v>268</v>
      </c>
      <c r="U35" t="s">
        <v>917</v>
      </c>
      <c r="AB35" s="1"/>
      <c r="AC35" s="1"/>
      <c r="AD35" s="892" t="s">
        <v>686</v>
      </c>
      <c r="AE35" t="s">
        <v>918</v>
      </c>
    </row>
    <row r="40" spans="1:32" ht="15.75">
      <c r="T40" s="16"/>
      <c r="U40" s="1"/>
      <c r="V40" s="1"/>
      <c r="W40" s="1"/>
      <c r="X40" s="1"/>
      <c r="Y40" s="1"/>
      <c r="Z40" s="1"/>
      <c r="AA40" s="1"/>
      <c r="AD40" s="1103"/>
      <c r="AE40" s="1104"/>
      <c r="AF40" s="1"/>
    </row>
    <row r="41" spans="1:32" ht="15.75">
      <c r="AD41" s="1"/>
      <c r="AE41" s="1"/>
      <c r="AF41" s="1"/>
    </row>
    <row r="42" spans="1:32" ht="15.75">
      <c r="AD42" s="1"/>
      <c r="AE42" s="1"/>
      <c r="AF42" s="1"/>
    </row>
  </sheetData>
  <mergeCells count="6">
    <mergeCell ref="A1:N1"/>
    <mergeCell ref="T1:AE1"/>
    <mergeCell ref="A2:N2"/>
    <mergeCell ref="T2:AE2"/>
    <mergeCell ref="AD40:AE40"/>
    <mergeCell ref="U34:AC34"/>
  </mergeCells>
  <pageMargins left="0.7" right="0.7" top="0.75" bottom="0.75" header="0.3" footer="0.3"/>
  <pageSetup scale="38" orientation="landscape" r:id="rId1"/>
  <colBreaks count="1" manualBreakCount="1">
    <brk id="19"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70"/>
  <sheetViews>
    <sheetView view="pageBreakPreview" zoomScale="90" zoomScaleNormal="60" zoomScaleSheetLayoutView="90" workbookViewId="0"/>
  </sheetViews>
  <sheetFormatPr defaultColWidth="8.88671875" defaultRowHeight="20.100000000000001" customHeight="1"/>
  <cols>
    <col min="1" max="1" width="6.109375" style="38" bestFit="1" customWidth="1"/>
    <col min="2" max="2" width="15.109375" style="33" customWidth="1"/>
    <col min="3" max="3" width="8.88671875" style="33"/>
    <col min="4" max="4" width="2.88671875" style="33" customWidth="1"/>
    <col min="5" max="5" width="14.88671875" style="38" bestFit="1" customWidth="1"/>
    <col min="6" max="6" width="23.109375" style="38" customWidth="1"/>
    <col min="7" max="7" width="19.109375" style="38" customWidth="1"/>
    <col min="8" max="8" width="17.109375" style="38" customWidth="1"/>
    <col min="9" max="9" width="13.5546875" style="38" bestFit="1" customWidth="1"/>
    <col min="10" max="11" width="15" style="38" bestFit="1" customWidth="1"/>
    <col min="12" max="12" width="3.5546875" style="38" customWidth="1"/>
    <col min="13" max="13" width="18.21875" style="33" customWidth="1"/>
    <col min="14" max="14" width="23" style="33" customWidth="1"/>
    <col min="15" max="15" width="15" style="33" bestFit="1" customWidth="1"/>
    <col min="16" max="16" width="15.5546875" style="33" bestFit="1" customWidth="1"/>
    <col min="17" max="16384" width="8.88671875" style="33"/>
  </cols>
  <sheetData>
    <row r="1" spans="1:13" ht="20.100000000000001" customHeight="1">
      <c r="E1" s="33"/>
      <c r="F1" s="33"/>
      <c r="G1" s="33"/>
      <c r="M1" s="3" t="str">
        <f>'Attachment H-11A '!K1&amp;""&amp;", Attachment 3"</f>
        <v>Attachment H -11A, Attachment 3</v>
      </c>
    </row>
    <row r="2" spans="1:13" ht="20.100000000000001" customHeight="1">
      <c r="M2" s="3" t="s">
        <v>168</v>
      </c>
    </row>
    <row r="3" spans="1:13" ht="20.100000000000001" customHeight="1">
      <c r="H3" s="40" t="s">
        <v>496</v>
      </c>
      <c r="M3" s="3" t="str">
        <f>'Attachment H-11A '!K4</f>
        <v>For the 12 months ended 12/31/2022</v>
      </c>
    </row>
    <row r="4" spans="1:13" ht="20.100000000000001" customHeight="1">
      <c r="A4" s="41"/>
    </row>
    <row r="5" spans="1:13" ht="20.100000000000001" customHeight="1">
      <c r="E5" s="372" t="s">
        <v>457</v>
      </c>
      <c r="F5" s="372" t="s">
        <v>458</v>
      </c>
      <c r="G5" s="372" t="s">
        <v>459</v>
      </c>
      <c r="H5" s="372" t="s">
        <v>460</v>
      </c>
      <c r="I5" s="372" t="s">
        <v>461</v>
      </c>
      <c r="J5" s="372" t="s">
        <v>462</v>
      </c>
      <c r="K5" s="372" t="s">
        <v>463</v>
      </c>
      <c r="L5" s="373"/>
      <c r="M5" s="38" t="s">
        <v>760</v>
      </c>
    </row>
    <row r="6" spans="1:13" ht="20.100000000000001" customHeight="1">
      <c r="E6" s="40" t="s">
        <v>196</v>
      </c>
      <c r="F6" s="40" t="s">
        <v>750</v>
      </c>
      <c r="G6" s="40" t="s">
        <v>789</v>
      </c>
      <c r="H6" s="40" t="s">
        <v>790</v>
      </c>
      <c r="I6" s="40" t="s">
        <v>199</v>
      </c>
      <c r="J6" s="40" t="s">
        <v>198</v>
      </c>
      <c r="K6" s="40" t="s">
        <v>200</v>
      </c>
      <c r="L6" s="33"/>
      <c r="M6" s="40" t="s">
        <v>9</v>
      </c>
    </row>
    <row r="7" spans="1:13" ht="20.100000000000001" customHeight="1">
      <c r="D7" s="36"/>
      <c r="E7" s="39"/>
      <c r="F7" s="39"/>
      <c r="G7" s="39"/>
      <c r="H7" s="39"/>
      <c r="I7" s="39"/>
      <c r="J7" s="39"/>
      <c r="K7" s="42"/>
      <c r="L7" s="33"/>
    </row>
    <row r="8" spans="1:13" ht="20.100000000000001" customHeight="1">
      <c r="A8" s="42">
        <v>1</v>
      </c>
      <c r="B8" s="33" t="s">
        <v>180</v>
      </c>
      <c r="C8" s="35">
        <v>2021</v>
      </c>
      <c r="E8" s="91">
        <f>E27-E48</f>
        <v>0</v>
      </c>
      <c r="F8" s="84">
        <v>187365932.54000002</v>
      </c>
      <c r="G8" s="91">
        <f>F27-F48-F8</f>
        <v>561006836.03000093</v>
      </c>
      <c r="H8" s="91">
        <f>G27-G48+F8</f>
        <v>2747054734.4499998</v>
      </c>
      <c r="I8" s="91">
        <f t="shared" ref="I8:K20" si="0">H27-H48</f>
        <v>119837042.41</v>
      </c>
      <c r="J8" s="91">
        <f>I27-I48</f>
        <v>218394715.76999995</v>
      </c>
      <c r="K8" s="91">
        <f t="shared" si="0"/>
        <v>0</v>
      </c>
      <c r="L8" s="398"/>
      <c r="M8" s="398">
        <f>SUM(E8,G8,H8,I8,J8,K8)</f>
        <v>3646293328.6600003</v>
      </c>
    </row>
    <row r="9" spans="1:13" ht="20.100000000000001" customHeight="1">
      <c r="A9" s="42">
        <v>2</v>
      </c>
      <c r="B9" s="33" t="s">
        <v>181</v>
      </c>
      <c r="C9" s="34">
        <f>C8+1</f>
        <v>2022</v>
      </c>
      <c r="E9" s="91">
        <f t="shared" ref="E9" si="1">E28-E49</f>
        <v>0</v>
      </c>
      <c r="F9" s="84">
        <v>187297724.44</v>
      </c>
      <c r="G9" s="91">
        <f>F28-F49-F9</f>
        <v>561183210.97671056</v>
      </c>
      <c r="H9" s="91">
        <f>G28-G49+F9</f>
        <v>2755104835.7332902</v>
      </c>
      <c r="I9" s="91">
        <f t="shared" si="0"/>
        <v>120236496.45999999</v>
      </c>
      <c r="J9" s="91">
        <f t="shared" si="0"/>
        <v>218525879.10999995</v>
      </c>
      <c r="K9" s="91">
        <f t="shared" si="0"/>
        <v>0</v>
      </c>
      <c r="L9" s="398"/>
      <c r="M9" s="398">
        <f t="shared" ref="M9:M20" si="2">SUM(E9,G9,H9,I9,J9,K9)</f>
        <v>3655050422.2800012</v>
      </c>
    </row>
    <row r="10" spans="1:13" ht="20.100000000000001" customHeight="1">
      <c r="A10" s="42">
        <v>3</v>
      </c>
      <c r="B10" s="33" t="s">
        <v>182</v>
      </c>
      <c r="C10" s="34">
        <f>C9</f>
        <v>2022</v>
      </c>
      <c r="E10" s="91">
        <f t="shared" ref="E10" si="3">E29-E50</f>
        <v>0</v>
      </c>
      <c r="F10" s="84">
        <v>187364248.63</v>
      </c>
      <c r="G10" s="91">
        <f t="shared" ref="G10:G20" si="4">F29-F50-F10</f>
        <v>562118380.78671062</v>
      </c>
      <c r="H10" s="91">
        <f t="shared" ref="H10:H20" si="5">G29-G50+F10</f>
        <v>2763332637.3032904</v>
      </c>
      <c r="I10" s="91">
        <f t="shared" si="0"/>
        <v>120389476.52999999</v>
      </c>
      <c r="J10" s="91">
        <f t="shared" si="0"/>
        <v>218755812.46999997</v>
      </c>
      <c r="K10" s="91">
        <f t="shared" si="0"/>
        <v>0</v>
      </c>
      <c r="L10" s="398"/>
      <c r="M10" s="398">
        <f t="shared" si="2"/>
        <v>3664596307.0900011</v>
      </c>
    </row>
    <row r="11" spans="1:13" ht="20.100000000000001" customHeight="1">
      <c r="A11" s="42">
        <v>4</v>
      </c>
      <c r="B11" s="33" t="s">
        <v>183</v>
      </c>
      <c r="C11" s="34">
        <f t="shared" ref="C11:C20" si="6">C10</f>
        <v>2022</v>
      </c>
      <c r="E11" s="91">
        <f t="shared" ref="E11" si="7">E30-E51</f>
        <v>0</v>
      </c>
      <c r="F11" s="84">
        <v>187246175.31</v>
      </c>
      <c r="G11" s="91">
        <f t="shared" si="4"/>
        <v>555870036.88671064</v>
      </c>
      <c r="H11" s="91">
        <f t="shared" si="5"/>
        <v>2769949567.5432901</v>
      </c>
      <c r="I11" s="91">
        <f t="shared" si="0"/>
        <v>121182066.29999998</v>
      </c>
      <c r="J11" s="91">
        <f t="shared" si="0"/>
        <v>219561910.45999998</v>
      </c>
      <c r="K11" s="91">
        <f t="shared" si="0"/>
        <v>0</v>
      </c>
      <c r="L11" s="398"/>
      <c r="M11" s="398">
        <f t="shared" si="2"/>
        <v>3666563581.190001</v>
      </c>
    </row>
    <row r="12" spans="1:13" ht="20.100000000000001" customHeight="1">
      <c r="A12" s="42">
        <v>5</v>
      </c>
      <c r="B12" s="33" t="s">
        <v>184</v>
      </c>
      <c r="C12" s="34">
        <f t="shared" si="6"/>
        <v>2022</v>
      </c>
      <c r="E12" s="91">
        <f t="shared" ref="E12" si="8">E31-E52</f>
        <v>0</v>
      </c>
      <c r="F12" s="84">
        <v>187434827.67000002</v>
      </c>
      <c r="G12" s="91">
        <f t="shared" si="4"/>
        <v>566559175.91671062</v>
      </c>
      <c r="H12" s="91">
        <f t="shared" si="5"/>
        <v>2779824068.2632904</v>
      </c>
      <c r="I12" s="91">
        <f t="shared" si="0"/>
        <v>121084896.31999998</v>
      </c>
      <c r="J12" s="91">
        <f t="shared" si="0"/>
        <v>220248935.28999999</v>
      </c>
      <c r="K12" s="91">
        <f t="shared" si="0"/>
        <v>0</v>
      </c>
      <c r="L12" s="398"/>
      <c r="M12" s="398">
        <f t="shared" si="2"/>
        <v>3687717075.7900014</v>
      </c>
    </row>
    <row r="13" spans="1:13" ht="20.100000000000001" customHeight="1">
      <c r="A13" s="42">
        <v>6</v>
      </c>
      <c r="B13" s="33" t="s">
        <v>185</v>
      </c>
      <c r="C13" s="34">
        <f t="shared" si="6"/>
        <v>2022</v>
      </c>
      <c r="E13" s="91">
        <f t="shared" ref="E13" si="9">E32-E53</f>
        <v>0</v>
      </c>
      <c r="F13" s="84">
        <v>187624888.27000001</v>
      </c>
      <c r="G13" s="91">
        <f t="shared" si="4"/>
        <v>569192287.62671077</v>
      </c>
      <c r="H13" s="91">
        <f t="shared" si="5"/>
        <v>2787242907.4332905</v>
      </c>
      <c r="I13" s="91">
        <f t="shared" si="0"/>
        <v>121111591.71999998</v>
      </c>
      <c r="J13" s="91">
        <f t="shared" si="0"/>
        <v>220338058.97999999</v>
      </c>
      <c r="K13" s="91">
        <f t="shared" si="0"/>
        <v>0</v>
      </c>
      <c r="L13" s="398"/>
      <c r="M13" s="398">
        <f t="shared" si="2"/>
        <v>3697884845.7600012</v>
      </c>
    </row>
    <row r="14" spans="1:13" ht="20.100000000000001" customHeight="1">
      <c r="A14" s="42">
        <v>7</v>
      </c>
      <c r="B14" s="33" t="s">
        <v>195</v>
      </c>
      <c r="C14" s="34">
        <f t="shared" si="6"/>
        <v>2022</v>
      </c>
      <c r="E14" s="91">
        <f t="shared" ref="E14" si="10">E33-E54</f>
        <v>0</v>
      </c>
      <c r="F14" s="84">
        <v>187687799.36000001</v>
      </c>
      <c r="G14" s="91">
        <f t="shared" si="4"/>
        <v>578651564.82635546</v>
      </c>
      <c r="H14" s="91">
        <f t="shared" si="5"/>
        <v>2792503763.3236461</v>
      </c>
      <c r="I14" s="91">
        <f t="shared" si="0"/>
        <v>121200594.19999999</v>
      </c>
      <c r="J14" s="91">
        <f t="shared" si="0"/>
        <v>220528947.62</v>
      </c>
      <c r="K14" s="91">
        <f t="shared" si="0"/>
        <v>0</v>
      </c>
      <c r="L14" s="398"/>
      <c r="M14" s="398">
        <f t="shared" si="2"/>
        <v>3712884869.9700012</v>
      </c>
    </row>
    <row r="15" spans="1:13" ht="20.100000000000001" customHeight="1">
      <c r="A15" s="42">
        <v>8</v>
      </c>
      <c r="B15" s="33" t="s">
        <v>186</v>
      </c>
      <c r="C15" s="34">
        <f t="shared" si="6"/>
        <v>2022</v>
      </c>
      <c r="E15" s="91">
        <f t="shared" ref="E15" si="11">E34-E55</f>
        <v>0</v>
      </c>
      <c r="F15" s="84">
        <v>187948049.31</v>
      </c>
      <c r="G15" s="91">
        <f t="shared" si="4"/>
        <v>577661095.9263556</v>
      </c>
      <c r="H15" s="91">
        <f t="shared" si="5"/>
        <v>2799527757.6036458</v>
      </c>
      <c r="I15" s="91">
        <f t="shared" si="0"/>
        <v>121349191.96999998</v>
      </c>
      <c r="J15" s="91">
        <f t="shared" si="0"/>
        <v>215843794.79000002</v>
      </c>
      <c r="K15" s="91">
        <f t="shared" si="0"/>
        <v>0</v>
      </c>
      <c r="L15" s="398"/>
      <c r="M15" s="398">
        <f t="shared" si="2"/>
        <v>3714381840.2900014</v>
      </c>
    </row>
    <row r="16" spans="1:13" ht="20.100000000000001" customHeight="1">
      <c r="A16" s="42">
        <v>9</v>
      </c>
      <c r="B16" s="33" t="s">
        <v>187</v>
      </c>
      <c r="C16" s="34">
        <f t="shared" si="6"/>
        <v>2022</v>
      </c>
      <c r="E16" s="91">
        <f t="shared" ref="E16" si="12">E35-E56</f>
        <v>0</v>
      </c>
      <c r="F16" s="84">
        <v>187915930.17000002</v>
      </c>
      <c r="G16" s="91">
        <f t="shared" si="4"/>
        <v>578217511.17635536</v>
      </c>
      <c r="H16" s="91">
        <f t="shared" si="5"/>
        <v>2809868164.0136461</v>
      </c>
      <c r="I16" s="91">
        <f t="shared" si="0"/>
        <v>121473967.73999998</v>
      </c>
      <c r="J16" s="91">
        <f t="shared" si="0"/>
        <v>216341633.23000002</v>
      </c>
      <c r="K16" s="91">
        <f t="shared" si="0"/>
        <v>0</v>
      </c>
      <c r="L16" s="398"/>
      <c r="M16" s="398">
        <f t="shared" si="2"/>
        <v>3725901276.1600013</v>
      </c>
    </row>
    <row r="17" spans="1:13" ht="20.100000000000001" customHeight="1">
      <c r="A17" s="42">
        <v>10</v>
      </c>
      <c r="B17" s="33" t="s">
        <v>188</v>
      </c>
      <c r="C17" s="34">
        <f t="shared" si="6"/>
        <v>2022</v>
      </c>
      <c r="E17" s="91">
        <f t="shared" ref="E17" si="13">E36-E57</f>
        <v>0</v>
      </c>
      <c r="F17" s="84">
        <v>188799468.76000002</v>
      </c>
      <c r="G17" s="91">
        <f t="shared" si="4"/>
        <v>583599924.36368322</v>
      </c>
      <c r="H17" s="91">
        <f t="shared" si="5"/>
        <v>2819274215.2163186</v>
      </c>
      <c r="I17" s="91">
        <f t="shared" si="0"/>
        <v>128369726.66999999</v>
      </c>
      <c r="J17" s="91">
        <f t="shared" si="0"/>
        <v>216065227.44000003</v>
      </c>
      <c r="K17" s="91">
        <f t="shared" si="0"/>
        <v>0</v>
      </c>
      <c r="L17" s="398"/>
      <c r="M17" s="398">
        <f t="shared" si="2"/>
        <v>3747309093.690002</v>
      </c>
    </row>
    <row r="18" spans="1:13" ht="20.100000000000001" customHeight="1">
      <c r="A18" s="42">
        <v>11</v>
      </c>
      <c r="B18" s="33" t="s">
        <v>190</v>
      </c>
      <c r="C18" s="34">
        <f t="shared" si="6"/>
        <v>2022</v>
      </c>
      <c r="E18" s="91">
        <f t="shared" ref="E18" si="14">E37-E58</f>
        <v>0</v>
      </c>
      <c r="F18" s="84">
        <v>187681164.96000001</v>
      </c>
      <c r="G18" s="91">
        <f t="shared" si="4"/>
        <v>570555570.44635546</v>
      </c>
      <c r="H18" s="91">
        <f t="shared" si="5"/>
        <v>2827082092.0536461</v>
      </c>
      <c r="I18" s="91">
        <f t="shared" si="0"/>
        <v>128162501.06999999</v>
      </c>
      <c r="J18" s="91">
        <f t="shared" si="0"/>
        <v>217166531.37000003</v>
      </c>
      <c r="K18" s="91">
        <f t="shared" si="0"/>
        <v>0</v>
      </c>
      <c r="L18" s="398"/>
      <c r="M18" s="398">
        <f t="shared" si="2"/>
        <v>3742966694.9400015</v>
      </c>
    </row>
    <row r="19" spans="1:13" ht="20.100000000000001" customHeight="1">
      <c r="A19" s="42">
        <v>12</v>
      </c>
      <c r="B19" s="33" t="s">
        <v>189</v>
      </c>
      <c r="C19" s="34">
        <f t="shared" si="6"/>
        <v>2022</v>
      </c>
      <c r="E19" s="91">
        <f t="shared" ref="E19" si="15">E38-E59</f>
        <v>0</v>
      </c>
      <c r="F19" s="84">
        <v>188313677.77000001</v>
      </c>
      <c r="G19" s="91">
        <f t="shared" si="4"/>
        <v>573565426.47635555</v>
      </c>
      <c r="H19" s="91">
        <f t="shared" si="5"/>
        <v>2834492053.4136462</v>
      </c>
      <c r="I19" s="91">
        <f t="shared" si="0"/>
        <v>129018534.08999999</v>
      </c>
      <c r="J19" s="91">
        <f t="shared" si="0"/>
        <v>218187673.00000003</v>
      </c>
      <c r="K19" s="91">
        <f t="shared" si="0"/>
        <v>0</v>
      </c>
      <c r="L19" s="398"/>
      <c r="M19" s="398">
        <f t="shared" si="2"/>
        <v>3755263686.9800019</v>
      </c>
    </row>
    <row r="20" spans="1:13" ht="20.100000000000001" customHeight="1">
      <c r="A20" s="42">
        <v>13</v>
      </c>
      <c r="B20" s="33" t="s">
        <v>180</v>
      </c>
      <c r="C20" s="34">
        <f t="shared" si="6"/>
        <v>2022</v>
      </c>
      <c r="E20" s="91">
        <f t="shared" ref="E20" si="16">E39-E60</f>
        <v>0</v>
      </c>
      <c r="F20" s="84">
        <v>188804538.41</v>
      </c>
      <c r="G20" s="91">
        <f t="shared" si="4"/>
        <v>597601127.31099796</v>
      </c>
      <c r="H20" s="91">
        <f t="shared" si="5"/>
        <v>2842439684.4290032</v>
      </c>
      <c r="I20" s="91">
        <f t="shared" si="0"/>
        <v>131444847.44999999</v>
      </c>
      <c r="J20" s="91">
        <f t="shared" si="0"/>
        <v>218186566.07000002</v>
      </c>
      <c r="K20" s="91">
        <f t="shared" si="0"/>
        <v>0</v>
      </c>
      <c r="L20" s="398"/>
      <c r="M20" s="398">
        <f t="shared" si="2"/>
        <v>3789672225.2600012</v>
      </c>
    </row>
    <row r="21" spans="1:13" ht="20.100000000000001" customHeight="1">
      <c r="E21" s="91"/>
      <c r="F21" s="91"/>
      <c r="G21" s="91"/>
      <c r="H21" s="91"/>
      <c r="I21" s="91"/>
      <c r="J21" s="91"/>
      <c r="K21" s="91"/>
      <c r="L21" s="398"/>
      <c r="M21" s="398"/>
    </row>
    <row r="22" spans="1:13" s="43" customFormat="1" ht="20.100000000000001" customHeight="1">
      <c r="A22" s="182">
        <v>14</v>
      </c>
      <c r="B22" s="43" t="s">
        <v>204</v>
      </c>
      <c r="D22" s="47" t="s">
        <v>771</v>
      </c>
      <c r="E22" s="397">
        <f>SUM(E8:E20)/13</f>
        <v>0</v>
      </c>
      <c r="F22" s="397">
        <f>SUM(F8:F20)/13</f>
        <v>187806494.27692312</v>
      </c>
      <c r="G22" s="397">
        <f>SUM(G8:G20)/13</f>
        <v>571983242.21153951</v>
      </c>
      <c r="H22" s="397">
        <f t="shared" ref="H22:K22" si="17">SUM(H8:H20)/13</f>
        <v>2794438190.8292313</v>
      </c>
      <c r="I22" s="397">
        <f>SUM(I8:I20)/13</f>
        <v>123450840.99461538</v>
      </c>
      <c r="J22" s="397">
        <f t="shared" si="17"/>
        <v>218318898.8923077</v>
      </c>
      <c r="K22" s="397">
        <f t="shared" si="17"/>
        <v>0</v>
      </c>
      <c r="L22" s="397"/>
      <c r="M22" s="397">
        <f>SUM(M8:M20)/13</f>
        <v>3708191172.9276938</v>
      </c>
    </row>
    <row r="24" spans="1:13" ht="20.100000000000001" customHeight="1">
      <c r="E24" s="40" t="s">
        <v>196</v>
      </c>
      <c r="F24" s="40" t="s">
        <v>24</v>
      </c>
      <c r="G24" s="40" t="s">
        <v>197</v>
      </c>
      <c r="H24" s="40" t="s">
        <v>199</v>
      </c>
      <c r="I24" s="40" t="s">
        <v>198</v>
      </c>
      <c r="J24" s="40" t="s">
        <v>200</v>
      </c>
      <c r="K24" s="33"/>
      <c r="M24" s="40" t="s">
        <v>9</v>
      </c>
    </row>
    <row r="25" spans="1:13" ht="20.100000000000001" customHeight="1">
      <c r="E25" s="40"/>
      <c r="F25" s="40"/>
      <c r="G25" s="40"/>
      <c r="H25" s="40"/>
      <c r="I25" s="40"/>
      <c r="J25" s="40"/>
      <c r="K25" s="33"/>
    </row>
    <row r="26" spans="1:13" ht="20.100000000000001" customHeight="1">
      <c r="D26" s="36" t="s">
        <v>218</v>
      </c>
      <c r="E26" s="39" t="s">
        <v>124</v>
      </c>
      <c r="F26" s="39" t="s">
        <v>201</v>
      </c>
      <c r="G26" s="39" t="s">
        <v>125</v>
      </c>
      <c r="H26" s="39" t="s">
        <v>202</v>
      </c>
      <c r="I26" s="39" t="s">
        <v>203</v>
      </c>
      <c r="J26" s="42">
        <v>356.1</v>
      </c>
      <c r="K26" s="33"/>
    </row>
    <row r="27" spans="1:13" ht="20.100000000000001" customHeight="1">
      <c r="A27" s="42">
        <v>15</v>
      </c>
      <c r="B27" s="33" t="s">
        <v>180</v>
      </c>
      <c r="C27" s="34">
        <f>C8</f>
        <v>2021</v>
      </c>
      <c r="E27" s="84"/>
      <c r="F27" s="84">
        <v>748374489.65000105</v>
      </c>
      <c r="G27" s="84">
        <v>2559704414.7199998</v>
      </c>
      <c r="H27" s="84">
        <v>119837042.41</v>
      </c>
      <c r="I27" s="84">
        <v>219127229.94999996</v>
      </c>
      <c r="J27" s="84"/>
      <c r="K27" s="85"/>
      <c r="M27" s="85">
        <f t="shared" ref="M27:M39" si="18">SUM(E27:J27)</f>
        <v>3647043176.7300005</v>
      </c>
    </row>
    <row r="28" spans="1:13" ht="20.100000000000001" customHeight="1">
      <c r="A28" s="42">
        <v>16</v>
      </c>
      <c r="B28" s="33" t="s">
        <v>181</v>
      </c>
      <c r="C28" s="34">
        <f>C27+1</f>
        <v>2022</v>
      </c>
      <c r="E28" s="84"/>
      <c r="F28" s="84">
        <v>748482656.49671066</v>
      </c>
      <c r="G28" s="84">
        <v>2567822724.1032901</v>
      </c>
      <c r="H28" s="84">
        <v>120236496.45999999</v>
      </c>
      <c r="I28" s="84">
        <v>219258393.28999996</v>
      </c>
      <c r="J28" s="84"/>
      <c r="K28" s="85"/>
      <c r="M28" s="85">
        <f t="shared" si="18"/>
        <v>3655800270.3500009</v>
      </c>
    </row>
    <row r="29" spans="1:13" ht="20.100000000000001" customHeight="1">
      <c r="A29" s="42">
        <v>17</v>
      </c>
      <c r="B29" s="33" t="s">
        <v>182</v>
      </c>
      <c r="C29" s="34">
        <f>C28</f>
        <v>2022</v>
      </c>
      <c r="E29" s="84"/>
      <c r="F29" s="84">
        <v>749484350.49671066</v>
      </c>
      <c r="G29" s="84">
        <v>2575984001.4832902</v>
      </c>
      <c r="H29" s="84">
        <v>120389476.52999999</v>
      </c>
      <c r="I29" s="84">
        <v>219488326.64999998</v>
      </c>
      <c r="J29" s="84"/>
      <c r="K29" s="85"/>
      <c r="M29" s="85">
        <f t="shared" si="18"/>
        <v>3665346155.1600013</v>
      </c>
    </row>
    <row r="30" spans="1:13" ht="20.100000000000001" customHeight="1">
      <c r="A30" s="42">
        <v>18</v>
      </c>
      <c r="B30" s="33" t="s">
        <v>183</v>
      </c>
      <c r="C30" s="34">
        <f t="shared" ref="C30:C39" si="19">C29</f>
        <v>2022</v>
      </c>
      <c r="E30" s="84"/>
      <c r="F30" s="84">
        <v>743117933.27671075</v>
      </c>
      <c r="G30" s="84">
        <v>2582719005.0432901</v>
      </c>
      <c r="H30" s="84">
        <v>121182066.29999998</v>
      </c>
      <c r="I30" s="84">
        <v>220294424.63999999</v>
      </c>
      <c r="J30" s="84"/>
      <c r="K30" s="85"/>
      <c r="M30" s="85">
        <f t="shared" si="18"/>
        <v>3667313429.2600007</v>
      </c>
    </row>
    <row r="31" spans="1:13" ht="20.100000000000001" customHeight="1">
      <c r="A31" s="42">
        <v>19</v>
      </c>
      <c r="B31" s="33" t="s">
        <v>184</v>
      </c>
      <c r="C31" s="34">
        <f t="shared" si="19"/>
        <v>2022</v>
      </c>
      <c r="E31" s="84"/>
      <c r="F31" s="84">
        <v>753995724.66671073</v>
      </c>
      <c r="G31" s="84">
        <v>2592404853.4032903</v>
      </c>
      <c r="H31" s="84">
        <v>121084896.31999998</v>
      </c>
      <c r="I31" s="84">
        <v>220981449.47</v>
      </c>
      <c r="J31" s="84"/>
      <c r="K31" s="85"/>
      <c r="M31" s="85">
        <f t="shared" si="18"/>
        <v>3688466923.8600011</v>
      </c>
    </row>
    <row r="32" spans="1:13" ht="20.100000000000001" customHeight="1">
      <c r="A32" s="42">
        <v>20</v>
      </c>
      <c r="B32" s="33" t="s">
        <v>185</v>
      </c>
      <c r="C32" s="34">
        <f t="shared" si="19"/>
        <v>2022</v>
      </c>
      <c r="E32" s="84"/>
      <c r="F32" s="84">
        <v>756818896.9767108</v>
      </c>
      <c r="G32" s="84">
        <v>2599633631.9732904</v>
      </c>
      <c r="H32" s="84">
        <v>121111591.71999998</v>
      </c>
      <c r="I32" s="84">
        <v>221070573.16</v>
      </c>
      <c r="J32" s="84"/>
      <c r="K32" s="85"/>
      <c r="M32" s="85">
        <f t="shared" si="18"/>
        <v>3698634693.8300009</v>
      </c>
    </row>
    <row r="33" spans="1:13" ht="20.100000000000001" customHeight="1">
      <c r="A33" s="42">
        <v>21</v>
      </c>
      <c r="B33" s="33" t="s">
        <v>195</v>
      </c>
      <c r="C33" s="34">
        <f t="shared" si="19"/>
        <v>2022</v>
      </c>
      <c r="E33" s="84"/>
      <c r="F33" s="84">
        <v>766341085.26635551</v>
      </c>
      <c r="G33" s="84">
        <v>2604831576.7736459</v>
      </c>
      <c r="H33" s="84">
        <v>121200594.19999999</v>
      </c>
      <c r="I33" s="84">
        <v>221261461.80000001</v>
      </c>
      <c r="J33" s="84"/>
      <c r="K33" s="85"/>
      <c r="M33" s="85">
        <f t="shared" si="18"/>
        <v>3713634718.0400014</v>
      </c>
    </row>
    <row r="34" spans="1:13" ht="20.100000000000001" customHeight="1">
      <c r="A34" s="42">
        <v>22</v>
      </c>
      <c r="B34" s="33" t="s">
        <v>186</v>
      </c>
      <c r="C34" s="34">
        <f t="shared" si="19"/>
        <v>2022</v>
      </c>
      <c r="E34" s="84"/>
      <c r="F34" s="84">
        <v>765610866.31635559</v>
      </c>
      <c r="G34" s="84">
        <v>2611595321.1036458</v>
      </c>
      <c r="H34" s="84">
        <v>121349191.96999998</v>
      </c>
      <c r="I34" s="84">
        <v>216576308.97000003</v>
      </c>
      <c r="J34" s="84"/>
      <c r="K34" s="85"/>
      <c r="M34" s="85">
        <f t="shared" si="18"/>
        <v>3715131688.3600016</v>
      </c>
    </row>
    <row r="35" spans="1:13" ht="20.100000000000001" customHeight="1">
      <c r="A35" s="42">
        <v>23</v>
      </c>
      <c r="B35" s="33" t="s">
        <v>187</v>
      </c>
      <c r="C35" s="34">
        <f t="shared" si="19"/>
        <v>2022</v>
      </c>
      <c r="E35" s="84"/>
      <c r="F35" s="84">
        <v>766135162.42635548</v>
      </c>
      <c r="G35" s="84">
        <v>2621967846.653646</v>
      </c>
      <c r="H35" s="84">
        <v>121473967.73999998</v>
      </c>
      <c r="I35" s="84">
        <v>217074147.41000003</v>
      </c>
      <c r="J35" s="84"/>
      <c r="K35" s="85"/>
      <c r="M35" s="85">
        <f t="shared" si="18"/>
        <v>3726651124.230001</v>
      </c>
    </row>
    <row r="36" spans="1:13" ht="20.100000000000001" customHeight="1">
      <c r="A36" s="42">
        <v>24</v>
      </c>
      <c r="B36" s="33" t="s">
        <v>188</v>
      </c>
      <c r="C36" s="34">
        <f t="shared" si="19"/>
        <v>2022</v>
      </c>
      <c r="E36" s="84"/>
      <c r="F36" s="84">
        <v>772401114.20368326</v>
      </c>
      <c r="G36" s="84">
        <v>2630490359.2663183</v>
      </c>
      <c r="H36" s="84">
        <v>128369726.66999999</v>
      </c>
      <c r="I36" s="84">
        <v>216797741.62000003</v>
      </c>
      <c r="J36" s="84"/>
      <c r="K36" s="85"/>
      <c r="M36" s="85">
        <f t="shared" si="18"/>
        <v>3748058941.7600017</v>
      </c>
    </row>
    <row r="37" spans="1:13" ht="20.100000000000001" customHeight="1">
      <c r="A37" s="42">
        <v>25</v>
      </c>
      <c r="B37" s="33" t="s">
        <v>190</v>
      </c>
      <c r="C37" s="34">
        <f t="shared" si="19"/>
        <v>2022</v>
      </c>
      <c r="E37" s="84"/>
      <c r="F37" s="84">
        <v>758238456.48635554</v>
      </c>
      <c r="G37" s="84">
        <v>2639416539.903646</v>
      </c>
      <c r="H37" s="84">
        <v>128162501.06999999</v>
      </c>
      <c r="I37" s="84">
        <v>217899045.55000004</v>
      </c>
      <c r="J37" s="84"/>
      <c r="K37" s="85"/>
      <c r="M37" s="85">
        <f t="shared" si="18"/>
        <v>3743716543.0100017</v>
      </c>
    </row>
    <row r="38" spans="1:13" ht="20.100000000000001" customHeight="1">
      <c r="A38" s="42">
        <v>26</v>
      </c>
      <c r="B38" s="33" t="s">
        <v>189</v>
      </c>
      <c r="C38" s="34">
        <f t="shared" si="19"/>
        <v>2022</v>
      </c>
      <c r="E38" s="84"/>
      <c r="F38" s="84">
        <v>761880825.32635558</v>
      </c>
      <c r="G38" s="84">
        <v>2646193988.4536462</v>
      </c>
      <c r="H38" s="84">
        <v>129018534.08999999</v>
      </c>
      <c r="I38" s="84">
        <v>218920187.18000004</v>
      </c>
      <c r="J38" s="84"/>
      <c r="K38" s="85"/>
      <c r="M38" s="85">
        <f t="shared" si="18"/>
        <v>3756013535.0500016</v>
      </c>
    </row>
    <row r="39" spans="1:13" ht="20.100000000000001" customHeight="1">
      <c r="A39" s="42">
        <v>27</v>
      </c>
      <c r="B39" s="33" t="s">
        <v>180</v>
      </c>
      <c r="C39" s="34">
        <f t="shared" si="19"/>
        <v>2022</v>
      </c>
      <c r="E39" s="84"/>
      <c r="F39" s="84">
        <v>786407386.80099797</v>
      </c>
      <c r="G39" s="84">
        <v>2653650758.8290033</v>
      </c>
      <c r="H39" s="84">
        <v>131444847.44999999</v>
      </c>
      <c r="I39" s="84">
        <v>218919080.25000003</v>
      </c>
      <c r="J39" s="84"/>
      <c r="K39" s="85"/>
      <c r="M39" s="85">
        <f t="shared" si="18"/>
        <v>3790422073.3300009</v>
      </c>
    </row>
    <row r="40" spans="1:13" ht="20.100000000000001" customHeight="1">
      <c r="E40" s="86"/>
      <c r="F40" s="86"/>
      <c r="G40" s="86"/>
      <c r="H40" s="86"/>
      <c r="I40" s="86"/>
      <c r="J40" s="86"/>
      <c r="K40" s="85"/>
      <c r="M40" s="85"/>
    </row>
    <row r="41" spans="1:13" ht="20.100000000000001" customHeight="1">
      <c r="A41" s="42">
        <v>28</v>
      </c>
      <c r="B41" s="33" t="s">
        <v>204</v>
      </c>
      <c r="E41" s="86">
        <f>SUM(E27:E39)/13</f>
        <v>0</v>
      </c>
      <c r="F41" s="86">
        <f>SUM(F27:F39)/13</f>
        <v>759791457.56846261</v>
      </c>
      <c r="G41" s="86">
        <f t="shared" ref="G41:J41" si="20">SUM(G27:G39)/13</f>
        <v>2606647309.3623075</v>
      </c>
      <c r="H41" s="86">
        <f>SUM(H27:H39)/13</f>
        <v>123450840.99461538</v>
      </c>
      <c r="I41" s="86">
        <f>SUM(I27:I39)/13</f>
        <v>219051413.07230771</v>
      </c>
      <c r="J41" s="86">
        <f t="shared" si="20"/>
        <v>0</v>
      </c>
      <c r="K41" s="86"/>
      <c r="M41" s="86">
        <f>SUM(M27:M39)/13</f>
        <v>3708941020.9976935</v>
      </c>
    </row>
    <row r="44" spans="1:13" ht="20.100000000000001" customHeight="1">
      <c r="B44" s="51" t="s">
        <v>528</v>
      </c>
      <c r="C44" s="52"/>
      <c r="D44" s="52"/>
      <c r="E44" s="53"/>
      <c r="F44" s="53"/>
      <c r="G44" s="54"/>
      <c r="H44" s="379"/>
      <c r="I44" s="379"/>
      <c r="J44" s="384"/>
      <c r="L44" s="33"/>
    </row>
    <row r="45" spans="1:13" ht="20.100000000000001" customHeight="1">
      <c r="B45" s="55"/>
      <c r="E45" s="40" t="s">
        <v>196</v>
      </c>
      <c r="F45" s="40" t="s">
        <v>24</v>
      </c>
      <c r="G45" s="40" t="s">
        <v>197</v>
      </c>
      <c r="H45" s="40" t="s">
        <v>199</v>
      </c>
      <c r="I45" s="40" t="s">
        <v>198</v>
      </c>
      <c r="J45" s="377" t="s">
        <v>200</v>
      </c>
      <c r="L45" s="33"/>
    </row>
    <row r="46" spans="1:13" ht="20.100000000000001" customHeight="1">
      <c r="B46" s="55"/>
      <c r="E46" s="33"/>
      <c r="F46" s="40"/>
      <c r="G46" s="40"/>
      <c r="H46" s="33"/>
      <c r="I46" s="40"/>
      <c r="J46" s="56"/>
      <c r="L46" s="33"/>
    </row>
    <row r="47" spans="1:13" ht="20.100000000000001" customHeight="1">
      <c r="B47" s="55"/>
      <c r="D47" s="36" t="s">
        <v>218</v>
      </c>
      <c r="E47" s="39" t="s">
        <v>568</v>
      </c>
      <c r="F47" s="39" t="s">
        <v>232</v>
      </c>
      <c r="G47" s="39" t="s">
        <v>548</v>
      </c>
      <c r="H47" s="39" t="s">
        <v>300</v>
      </c>
      <c r="I47" s="39" t="s">
        <v>511</v>
      </c>
      <c r="J47" s="1050" t="s">
        <v>300</v>
      </c>
      <c r="L47" s="33"/>
    </row>
    <row r="48" spans="1:13" ht="20.100000000000001" customHeight="1">
      <c r="A48" s="42">
        <v>29</v>
      </c>
      <c r="B48" s="55" t="s">
        <v>180</v>
      </c>
      <c r="C48" s="34">
        <f>C8</f>
        <v>2021</v>
      </c>
      <c r="E48" s="385"/>
      <c r="F48" s="87">
        <v>1721.08</v>
      </c>
      <c r="G48" s="87">
        <v>15612.81</v>
      </c>
      <c r="H48" s="385"/>
      <c r="I48" s="87">
        <v>732514.18</v>
      </c>
      <c r="J48" s="386"/>
      <c r="L48" s="33"/>
    </row>
    <row r="49" spans="1:12" ht="20.100000000000001" customHeight="1">
      <c r="A49" s="42">
        <v>30</v>
      </c>
      <c r="B49" s="55" t="s">
        <v>181</v>
      </c>
      <c r="C49" s="34">
        <f>C48+1</f>
        <v>2022</v>
      </c>
      <c r="E49" s="385"/>
      <c r="F49" s="87">
        <v>1721.08</v>
      </c>
      <c r="G49" s="87">
        <v>15612.81</v>
      </c>
      <c r="H49" s="385"/>
      <c r="I49" s="87">
        <v>732514.18</v>
      </c>
      <c r="J49" s="386"/>
      <c r="L49" s="33"/>
    </row>
    <row r="50" spans="1:12" ht="20.100000000000001" customHeight="1">
      <c r="A50" s="42">
        <v>31</v>
      </c>
      <c r="B50" s="55" t="s">
        <v>182</v>
      </c>
      <c r="C50" s="34">
        <f>C49</f>
        <v>2022</v>
      </c>
      <c r="E50" s="385"/>
      <c r="F50" s="87">
        <v>1721.08</v>
      </c>
      <c r="G50" s="87">
        <v>15612.81</v>
      </c>
      <c r="H50" s="385"/>
      <c r="I50" s="87">
        <v>732514.18</v>
      </c>
      <c r="J50" s="386"/>
      <c r="L50" s="33"/>
    </row>
    <row r="51" spans="1:12" ht="20.100000000000001" customHeight="1">
      <c r="A51" s="42">
        <v>32</v>
      </c>
      <c r="B51" s="55" t="s">
        <v>183</v>
      </c>
      <c r="C51" s="34">
        <f t="shared" ref="C51:C60" si="21">C50</f>
        <v>2022</v>
      </c>
      <c r="E51" s="385"/>
      <c r="F51" s="87">
        <v>1721.08</v>
      </c>
      <c r="G51" s="87">
        <v>15612.81</v>
      </c>
      <c r="H51" s="385"/>
      <c r="I51" s="87">
        <v>732514.18</v>
      </c>
      <c r="J51" s="386"/>
      <c r="L51" s="33"/>
    </row>
    <row r="52" spans="1:12" ht="20.100000000000001" customHeight="1">
      <c r="A52" s="42">
        <v>33</v>
      </c>
      <c r="B52" s="55" t="s">
        <v>184</v>
      </c>
      <c r="C52" s="34">
        <f t="shared" si="21"/>
        <v>2022</v>
      </c>
      <c r="E52" s="385"/>
      <c r="F52" s="87">
        <v>1721.08</v>
      </c>
      <c r="G52" s="87">
        <v>15612.81</v>
      </c>
      <c r="H52" s="385"/>
      <c r="I52" s="87">
        <v>732514.18</v>
      </c>
      <c r="J52" s="386"/>
      <c r="L52" s="33"/>
    </row>
    <row r="53" spans="1:12" ht="20.100000000000001" customHeight="1">
      <c r="A53" s="42">
        <v>34</v>
      </c>
      <c r="B53" s="55" t="s">
        <v>185</v>
      </c>
      <c r="C53" s="34">
        <f t="shared" si="21"/>
        <v>2022</v>
      </c>
      <c r="E53" s="385"/>
      <c r="F53" s="87">
        <v>1721.08</v>
      </c>
      <c r="G53" s="87">
        <v>15612.81</v>
      </c>
      <c r="H53" s="385"/>
      <c r="I53" s="87">
        <v>732514.18</v>
      </c>
      <c r="J53" s="386"/>
      <c r="L53" s="33"/>
    </row>
    <row r="54" spans="1:12" ht="20.100000000000001" customHeight="1">
      <c r="A54" s="42">
        <v>35</v>
      </c>
      <c r="B54" s="55" t="s">
        <v>195</v>
      </c>
      <c r="C54" s="34">
        <f t="shared" si="21"/>
        <v>2022</v>
      </c>
      <c r="E54" s="385"/>
      <c r="F54" s="87">
        <v>1721.08</v>
      </c>
      <c r="G54" s="87">
        <v>15612.81</v>
      </c>
      <c r="H54" s="385"/>
      <c r="I54" s="87">
        <v>732514.18</v>
      </c>
      <c r="J54" s="386"/>
      <c r="L54" s="33"/>
    </row>
    <row r="55" spans="1:12" ht="20.100000000000001" customHeight="1">
      <c r="A55" s="42">
        <v>36</v>
      </c>
      <c r="B55" s="55" t="s">
        <v>186</v>
      </c>
      <c r="C55" s="34">
        <f t="shared" si="21"/>
        <v>2022</v>
      </c>
      <c r="E55" s="385"/>
      <c r="F55" s="87">
        <v>1721.08</v>
      </c>
      <c r="G55" s="87">
        <v>15612.81</v>
      </c>
      <c r="H55" s="385"/>
      <c r="I55" s="87">
        <v>732514.18</v>
      </c>
      <c r="J55" s="386"/>
      <c r="L55" s="33"/>
    </row>
    <row r="56" spans="1:12" ht="20.100000000000001" customHeight="1">
      <c r="A56" s="42">
        <v>37</v>
      </c>
      <c r="B56" s="55" t="s">
        <v>187</v>
      </c>
      <c r="C56" s="34">
        <f t="shared" si="21"/>
        <v>2022</v>
      </c>
      <c r="E56" s="385"/>
      <c r="F56" s="87">
        <v>1721.08</v>
      </c>
      <c r="G56" s="87">
        <v>15612.81</v>
      </c>
      <c r="H56" s="385"/>
      <c r="I56" s="87">
        <v>732514.18</v>
      </c>
      <c r="J56" s="386"/>
      <c r="L56" s="33"/>
    </row>
    <row r="57" spans="1:12" ht="20.100000000000001" customHeight="1">
      <c r="A57" s="42">
        <v>38</v>
      </c>
      <c r="B57" s="55" t="s">
        <v>188</v>
      </c>
      <c r="C57" s="34">
        <f t="shared" si="21"/>
        <v>2022</v>
      </c>
      <c r="E57" s="385"/>
      <c r="F57" s="87">
        <v>1721.08</v>
      </c>
      <c r="G57" s="87">
        <v>15612.81</v>
      </c>
      <c r="H57" s="385"/>
      <c r="I57" s="87">
        <v>732514.18</v>
      </c>
      <c r="J57" s="386"/>
      <c r="L57" s="33"/>
    </row>
    <row r="58" spans="1:12" ht="20.100000000000001" customHeight="1">
      <c r="A58" s="42">
        <v>39</v>
      </c>
      <c r="B58" s="55" t="s">
        <v>190</v>
      </c>
      <c r="C58" s="34">
        <f t="shared" si="21"/>
        <v>2022</v>
      </c>
      <c r="E58" s="385"/>
      <c r="F58" s="87">
        <v>1721.08</v>
      </c>
      <c r="G58" s="87">
        <v>15612.81</v>
      </c>
      <c r="H58" s="385"/>
      <c r="I58" s="87">
        <v>732514.18</v>
      </c>
      <c r="J58" s="386"/>
      <c r="L58" s="33"/>
    </row>
    <row r="59" spans="1:12" ht="20.100000000000001" customHeight="1">
      <c r="A59" s="42">
        <v>40</v>
      </c>
      <c r="B59" s="55" t="s">
        <v>189</v>
      </c>
      <c r="C59" s="34">
        <f t="shared" si="21"/>
        <v>2022</v>
      </c>
      <c r="E59" s="385"/>
      <c r="F59" s="87">
        <v>1721.08</v>
      </c>
      <c r="G59" s="87">
        <v>15612.81</v>
      </c>
      <c r="H59" s="385"/>
      <c r="I59" s="87">
        <v>732514.18</v>
      </c>
      <c r="J59" s="386"/>
      <c r="L59" s="33"/>
    </row>
    <row r="60" spans="1:12" ht="20.100000000000001" customHeight="1">
      <c r="A60" s="42">
        <v>41</v>
      </c>
      <c r="B60" s="55" t="s">
        <v>180</v>
      </c>
      <c r="C60" s="34">
        <f t="shared" si="21"/>
        <v>2022</v>
      </c>
      <c r="E60" s="385"/>
      <c r="F60" s="87">
        <v>1721.08</v>
      </c>
      <c r="G60" s="87">
        <v>15612.81</v>
      </c>
      <c r="H60" s="385"/>
      <c r="I60" s="87">
        <v>732514.18</v>
      </c>
      <c r="J60" s="386"/>
      <c r="L60" s="33"/>
    </row>
    <row r="61" spans="1:12" ht="20.100000000000001" customHeight="1">
      <c r="B61" s="55"/>
      <c r="E61" s="33"/>
      <c r="F61" s="88"/>
      <c r="G61" s="33"/>
      <c r="H61" s="33"/>
      <c r="I61" s="33"/>
      <c r="J61" s="56"/>
      <c r="L61" s="33"/>
    </row>
    <row r="62" spans="1:12" ht="20.100000000000001" customHeight="1">
      <c r="A62" s="42">
        <v>42</v>
      </c>
      <c r="B62" s="57" t="s">
        <v>204</v>
      </c>
      <c r="C62" s="58"/>
      <c r="D62" s="58"/>
      <c r="E62" s="89">
        <f t="shared" ref="E62" si="22">SUM(E48:E60)/13</f>
        <v>0</v>
      </c>
      <c r="F62" s="89">
        <f>SUM(F48:F60)/13</f>
        <v>1721.0800000000002</v>
      </c>
      <c r="G62" s="89">
        <f>SUM(G48:G60)/13</f>
        <v>15612.81</v>
      </c>
      <c r="H62" s="89">
        <f>SUM(H48:H60)/13</f>
        <v>0</v>
      </c>
      <c r="I62" s="89">
        <f>SUM(I48:I60)/13</f>
        <v>732514.17999999982</v>
      </c>
      <c r="J62" s="378">
        <f>SUM(J48:J60)/13</f>
        <v>0</v>
      </c>
      <c r="L62" s="33"/>
    </row>
    <row r="64" spans="1:12" ht="20.100000000000001" customHeight="1">
      <c r="A64" s="33" t="s">
        <v>206</v>
      </c>
    </row>
    <row r="65" spans="1:2" ht="20.100000000000001" customHeight="1">
      <c r="A65" s="38" t="s">
        <v>205</v>
      </c>
      <c r="B65" s="33" t="s">
        <v>895</v>
      </c>
    </row>
    <row r="66" spans="1:2" ht="20.100000000000001" customHeight="1">
      <c r="A66" s="38" t="s">
        <v>218</v>
      </c>
      <c r="B66" s="33" t="s">
        <v>207</v>
      </c>
    </row>
    <row r="67" spans="1:2" ht="20.100000000000001" customHeight="1">
      <c r="A67" s="38" t="s">
        <v>257</v>
      </c>
      <c r="B67" s="33" t="s">
        <v>551</v>
      </c>
    </row>
    <row r="68" spans="1:2" ht="20.100000000000001" customHeight="1">
      <c r="A68" s="38" t="s">
        <v>267</v>
      </c>
      <c r="B68" s="33" t="s">
        <v>747</v>
      </c>
    </row>
    <row r="69" spans="1:2" ht="20.100000000000001" customHeight="1">
      <c r="A69" s="38" t="s">
        <v>268</v>
      </c>
      <c r="B69" s="33" t="s">
        <v>795</v>
      </c>
    </row>
    <row r="70" spans="1:2" ht="20.100000000000001" customHeight="1">
      <c r="A70" s="38" t="s">
        <v>631</v>
      </c>
      <c r="B70" s="33" t="s">
        <v>791</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4" fitToWidth="0" fitToHeight="0" orientation="portrait" r:id="rId2"/>
  <headerFooter alignWithMargins="0"/>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B0E6-1736-47A3-B69D-EE4415B67312}">
  <sheetPr codeName="Sheet13"/>
  <dimension ref="A1:M71"/>
  <sheetViews>
    <sheetView view="pageBreakPreview" topLeftCell="C20" zoomScale="80" zoomScaleNormal="70" zoomScaleSheetLayoutView="80" workbookViewId="0">
      <selection activeCell="C1" sqref="C1"/>
    </sheetView>
  </sheetViews>
  <sheetFormatPr defaultColWidth="8.88671875" defaultRowHeight="15.75"/>
  <cols>
    <col min="1" max="1" width="5.88671875" style="38" bestFit="1" customWidth="1"/>
    <col min="2" max="2" width="10.88671875" style="33" customWidth="1"/>
    <col min="3" max="3" width="13" style="33" customWidth="1"/>
    <col min="4" max="4" width="2.88671875" style="33" customWidth="1"/>
    <col min="5" max="5" width="17.109375" style="38" bestFit="1" customWidth="1"/>
    <col min="6" max="6" width="24.109375" style="38" customWidth="1"/>
    <col min="7" max="7" width="18" style="38" customWidth="1"/>
    <col min="8" max="8" width="17.109375" style="38" customWidth="1"/>
    <col min="9" max="9" width="14.6640625" style="38" customWidth="1"/>
    <col min="10" max="10" width="16.6640625" style="38" customWidth="1"/>
    <col min="11" max="11" width="14.6640625" style="38" customWidth="1"/>
    <col min="12" max="12" width="2.109375" style="38" customWidth="1"/>
    <col min="13" max="13" width="17.88671875" style="33" customWidth="1"/>
    <col min="14" max="16384" width="8.88671875" style="33"/>
  </cols>
  <sheetData>
    <row r="1" spans="1:13" ht="20.100000000000001" customHeight="1">
      <c r="E1" s="834"/>
      <c r="F1" s="834"/>
      <c r="G1" s="834"/>
      <c r="M1" s="3" t="str">
        <f>'Attachment H-11A '!K1&amp;""&amp;", Attachment 4"</f>
        <v>Attachment H -11A, Attachment 4</v>
      </c>
    </row>
    <row r="2" spans="1:13" ht="20.100000000000001" customHeight="1">
      <c r="M2" s="3" t="s">
        <v>168</v>
      </c>
    </row>
    <row r="3" spans="1:13" ht="20.100000000000001" customHeight="1">
      <c r="H3" s="40" t="s">
        <v>497</v>
      </c>
      <c r="M3" s="3" t="str">
        <f>'Attachment H-11A '!K4</f>
        <v>For the 12 months ended 12/31/2022</v>
      </c>
    </row>
    <row r="4" spans="1:13" ht="20.100000000000001" customHeight="1">
      <c r="A4" s="41"/>
    </row>
    <row r="5" spans="1:13" ht="20.100000000000001" customHeight="1">
      <c r="E5" s="372" t="s">
        <v>457</v>
      </c>
      <c r="F5" s="372" t="s">
        <v>458</v>
      </c>
      <c r="G5" s="372" t="s">
        <v>459</v>
      </c>
      <c r="H5" s="372" t="s">
        <v>460</v>
      </c>
      <c r="I5" s="372" t="s">
        <v>461</v>
      </c>
      <c r="J5" s="372" t="s">
        <v>462</v>
      </c>
      <c r="K5" s="372" t="s">
        <v>463</v>
      </c>
      <c r="L5" s="373"/>
      <c r="M5" s="38" t="s">
        <v>760</v>
      </c>
    </row>
    <row r="6" spans="1:13" ht="20.100000000000001" customHeight="1">
      <c r="E6" s="40" t="s">
        <v>196</v>
      </c>
      <c r="F6" s="40" t="s">
        <v>750</v>
      </c>
      <c r="G6" s="40" t="s">
        <v>789</v>
      </c>
      <c r="H6" s="40" t="s">
        <v>790</v>
      </c>
      <c r="I6" s="40" t="s">
        <v>199</v>
      </c>
      <c r="J6" s="40" t="s">
        <v>198</v>
      </c>
      <c r="K6" s="40" t="s">
        <v>200</v>
      </c>
      <c r="L6" s="33"/>
      <c r="M6" s="40" t="s">
        <v>9</v>
      </c>
    </row>
    <row r="7" spans="1:13" ht="20.100000000000001" customHeight="1">
      <c r="D7" s="36"/>
      <c r="E7" s="39"/>
      <c r="F7" s="39"/>
      <c r="G7" s="39"/>
      <c r="H7" s="39"/>
      <c r="I7" s="39"/>
      <c r="J7" s="39"/>
      <c r="K7" s="42"/>
      <c r="L7" s="33"/>
    </row>
    <row r="8" spans="1:13" ht="20.100000000000001" customHeight="1">
      <c r="A8" s="42">
        <v>1</v>
      </c>
      <c r="B8" s="33" t="s">
        <v>180</v>
      </c>
      <c r="C8" s="35">
        <v>2021</v>
      </c>
      <c r="E8" s="91">
        <f t="shared" ref="E8:E20" si="0">E28-E49</f>
        <v>0</v>
      </c>
      <c r="F8" s="84">
        <v>97956497.425201789</v>
      </c>
      <c r="G8" s="91">
        <f>F28-F49-F8</f>
        <v>208350683.81149518</v>
      </c>
      <c r="H8" s="91">
        <f>G28-G49+F8</f>
        <v>841220412.10520184</v>
      </c>
      <c r="I8" s="91">
        <f t="shared" ref="I8:K20" si="1">H28-H49</f>
        <v>90362854.85800001</v>
      </c>
      <c r="J8" s="91">
        <f t="shared" si="1"/>
        <v>100662082.17660834</v>
      </c>
      <c r="K8" s="91">
        <f t="shared" si="1"/>
        <v>0</v>
      </c>
      <c r="L8" s="398"/>
      <c r="M8" s="398">
        <f>SUM(E8,G8,H8,I8,J8,K8)</f>
        <v>1240596032.9513054</v>
      </c>
    </row>
    <row r="9" spans="1:13" ht="20.100000000000001" customHeight="1">
      <c r="A9" s="42">
        <v>2</v>
      </c>
      <c r="B9" s="33" t="s">
        <v>181</v>
      </c>
      <c r="C9" s="34">
        <f>C8+1</f>
        <v>2022</v>
      </c>
      <c r="E9" s="91">
        <f t="shared" si="0"/>
        <v>0</v>
      </c>
      <c r="F9" s="84">
        <v>98168900.220338419</v>
      </c>
      <c r="G9" s="91">
        <f t="shared" ref="G9:G20" si="2">F29-F50-F9</f>
        <v>209106720.05160457</v>
      </c>
      <c r="H9" s="91">
        <f t="shared" ref="H9:H20" si="3">G29-G50+F9</f>
        <v>844783180.31593454</v>
      </c>
      <c r="I9" s="91">
        <f t="shared" si="1"/>
        <v>91163454.978000015</v>
      </c>
      <c r="J9" s="91">
        <f t="shared" si="1"/>
        <v>101354208.620875</v>
      </c>
      <c r="K9" s="91">
        <f t="shared" si="1"/>
        <v>0</v>
      </c>
      <c r="L9" s="398"/>
      <c r="M9" s="398">
        <f t="shared" ref="M9:M20" si="4">SUM(E9,G9,H9,I9,J9,K9)</f>
        <v>1246407563.966414</v>
      </c>
    </row>
    <row r="10" spans="1:13" ht="20.100000000000001" customHeight="1">
      <c r="A10" s="42">
        <v>3</v>
      </c>
      <c r="B10" s="33" t="s">
        <v>182</v>
      </c>
      <c r="C10" s="34">
        <f>C9</f>
        <v>2022</v>
      </c>
      <c r="E10" s="91">
        <f t="shared" si="0"/>
        <v>0</v>
      </c>
      <c r="F10" s="84">
        <v>98321972.064894587</v>
      </c>
      <c r="G10" s="91">
        <f t="shared" si="2"/>
        <v>209641311.52289489</v>
      </c>
      <c r="H10" s="91">
        <f t="shared" si="3"/>
        <v>847519568.75727856</v>
      </c>
      <c r="I10" s="91">
        <f t="shared" si="1"/>
        <v>92075789.698000014</v>
      </c>
      <c r="J10" s="91">
        <f t="shared" si="1"/>
        <v>102045332.06722501</v>
      </c>
      <c r="K10" s="91">
        <f t="shared" si="1"/>
        <v>0</v>
      </c>
      <c r="L10" s="398"/>
      <c r="M10" s="398">
        <f t="shared" si="4"/>
        <v>1251282002.0453985</v>
      </c>
    </row>
    <row r="11" spans="1:13" ht="20.100000000000001" customHeight="1">
      <c r="A11" s="42">
        <v>4</v>
      </c>
      <c r="B11" s="33" t="s">
        <v>183</v>
      </c>
      <c r="C11" s="34">
        <f t="shared" ref="C11:C20" si="5">C10</f>
        <v>2022</v>
      </c>
      <c r="E11" s="91">
        <f t="shared" si="0"/>
        <v>0</v>
      </c>
      <c r="F11" s="84">
        <v>98486750.306043461</v>
      </c>
      <c r="G11" s="91">
        <f t="shared" si="2"/>
        <v>202012330.57153499</v>
      </c>
      <c r="H11" s="91">
        <f t="shared" si="3"/>
        <v>852891958.18640757</v>
      </c>
      <c r="I11" s="91">
        <f t="shared" si="1"/>
        <v>92883111.178000018</v>
      </c>
      <c r="J11" s="91">
        <f t="shared" si="1"/>
        <v>102731056.47281666</v>
      </c>
      <c r="K11" s="91">
        <f t="shared" si="1"/>
        <v>0</v>
      </c>
      <c r="L11" s="398"/>
      <c r="M11" s="398">
        <f t="shared" si="4"/>
        <v>1250518456.4087594</v>
      </c>
    </row>
    <row r="12" spans="1:13" ht="20.100000000000001" customHeight="1">
      <c r="A12" s="42">
        <v>5</v>
      </c>
      <c r="B12" s="33" t="s">
        <v>184</v>
      </c>
      <c r="C12" s="34">
        <f t="shared" si="5"/>
        <v>2022</v>
      </c>
      <c r="E12" s="91">
        <f t="shared" si="0"/>
        <v>0</v>
      </c>
      <c r="F12" s="84">
        <v>98722421.019128993</v>
      </c>
      <c r="G12" s="91">
        <f t="shared" si="2"/>
        <v>202490691.53732914</v>
      </c>
      <c r="H12" s="91">
        <f t="shared" si="3"/>
        <v>856471141.99866498</v>
      </c>
      <c r="I12" s="91">
        <f t="shared" si="1"/>
        <v>93697663.638000011</v>
      </c>
      <c r="J12" s="91">
        <f t="shared" si="1"/>
        <v>103415608.02453333</v>
      </c>
      <c r="K12" s="91">
        <f t="shared" si="1"/>
        <v>0</v>
      </c>
      <c r="L12" s="398"/>
      <c r="M12" s="398">
        <f t="shared" si="4"/>
        <v>1256075105.1985273</v>
      </c>
    </row>
    <row r="13" spans="1:13" ht="20.100000000000001" customHeight="1">
      <c r="A13" s="42">
        <v>6</v>
      </c>
      <c r="B13" s="33" t="s">
        <v>185</v>
      </c>
      <c r="C13" s="34">
        <f t="shared" si="5"/>
        <v>2022</v>
      </c>
      <c r="E13" s="91">
        <f t="shared" si="0"/>
        <v>0</v>
      </c>
      <c r="F13" s="84">
        <v>98962893.75612691</v>
      </c>
      <c r="G13" s="91">
        <f t="shared" si="2"/>
        <v>203203399.16139564</v>
      </c>
      <c r="H13" s="91">
        <f t="shared" si="3"/>
        <v>860430348.68602681</v>
      </c>
      <c r="I13" s="91">
        <f t="shared" si="1"/>
        <v>94511481.71800001</v>
      </c>
      <c r="J13" s="91">
        <f t="shared" si="1"/>
        <v>103582913.19119166</v>
      </c>
      <c r="K13" s="91">
        <f t="shared" si="1"/>
        <v>0</v>
      </c>
      <c r="L13" s="398"/>
      <c r="M13" s="398">
        <f>SUM(E13,G13,H13,I13,J13,K13)</f>
        <v>1261728142.7566142</v>
      </c>
    </row>
    <row r="14" spans="1:13" ht="20.100000000000001" customHeight="1">
      <c r="A14" s="42">
        <v>7</v>
      </c>
      <c r="B14" s="33" t="s">
        <v>195</v>
      </c>
      <c r="C14" s="34">
        <f t="shared" si="5"/>
        <v>2022</v>
      </c>
      <c r="E14" s="91">
        <f t="shared" si="0"/>
        <v>0</v>
      </c>
      <c r="F14" s="84">
        <v>99204596.979988202</v>
      </c>
      <c r="G14" s="91">
        <f t="shared" si="2"/>
        <v>203661211.24316382</v>
      </c>
      <c r="H14" s="91">
        <f t="shared" si="3"/>
        <v>863449984.21324337</v>
      </c>
      <c r="I14" s="91">
        <f t="shared" si="1"/>
        <v>95325064.448000014</v>
      </c>
      <c r="J14" s="91">
        <f t="shared" si="1"/>
        <v>104272751.21752501</v>
      </c>
      <c r="K14" s="91">
        <f t="shared" si="1"/>
        <v>0</v>
      </c>
      <c r="L14" s="398"/>
      <c r="M14" s="398">
        <f t="shared" si="4"/>
        <v>1266709011.1219323</v>
      </c>
    </row>
    <row r="15" spans="1:13" ht="20.100000000000001" customHeight="1">
      <c r="A15" s="42">
        <v>8</v>
      </c>
      <c r="B15" s="33" t="s">
        <v>186</v>
      </c>
      <c r="C15" s="34">
        <f t="shared" si="5"/>
        <v>2022</v>
      </c>
      <c r="E15" s="91">
        <f t="shared" si="0"/>
        <v>0</v>
      </c>
      <c r="F15" s="84">
        <v>99432464.032503694</v>
      </c>
      <c r="G15" s="91">
        <f t="shared" si="2"/>
        <v>201646902.55147406</v>
      </c>
      <c r="H15" s="91">
        <f>G35-G56+F15</f>
        <v>867999728.95390415</v>
      </c>
      <c r="I15" s="91">
        <f t="shared" si="1"/>
        <v>96142049.378000021</v>
      </c>
      <c r="J15" s="91">
        <f t="shared" si="1"/>
        <v>100033113.216925</v>
      </c>
      <c r="K15" s="91">
        <f t="shared" si="1"/>
        <v>0</v>
      </c>
      <c r="L15" s="398"/>
      <c r="M15" s="398">
        <f t="shared" si="4"/>
        <v>1265821794.1003032</v>
      </c>
    </row>
    <row r="16" spans="1:13" ht="20.100000000000001" customHeight="1">
      <c r="A16" s="42">
        <v>9</v>
      </c>
      <c r="B16" s="33" t="s">
        <v>187</v>
      </c>
      <c r="C16" s="34">
        <f t="shared" si="5"/>
        <v>2022</v>
      </c>
      <c r="E16" s="91">
        <f t="shared" si="0"/>
        <v>0</v>
      </c>
      <c r="F16" s="84">
        <v>99617968.316575542</v>
      </c>
      <c r="G16" s="91">
        <f t="shared" si="2"/>
        <v>202461081.07485712</v>
      </c>
      <c r="H16" s="91">
        <f t="shared" si="3"/>
        <v>870691879.7409116</v>
      </c>
      <c r="I16" s="91">
        <f t="shared" si="1"/>
        <v>96959780.608000025</v>
      </c>
      <c r="J16" s="91">
        <f t="shared" si="1"/>
        <v>100707367.491925</v>
      </c>
      <c r="K16" s="91">
        <f t="shared" si="1"/>
        <v>0</v>
      </c>
      <c r="L16" s="398"/>
      <c r="M16" s="398">
        <f t="shared" si="4"/>
        <v>1270820108.9156938</v>
      </c>
    </row>
    <row r="17" spans="1:13" ht="20.100000000000001" customHeight="1">
      <c r="A17" s="42">
        <v>10</v>
      </c>
      <c r="B17" s="33" t="s">
        <v>188</v>
      </c>
      <c r="C17" s="34">
        <f t="shared" si="5"/>
        <v>2022</v>
      </c>
      <c r="E17" s="91">
        <f t="shared" si="0"/>
        <v>0</v>
      </c>
      <c r="F17" s="84">
        <v>99797019.131420881</v>
      </c>
      <c r="G17" s="91">
        <f t="shared" si="2"/>
        <v>202828929.32822278</v>
      </c>
      <c r="H17" s="91">
        <f t="shared" si="3"/>
        <v>873852999.87220418</v>
      </c>
      <c r="I17" s="91">
        <f t="shared" si="1"/>
        <v>97819361.638000026</v>
      </c>
      <c r="J17" s="91">
        <f t="shared" si="1"/>
        <v>101382255.34330833</v>
      </c>
      <c r="K17" s="91">
        <f t="shared" si="1"/>
        <v>0</v>
      </c>
      <c r="L17" s="398"/>
      <c r="M17" s="398">
        <f t="shared" si="4"/>
        <v>1275883546.1817355</v>
      </c>
    </row>
    <row r="18" spans="1:13" ht="20.100000000000001" customHeight="1">
      <c r="A18" s="42">
        <v>11</v>
      </c>
      <c r="B18" s="33" t="s">
        <v>190</v>
      </c>
      <c r="C18" s="34">
        <f t="shared" si="5"/>
        <v>2022</v>
      </c>
      <c r="E18" s="91">
        <f t="shared" si="0"/>
        <v>0</v>
      </c>
      <c r="F18" s="84">
        <v>100033391.06118192</v>
      </c>
      <c r="G18" s="91">
        <f t="shared" si="2"/>
        <v>197034319.96144092</v>
      </c>
      <c r="H18" s="91">
        <f t="shared" si="3"/>
        <v>880338363.01192439</v>
      </c>
      <c r="I18" s="91">
        <f t="shared" si="1"/>
        <v>98716493.73800002</v>
      </c>
      <c r="J18" s="91">
        <f t="shared" si="1"/>
        <v>102058281.01945001</v>
      </c>
      <c r="K18" s="91">
        <f t="shared" si="1"/>
        <v>0</v>
      </c>
      <c r="L18" s="398"/>
      <c r="M18" s="398">
        <f t="shared" si="4"/>
        <v>1278147457.7308152</v>
      </c>
    </row>
    <row r="19" spans="1:13" ht="20.100000000000001" customHeight="1">
      <c r="A19" s="42">
        <v>12</v>
      </c>
      <c r="B19" s="33" t="s">
        <v>189</v>
      </c>
      <c r="C19" s="34">
        <f t="shared" si="5"/>
        <v>2022</v>
      </c>
      <c r="E19" s="91">
        <f t="shared" si="0"/>
        <v>0</v>
      </c>
      <c r="F19" s="84">
        <v>100213036.56729034</v>
      </c>
      <c r="G19" s="91">
        <f t="shared" si="2"/>
        <v>197793949.89280298</v>
      </c>
      <c r="H19" s="91">
        <f t="shared" si="3"/>
        <v>882038882.36278236</v>
      </c>
      <c r="I19" s="91">
        <f t="shared" si="1"/>
        <v>99611880.448000014</v>
      </c>
      <c r="J19" s="91">
        <f t="shared" si="1"/>
        <v>102917514.91239999</v>
      </c>
      <c r="K19" s="91">
        <f t="shared" si="1"/>
        <v>0</v>
      </c>
      <c r="L19" s="398"/>
      <c r="M19" s="398">
        <f>SUM(E19,G19,H19,I19,J19,K19)</f>
        <v>1282362227.6159854</v>
      </c>
    </row>
    <row r="20" spans="1:13" ht="20.100000000000001" customHeight="1">
      <c r="A20" s="42">
        <v>13</v>
      </c>
      <c r="B20" s="33" t="s">
        <v>180</v>
      </c>
      <c r="C20" s="34">
        <f t="shared" si="5"/>
        <v>2022</v>
      </c>
      <c r="E20" s="91">
        <f t="shared" si="0"/>
        <v>0</v>
      </c>
      <c r="F20" s="84">
        <v>100444864.34850746</v>
      </c>
      <c r="G20" s="91">
        <f t="shared" si="2"/>
        <v>200000635.43401599</v>
      </c>
      <c r="H20" s="91">
        <f t="shared" si="3"/>
        <v>886351561.82507181</v>
      </c>
      <c r="I20" s="91">
        <f t="shared" si="1"/>
        <v>100180298.87800002</v>
      </c>
      <c r="J20" s="91">
        <f t="shared" si="1"/>
        <v>103226773.61161666</v>
      </c>
      <c r="K20" s="91">
        <f t="shared" si="1"/>
        <v>0</v>
      </c>
      <c r="L20" s="398"/>
      <c r="M20" s="398">
        <f t="shared" si="4"/>
        <v>1289759269.7487044</v>
      </c>
    </row>
    <row r="21" spans="1:13" ht="20.100000000000001" customHeight="1">
      <c r="E21" s="91"/>
      <c r="F21" s="91"/>
      <c r="G21" s="91"/>
      <c r="H21" s="91"/>
      <c r="I21" s="91"/>
      <c r="J21" s="91"/>
      <c r="K21" s="91"/>
      <c r="L21" s="398"/>
      <c r="M21" s="398"/>
    </row>
    <row r="22" spans="1:13" s="43" customFormat="1" ht="20.100000000000001" customHeight="1">
      <c r="A22" s="182">
        <v>14</v>
      </c>
      <c r="B22" s="43" t="s">
        <v>204</v>
      </c>
      <c r="D22" s="47" t="s">
        <v>527</v>
      </c>
      <c r="E22" s="397">
        <f>SUM(E8:E20)/13</f>
        <v>0</v>
      </c>
      <c r="F22" s="397">
        <f>SUM(F8:F20)/13</f>
        <v>99181751.940707847</v>
      </c>
      <c r="G22" s="397">
        <f t="shared" ref="G22:K22" si="6">SUM(G8:G20)/13</f>
        <v>203094782.01094091</v>
      </c>
      <c r="H22" s="397">
        <f>SUM(H8:H20)/13</f>
        <v>863695385.38688874</v>
      </c>
      <c r="I22" s="397">
        <f>SUM(I8:I20)/13</f>
        <v>95342252.708000019</v>
      </c>
      <c r="J22" s="397">
        <f>SUM(J8:J20)/13</f>
        <v>102183789.02818462</v>
      </c>
      <c r="K22" s="397">
        <f t="shared" si="6"/>
        <v>0</v>
      </c>
      <c r="L22" s="397"/>
      <c r="M22" s="397">
        <f t="shared" ref="M22" si="7">SUM(M8:M20)/13</f>
        <v>1264316209.1340146</v>
      </c>
    </row>
    <row r="23" spans="1:13" s="43" customFormat="1" ht="20.100000000000001" customHeight="1">
      <c r="A23" s="182"/>
      <c r="D23" s="47"/>
      <c r="E23" s="397"/>
      <c r="F23" s="397"/>
      <c r="G23" s="397"/>
      <c r="H23" s="397"/>
      <c r="I23" s="397"/>
      <c r="J23" s="397"/>
      <c r="K23" s="397"/>
      <c r="L23" s="397"/>
      <c r="M23" s="397"/>
    </row>
    <row r="24" spans="1:13" ht="20.100000000000001" customHeight="1">
      <c r="A24" s="41"/>
    </row>
    <row r="25" spans="1:13" ht="20.100000000000001" customHeight="1">
      <c r="E25" s="40" t="s">
        <v>196</v>
      </c>
      <c r="F25" s="40" t="s">
        <v>24</v>
      </c>
      <c r="G25" s="40" t="s">
        <v>197</v>
      </c>
      <c r="H25" s="40" t="s">
        <v>199</v>
      </c>
      <c r="I25" s="40" t="s">
        <v>198</v>
      </c>
      <c r="J25" s="40" t="s">
        <v>200</v>
      </c>
      <c r="K25" s="33"/>
      <c r="M25" s="40" t="s">
        <v>9</v>
      </c>
    </row>
    <row r="26" spans="1:13" ht="20.100000000000001" customHeight="1">
      <c r="E26" s="40"/>
      <c r="F26" s="40"/>
      <c r="G26" s="40"/>
      <c r="H26" s="40"/>
      <c r="I26" s="40"/>
      <c r="J26" s="40"/>
      <c r="K26" s="33"/>
    </row>
    <row r="27" spans="1:13" ht="20.100000000000001" customHeight="1">
      <c r="D27" s="36" t="s">
        <v>218</v>
      </c>
      <c r="E27" s="39" t="s">
        <v>40</v>
      </c>
      <c r="F27" s="39" t="s">
        <v>208</v>
      </c>
      <c r="G27" s="39" t="s">
        <v>41</v>
      </c>
      <c r="H27" s="39" t="s">
        <v>209</v>
      </c>
      <c r="I27" s="39" t="s">
        <v>210</v>
      </c>
      <c r="J27" s="42">
        <v>356.1</v>
      </c>
      <c r="K27" s="33"/>
    </row>
    <row r="28" spans="1:13" ht="20.100000000000001" customHeight="1">
      <c r="A28" s="42">
        <v>15</v>
      </c>
      <c r="B28" s="33" t="s">
        <v>180</v>
      </c>
      <c r="C28" s="34">
        <f>C8</f>
        <v>2021</v>
      </c>
      <c r="E28" s="84"/>
      <c r="F28" s="84">
        <v>306308323.71669698</v>
      </c>
      <c r="G28" s="84">
        <v>743276265.1400001</v>
      </c>
      <c r="H28" s="84">
        <v>90362854.85800001</v>
      </c>
      <c r="I28" s="84">
        <v>100991326.24660833</v>
      </c>
      <c r="J28" s="84"/>
      <c r="K28" s="85"/>
      <c r="M28" s="85">
        <f t="shared" ref="M28:M40" si="8">SUM(E28:J28)</f>
        <v>1240938769.9613054</v>
      </c>
    </row>
    <row r="29" spans="1:13" ht="20.100000000000001" customHeight="1">
      <c r="A29" s="42">
        <v>16</v>
      </c>
      <c r="B29" s="33" t="s">
        <v>181</v>
      </c>
      <c r="C29" s="34">
        <f>C28+1</f>
        <v>2022</v>
      </c>
      <c r="E29" s="84"/>
      <c r="F29" s="84">
        <v>307276765.39194298</v>
      </c>
      <c r="G29" s="84">
        <v>746626707.76559603</v>
      </c>
      <c r="H29" s="84">
        <v>91163454.978000015</v>
      </c>
      <c r="I29" s="84">
        <v>101685025.120875</v>
      </c>
      <c r="J29" s="84"/>
      <c r="K29" s="85"/>
      <c r="M29" s="85">
        <f t="shared" si="8"/>
        <v>1246751953.2564139</v>
      </c>
    </row>
    <row r="30" spans="1:13" ht="20.100000000000001" customHeight="1">
      <c r="A30" s="42">
        <v>17</v>
      </c>
      <c r="B30" s="33" t="s">
        <v>182</v>
      </c>
      <c r="C30" s="34">
        <f>C29</f>
        <v>2022</v>
      </c>
      <c r="E30" s="84"/>
      <c r="F30" s="84">
        <v>307964431.82778949</v>
      </c>
      <c r="G30" s="84">
        <v>749210102.04238403</v>
      </c>
      <c r="H30" s="84">
        <v>92075789.698000014</v>
      </c>
      <c r="I30" s="84">
        <v>102377721.00722501</v>
      </c>
      <c r="J30" s="84"/>
      <c r="K30" s="85"/>
      <c r="M30" s="85">
        <f t="shared" si="8"/>
        <v>1251628044.5753984</v>
      </c>
    </row>
    <row r="31" spans="1:13" ht="20.100000000000001" customHeight="1">
      <c r="A31" s="42">
        <v>18</v>
      </c>
      <c r="B31" s="33" t="s">
        <v>183</v>
      </c>
      <c r="C31" s="34">
        <f t="shared" ref="C31:C40" si="9">C30</f>
        <v>2022</v>
      </c>
      <c r="E31" s="84"/>
      <c r="F31" s="84">
        <v>300500232.23757845</v>
      </c>
      <c r="G31" s="84">
        <v>754417790.91036403</v>
      </c>
      <c r="H31" s="84">
        <v>92883111.178000018</v>
      </c>
      <c r="I31" s="84">
        <v>103065017.87281667</v>
      </c>
      <c r="J31" s="84"/>
      <c r="K31" s="85"/>
      <c r="M31" s="85">
        <f>SUM(E31:J31)</f>
        <v>1250866152.1987591</v>
      </c>
    </row>
    <row r="32" spans="1:13" ht="20.100000000000001" customHeight="1">
      <c r="A32" s="42">
        <v>19</v>
      </c>
      <c r="B32" s="33" t="s">
        <v>184</v>
      </c>
      <c r="C32" s="34">
        <f t="shared" si="9"/>
        <v>2022</v>
      </c>
      <c r="E32" s="84"/>
      <c r="F32" s="84">
        <v>301214267.03645813</v>
      </c>
      <c r="G32" s="84">
        <v>757761381.67953598</v>
      </c>
      <c r="H32" s="84">
        <v>93697663.638000011</v>
      </c>
      <c r="I32" s="84">
        <v>103751141.92453334</v>
      </c>
      <c r="J32" s="84"/>
      <c r="K32" s="85"/>
      <c r="M32" s="85">
        <f t="shared" si="8"/>
        <v>1256424454.2785275</v>
      </c>
    </row>
    <row r="33" spans="1:13" ht="20.100000000000001" customHeight="1">
      <c r="A33" s="42">
        <v>20</v>
      </c>
      <c r="B33" s="33" t="s">
        <v>185</v>
      </c>
      <c r="C33" s="34">
        <f t="shared" si="9"/>
        <v>2022</v>
      </c>
      <c r="E33" s="84"/>
      <c r="F33" s="84">
        <v>302167450.51752257</v>
      </c>
      <c r="G33" s="84">
        <v>761480193.30989993</v>
      </c>
      <c r="H33" s="84">
        <v>94511481.71800001</v>
      </c>
      <c r="I33" s="84">
        <v>103920019.59119166</v>
      </c>
      <c r="J33" s="84"/>
      <c r="K33" s="85"/>
      <c r="M33" s="85">
        <f t="shared" si="8"/>
        <v>1262079145.1366143</v>
      </c>
    </row>
    <row r="34" spans="1:13" ht="20.100000000000001" customHeight="1">
      <c r="A34" s="42">
        <v>21</v>
      </c>
      <c r="B34" s="33" t="s">
        <v>195</v>
      </c>
      <c r="C34" s="34">
        <f t="shared" si="9"/>
        <v>2022</v>
      </c>
      <c r="E34" s="84"/>
      <c r="F34" s="84">
        <v>302866968.94315207</v>
      </c>
      <c r="G34" s="84">
        <v>764258203.2832551</v>
      </c>
      <c r="H34" s="84">
        <v>95325064.448000014</v>
      </c>
      <c r="I34" s="84">
        <v>104611430.047525</v>
      </c>
      <c r="J34" s="84"/>
      <c r="K34" s="85"/>
      <c r="M34" s="85">
        <f>SUM(E34:J34)</f>
        <v>1267061666.7219322</v>
      </c>
    </row>
    <row r="35" spans="1:13" ht="20.100000000000001" customHeight="1">
      <c r="A35" s="42">
        <v>22</v>
      </c>
      <c r="B35" s="33" t="s">
        <v>186</v>
      </c>
      <c r="C35" s="34">
        <f t="shared" si="9"/>
        <v>2022</v>
      </c>
      <c r="E35" s="84"/>
      <c r="F35" s="84">
        <v>301080530.42397773</v>
      </c>
      <c r="G35" s="84">
        <v>768580158.64140046</v>
      </c>
      <c r="H35" s="84">
        <v>96142049.378000021</v>
      </c>
      <c r="I35" s="84">
        <v>100373364.506925</v>
      </c>
      <c r="J35" s="84"/>
      <c r="K35" s="85"/>
      <c r="M35" s="85">
        <f t="shared" si="8"/>
        <v>1266176102.9503033</v>
      </c>
    </row>
    <row r="36" spans="1:13" ht="20.100000000000001" customHeight="1">
      <c r="A36" s="42">
        <v>23</v>
      </c>
      <c r="B36" s="33" t="s">
        <v>187</v>
      </c>
      <c r="C36" s="34">
        <f t="shared" si="9"/>
        <v>2022</v>
      </c>
      <c r="E36" s="84"/>
      <c r="F36" s="84">
        <v>302080216.35143262</v>
      </c>
      <c r="G36" s="84">
        <v>771086882.82433605</v>
      </c>
      <c r="H36" s="84">
        <v>96959780.608000025</v>
      </c>
      <c r="I36" s="84">
        <v>101049191.301925</v>
      </c>
      <c r="J36" s="84"/>
      <c r="K36" s="85"/>
      <c r="M36" s="85">
        <f t="shared" si="8"/>
        <v>1271176071.0856936</v>
      </c>
    </row>
    <row r="37" spans="1:13" ht="20.100000000000001" customHeight="1">
      <c r="A37" s="42">
        <v>24</v>
      </c>
      <c r="B37" s="33" t="s">
        <v>188</v>
      </c>
      <c r="C37" s="34">
        <f t="shared" si="9"/>
        <v>2022</v>
      </c>
      <c r="E37" s="84"/>
      <c r="F37" s="84">
        <v>302627118.53964365</v>
      </c>
      <c r="G37" s="84">
        <v>774069029.81078339</v>
      </c>
      <c r="H37" s="84">
        <v>97819361.638000026</v>
      </c>
      <c r="I37" s="84">
        <v>101725651.65330833</v>
      </c>
      <c r="J37" s="84"/>
      <c r="K37" s="85"/>
      <c r="M37" s="85">
        <f>SUM(E37:J37)</f>
        <v>1276241161.6417356</v>
      </c>
    </row>
    <row r="38" spans="1:13" ht="20.100000000000001" customHeight="1">
      <c r="A38" s="42">
        <v>25</v>
      </c>
      <c r="B38" s="33" t="s">
        <v>190</v>
      </c>
      <c r="C38" s="34">
        <f t="shared" si="9"/>
        <v>2022</v>
      </c>
      <c r="E38" s="84"/>
      <c r="F38" s="84">
        <v>297068884.22262281</v>
      </c>
      <c r="G38" s="84">
        <v>780318098.70074248</v>
      </c>
      <c r="H38" s="84">
        <v>98716493.73800002</v>
      </c>
      <c r="I38" s="84">
        <v>102403249.78945</v>
      </c>
      <c r="J38" s="84"/>
      <c r="K38" s="85"/>
      <c r="M38" s="85">
        <f t="shared" si="8"/>
        <v>1278506726.4508152</v>
      </c>
    </row>
    <row r="39" spans="1:13" ht="20.100000000000001" customHeight="1">
      <c r="A39" s="42">
        <v>26</v>
      </c>
      <c r="B39" s="33" t="s">
        <v>189</v>
      </c>
      <c r="C39" s="34">
        <f t="shared" si="9"/>
        <v>2022</v>
      </c>
      <c r="E39" s="84"/>
      <c r="F39" s="84">
        <v>298008162.78009331</v>
      </c>
      <c r="G39" s="84">
        <v>781839050.21549201</v>
      </c>
      <c r="H39" s="84">
        <v>99611880.448000014</v>
      </c>
      <c r="I39" s="84">
        <v>103264056.1724</v>
      </c>
      <c r="J39" s="84"/>
      <c r="K39" s="85"/>
      <c r="M39" s="85">
        <f t="shared" si="8"/>
        <v>1282723149.6159854</v>
      </c>
    </row>
    <row r="40" spans="1:13" ht="20.100000000000001" customHeight="1">
      <c r="A40" s="42">
        <v>27</v>
      </c>
      <c r="B40" s="33" t="s">
        <v>180</v>
      </c>
      <c r="C40" s="34">
        <f t="shared" si="9"/>
        <v>2022</v>
      </c>
      <c r="E40" s="84"/>
      <c r="F40" s="84">
        <v>300446679.22252345</v>
      </c>
      <c r="G40" s="84">
        <v>785919979.57656431</v>
      </c>
      <c r="H40" s="84">
        <v>100180298.87800002</v>
      </c>
      <c r="I40" s="84">
        <v>103574887.34161666</v>
      </c>
      <c r="J40" s="84"/>
      <c r="K40" s="85"/>
      <c r="M40" s="85">
        <f t="shared" si="8"/>
        <v>1290121845.0187044</v>
      </c>
    </row>
    <row r="41" spans="1:13" ht="20.100000000000001" customHeight="1">
      <c r="E41" s="86"/>
      <c r="F41" s="86"/>
      <c r="G41" s="86"/>
      <c r="H41" s="86"/>
      <c r="I41" s="86"/>
      <c r="J41" s="86"/>
      <c r="K41" s="85"/>
      <c r="M41" s="85"/>
    </row>
    <row r="42" spans="1:13" ht="20.100000000000001" customHeight="1">
      <c r="A42" s="42">
        <v>28</v>
      </c>
      <c r="B42" s="33" t="s">
        <v>204</v>
      </c>
      <c r="E42" s="86">
        <f t="shared" ref="E42:I42" si="10">SUM(E28:E40)/13</f>
        <v>0</v>
      </c>
      <c r="F42" s="86">
        <f t="shared" si="10"/>
        <v>302277694.70857185</v>
      </c>
      <c r="G42" s="86">
        <f t="shared" si="10"/>
        <v>764526449.53079653</v>
      </c>
      <c r="H42" s="86">
        <f t="shared" si="10"/>
        <v>95342252.708000019</v>
      </c>
      <c r="I42" s="86">
        <f t="shared" si="10"/>
        <v>102522467.89049231</v>
      </c>
      <c r="J42" s="86">
        <f>SUM(J28:J40)/13</f>
        <v>0</v>
      </c>
      <c r="K42" s="86"/>
      <c r="M42" s="86">
        <f>SUM(M28:M40)/13</f>
        <v>1264668864.8378606</v>
      </c>
    </row>
    <row r="43" spans="1:13" ht="20.100000000000001" customHeight="1"/>
    <row r="44" spans="1:13" ht="20.100000000000001" customHeight="1"/>
    <row r="45" spans="1:13" ht="20.100000000000001" customHeight="1">
      <c r="B45" s="51" t="s">
        <v>550</v>
      </c>
      <c r="C45" s="835"/>
      <c r="D45" s="835"/>
      <c r="E45" s="836"/>
      <c r="F45" s="836"/>
      <c r="G45" s="54"/>
      <c r="H45" s="379"/>
      <c r="I45" s="379"/>
      <c r="J45" s="384"/>
      <c r="L45" s="837"/>
      <c r="M45" s="838"/>
    </row>
    <row r="46" spans="1:13" ht="20.100000000000001" customHeight="1">
      <c r="B46" s="55"/>
      <c r="E46" s="40" t="s">
        <v>196</v>
      </c>
      <c r="F46" s="40" t="s">
        <v>24</v>
      </c>
      <c r="G46" s="40" t="s">
        <v>197</v>
      </c>
      <c r="H46" s="40" t="s">
        <v>199</v>
      </c>
      <c r="I46" s="40" t="s">
        <v>198</v>
      </c>
      <c r="J46" s="377" t="s">
        <v>200</v>
      </c>
      <c r="L46" s="33"/>
    </row>
    <row r="47" spans="1:13" ht="20.100000000000001" customHeight="1">
      <c r="B47" s="55"/>
      <c r="E47" s="33"/>
      <c r="F47" s="40"/>
      <c r="G47" s="40"/>
      <c r="H47" s="33"/>
      <c r="I47" s="40"/>
      <c r="J47" s="56"/>
      <c r="L47" s="33"/>
    </row>
    <row r="48" spans="1:13" ht="20.100000000000001" customHeight="1">
      <c r="B48" s="55"/>
      <c r="D48" s="36" t="s">
        <v>218</v>
      </c>
      <c r="E48" s="33" t="s">
        <v>547</v>
      </c>
      <c r="F48" s="39" t="s">
        <v>547</v>
      </c>
      <c r="G48" s="39" t="s">
        <v>547</v>
      </c>
      <c r="H48" s="33" t="s">
        <v>547</v>
      </c>
      <c r="I48" s="39" t="s">
        <v>547</v>
      </c>
      <c r="J48" s="56" t="s">
        <v>547</v>
      </c>
      <c r="L48" s="33"/>
    </row>
    <row r="49" spans="1:12" ht="20.100000000000001" customHeight="1">
      <c r="A49" s="42">
        <v>29</v>
      </c>
      <c r="B49" s="55" t="s">
        <v>180</v>
      </c>
      <c r="C49" s="34">
        <f>C8</f>
        <v>2021</v>
      </c>
      <c r="E49" s="385"/>
      <c r="F49" s="84">
        <v>1142.4799999999987</v>
      </c>
      <c r="G49" s="84">
        <v>12350.460000000003</v>
      </c>
      <c r="H49" s="385"/>
      <c r="I49" s="84">
        <v>329244.07</v>
      </c>
      <c r="J49" s="386"/>
      <c r="L49" s="33"/>
    </row>
    <row r="50" spans="1:12" ht="20.100000000000001" customHeight="1">
      <c r="A50" s="42">
        <v>30</v>
      </c>
      <c r="B50" s="55" t="s">
        <v>181</v>
      </c>
      <c r="C50" s="34">
        <f>C49+1</f>
        <v>2022</v>
      </c>
      <c r="E50" s="385"/>
      <c r="F50" s="84">
        <v>1145.1199999999999</v>
      </c>
      <c r="G50" s="84">
        <v>12427.67</v>
      </c>
      <c r="H50" s="385"/>
      <c r="I50" s="84">
        <v>330816.5</v>
      </c>
      <c r="J50" s="386"/>
      <c r="L50" s="33"/>
    </row>
    <row r="51" spans="1:12" ht="20.100000000000001" customHeight="1">
      <c r="A51" s="42">
        <v>31</v>
      </c>
      <c r="B51" s="55" t="s">
        <v>182</v>
      </c>
      <c r="C51" s="34">
        <f>C50</f>
        <v>2022</v>
      </c>
      <c r="E51" s="385"/>
      <c r="F51" s="84">
        <v>1148.2399999999998</v>
      </c>
      <c r="G51" s="84">
        <v>12505.35</v>
      </c>
      <c r="H51" s="385"/>
      <c r="I51" s="84">
        <v>332388.94</v>
      </c>
      <c r="J51" s="386"/>
      <c r="L51" s="33"/>
    </row>
    <row r="52" spans="1:12" ht="20.100000000000001" customHeight="1">
      <c r="A52" s="42">
        <v>32</v>
      </c>
      <c r="B52" s="55" t="s">
        <v>183</v>
      </c>
      <c r="C52" s="34">
        <f t="shared" ref="C52:C61" si="11">C51</f>
        <v>2022</v>
      </c>
      <c r="E52" s="385"/>
      <c r="F52" s="84">
        <v>1151.3599999999997</v>
      </c>
      <c r="G52" s="84">
        <v>12583.03</v>
      </c>
      <c r="H52" s="385"/>
      <c r="I52" s="84">
        <v>333961.40000000002</v>
      </c>
      <c r="J52" s="386"/>
      <c r="L52" s="33"/>
    </row>
    <row r="53" spans="1:12" ht="20.100000000000001" customHeight="1">
      <c r="A53" s="42">
        <v>33</v>
      </c>
      <c r="B53" s="55" t="s">
        <v>184</v>
      </c>
      <c r="C53" s="34">
        <f t="shared" si="11"/>
        <v>2022</v>
      </c>
      <c r="E53" s="385"/>
      <c r="F53" s="84">
        <v>1154.4799999999996</v>
      </c>
      <c r="G53" s="84">
        <v>12660.7</v>
      </c>
      <c r="H53" s="385"/>
      <c r="I53" s="84">
        <v>335533.90000000002</v>
      </c>
      <c r="J53" s="386"/>
      <c r="L53" s="33"/>
    </row>
    <row r="54" spans="1:12" ht="20.100000000000001" customHeight="1">
      <c r="A54" s="42">
        <v>34</v>
      </c>
      <c r="B54" s="55" t="s">
        <v>185</v>
      </c>
      <c r="C54" s="34">
        <f t="shared" si="11"/>
        <v>2022</v>
      </c>
      <c r="E54" s="385"/>
      <c r="F54" s="84">
        <v>1157.5999999999995</v>
      </c>
      <c r="G54" s="84">
        <v>12738.380000000001</v>
      </c>
      <c r="H54" s="385"/>
      <c r="I54" s="84">
        <v>337106.4</v>
      </c>
      <c r="J54" s="386"/>
      <c r="L54" s="33"/>
    </row>
    <row r="55" spans="1:12" ht="20.100000000000001" customHeight="1">
      <c r="A55" s="42">
        <v>35</v>
      </c>
      <c r="B55" s="55" t="s">
        <v>195</v>
      </c>
      <c r="C55" s="34">
        <f t="shared" si="11"/>
        <v>2022</v>
      </c>
      <c r="E55" s="385"/>
      <c r="F55" s="84">
        <v>1160.7199999999993</v>
      </c>
      <c r="G55" s="84">
        <v>12816.050000000001</v>
      </c>
      <c r="H55" s="385"/>
      <c r="I55" s="84">
        <v>338678.83</v>
      </c>
      <c r="J55" s="386"/>
      <c r="L55" s="33"/>
    </row>
    <row r="56" spans="1:12" ht="20.100000000000001" customHeight="1">
      <c r="A56" s="42">
        <v>36</v>
      </c>
      <c r="B56" s="55" t="s">
        <v>186</v>
      </c>
      <c r="C56" s="34">
        <f t="shared" si="11"/>
        <v>2022</v>
      </c>
      <c r="E56" s="385"/>
      <c r="F56" s="84">
        <v>1163.8399999999992</v>
      </c>
      <c r="G56" s="84">
        <v>12893.720000000001</v>
      </c>
      <c r="H56" s="385"/>
      <c r="I56" s="84">
        <v>340251.29000000004</v>
      </c>
      <c r="J56" s="386"/>
      <c r="L56" s="33"/>
    </row>
    <row r="57" spans="1:12" ht="20.100000000000001" customHeight="1">
      <c r="A57" s="42">
        <v>37</v>
      </c>
      <c r="B57" s="55" t="s">
        <v>187</v>
      </c>
      <c r="C57" s="34">
        <f t="shared" si="11"/>
        <v>2022</v>
      </c>
      <c r="E57" s="385"/>
      <c r="F57" s="84">
        <v>1166.9599999999991</v>
      </c>
      <c r="G57" s="84">
        <v>12971.400000000001</v>
      </c>
      <c r="H57" s="385"/>
      <c r="I57" s="84">
        <v>341823.81000000006</v>
      </c>
      <c r="J57" s="386"/>
      <c r="L57" s="33"/>
    </row>
    <row r="58" spans="1:12" ht="20.100000000000001" customHeight="1">
      <c r="A58" s="42">
        <v>38</v>
      </c>
      <c r="B58" s="55" t="s">
        <v>188</v>
      </c>
      <c r="C58" s="34">
        <f t="shared" si="11"/>
        <v>2022</v>
      </c>
      <c r="E58" s="385"/>
      <c r="F58" s="84">
        <v>1170.079999999999</v>
      </c>
      <c r="G58" s="84">
        <v>13049.070000000002</v>
      </c>
      <c r="H58" s="385"/>
      <c r="I58" s="84">
        <v>343396.31000000006</v>
      </c>
      <c r="J58" s="386"/>
      <c r="L58" s="33"/>
    </row>
    <row r="59" spans="1:12" ht="20.100000000000001" customHeight="1">
      <c r="A59" s="42">
        <v>39</v>
      </c>
      <c r="B59" s="55" t="s">
        <v>190</v>
      </c>
      <c r="C59" s="34">
        <f t="shared" si="11"/>
        <v>2022</v>
      </c>
      <c r="E59" s="385"/>
      <c r="F59" s="84">
        <v>1173.1999999999989</v>
      </c>
      <c r="G59" s="84">
        <v>13126.750000000002</v>
      </c>
      <c r="H59" s="385"/>
      <c r="I59" s="84">
        <v>344968.77000000008</v>
      </c>
      <c r="J59" s="386"/>
      <c r="L59" s="33"/>
    </row>
    <row r="60" spans="1:12" ht="20.100000000000001" customHeight="1">
      <c r="A60" s="42">
        <v>40</v>
      </c>
      <c r="B60" s="55" t="s">
        <v>189</v>
      </c>
      <c r="C60" s="34">
        <f t="shared" si="11"/>
        <v>2022</v>
      </c>
      <c r="E60" s="385"/>
      <c r="F60" s="84">
        <v>1176.3199999999988</v>
      </c>
      <c r="G60" s="84">
        <v>13204.420000000002</v>
      </c>
      <c r="H60" s="385"/>
      <c r="I60" s="84">
        <v>346541.26000000007</v>
      </c>
      <c r="J60" s="386"/>
      <c r="L60" s="33"/>
    </row>
    <row r="61" spans="1:12" ht="20.100000000000001" customHeight="1">
      <c r="A61" s="42">
        <v>41</v>
      </c>
      <c r="B61" s="55" t="s">
        <v>180</v>
      </c>
      <c r="C61" s="34">
        <f t="shared" si="11"/>
        <v>2022</v>
      </c>
      <c r="E61" s="385"/>
      <c r="F61" s="84">
        <v>1179.4399999999987</v>
      </c>
      <c r="G61" s="84">
        <v>13282.100000000002</v>
      </c>
      <c r="H61" s="385"/>
      <c r="I61" s="84">
        <v>348113.73000000004</v>
      </c>
      <c r="J61" s="386"/>
      <c r="L61" s="33"/>
    </row>
    <row r="62" spans="1:12" ht="20.100000000000001" customHeight="1">
      <c r="B62" s="55"/>
      <c r="E62" s="33"/>
      <c r="F62" s="88"/>
      <c r="G62" s="33"/>
      <c r="H62" s="33"/>
      <c r="I62" s="33"/>
      <c r="J62" s="56"/>
      <c r="L62" s="33"/>
    </row>
    <row r="63" spans="1:12" ht="20.100000000000001" customHeight="1">
      <c r="A63" s="42">
        <v>42</v>
      </c>
      <c r="B63" s="57" t="s">
        <v>204</v>
      </c>
      <c r="C63" s="58"/>
      <c r="D63" s="58"/>
      <c r="E63" s="89">
        <f t="shared" ref="E63" si="12">SUM(E49:E61)/13</f>
        <v>0</v>
      </c>
      <c r="F63" s="89">
        <f>SUM(F49:F61)/13</f>
        <v>1160.7569230769222</v>
      </c>
      <c r="G63" s="89">
        <f>SUM(G49:G61)/13</f>
        <v>12816.084615384618</v>
      </c>
      <c r="H63" s="89">
        <f>SUM(H49:H61)/13</f>
        <v>0</v>
      </c>
      <c r="I63" s="89">
        <f>SUM(I49:I61)/13</f>
        <v>338678.86230769235</v>
      </c>
      <c r="J63" s="378">
        <f>SUM(J49:J61)/13</f>
        <v>0</v>
      </c>
      <c r="L63" s="33"/>
    </row>
    <row r="65" spans="1:2" ht="20.100000000000001" customHeight="1">
      <c r="A65" s="33" t="s">
        <v>206</v>
      </c>
    </row>
    <row r="66" spans="1:2" ht="20.100000000000001" customHeight="1">
      <c r="A66" s="38" t="s">
        <v>205</v>
      </c>
      <c r="B66" s="33" t="s">
        <v>896</v>
      </c>
    </row>
    <row r="67" spans="1:2" ht="20.100000000000001" customHeight="1">
      <c r="A67" s="38" t="s">
        <v>218</v>
      </c>
      <c r="B67" s="33" t="s">
        <v>207</v>
      </c>
    </row>
    <row r="68" spans="1:2" ht="20.100000000000001" customHeight="1">
      <c r="A68" s="38" t="s">
        <v>257</v>
      </c>
      <c r="B68" s="33" t="s">
        <v>552</v>
      </c>
    </row>
    <row r="69" spans="1:2" ht="20.100000000000001" customHeight="1">
      <c r="A69" s="38" t="s">
        <v>267</v>
      </c>
      <c r="B69" s="33" t="s">
        <v>747</v>
      </c>
    </row>
    <row r="70" spans="1:2">
      <c r="A70" s="38" t="s">
        <v>268</v>
      </c>
      <c r="B70" s="33" t="s">
        <v>795</v>
      </c>
    </row>
    <row r="71" spans="1:2" ht="20.100000000000001" customHeight="1">
      <c r="A71" s="38" t="s">
        <v>631</v>
      </c>
      <c r="B71" s="33" t="s">
        <v>791</v>
      </c>
    </row>
  </sheetData>
  <pageMargins left="0.7" right="0.7" top="0.75" bottom="0.75" header="0.3" footer="0.3"/>
  <pageSetup scale="43" orientation="portrait" r:id="rId1"/>
  <ignoredErrors>
    <ignoredError sqref="J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36"/>
  <sheetViews>
    <sheetView view="pageBreakPreview" zoomScale="80" zoomScaleNormal="80" zoomScaleSheetLayoutView="80" workbookViewId="0">
      <selection activeCell="B2" sqref="B2"/>
    </sheetView>
  </sheetViews>
  <sheetFormatPr defaultColWidth="8.88671875" defaultRowHeight="20.100000000000001" customHeight="1"/>
  <cols>
    <col min="1" max="1" width="3.5546875" style="38" customWidth="1"/>
    <col min="2" max="2" width="17.33203125" style="33" customWidth="1"/>
    <col min="3" max="3" width="10" style="33" customWidth="1"/>
    <col min="4" max="4" width="5.6640625" style="33" customWidth="1"/>
    <col min="5" max="5" width="15.109375" style="38" customWidth="1"/>
    <col min="6" max="6" width="15.5546875" style="38" customWidth="1"/>
    <col min="7" max="7" width="15" style="38" customWidth="1"/>
    <col min="8" max="8" width="16" style="38" customWidth="1"/>
    <col min="9" max="10" width="16.33203125" style="38" customWidth="1"/>
    <col min="11" max="11" width="18.109375" style="33" customWidth="1"/>
    <col min="12" max="12" width="15.88671875" style="33" customWidth="1"/>
    <col min="13" max="14" width="8.88671875" style="33"/>
    <col min="15" max="15" width="12.5546875" style="33" bestFit="1" customWidth="1"/>
    <col min="16" max="16384" width="8.88671875" style="33"/>
  </cols>
  <sheetData>
    <row r="1" spans="1:13" ht="20.100000000000001" customHeight="1">
      <c r="M1" s="3" t="str">
        <f>'Attachment H-11A '!K1&amp;""&amp;", Attachment 5"</f>
        <v>Attachment H -11A, Attachment 5</v>
      </c>
    </row>
    <row r="2" spans="1:13" ht="20.100000000000001" customHeight="1">
      <c r="M2" s="3" t="s">
        <v>168</v>
      </c>
    </row>
    <row r="3" spans="1:13" ht="20.100000000000001" customHeight="1">
      <c r="M3" s="3" t="str">
        <f>'Attachment H-11A '!K4</f>
        <v>For the 12 months ended 12/31/2022</v>
      </c>
    </row>
    <row r="4" spans="1:13" ht="20.100000000000001" customHeight="1">
      <c r="A4" s="41"/>
    </row>
    <row r="5" spans="1:13" ht="20.100000000000001" customHeight="1">
      <c r="A5" s="41"/>
      <c r="E5" s="372" t="s">
        <v>457</v>
      </c>
      <c r="F5" s="372" t="s">
        <v>458</v>
      </c>
      <c r="G5" s="372" t="s">
        <v>459</v>
      </c>
      <c r="H5" s="372" t="s">
        <v>460</v>
      </c>
      <c r="I5" s="372" t="s">
        <v>461</v>
      </c>
      <c r="J5" s="372"/>
      <c r="L5" s="372" t="s">
        <v>462</v>
      </c>
    </row>
    <row r="6" spans="1:13" ht="20.100000000000001" customHeight="1">
      <c r="E6" s="1107" t="s">
        <v>541</v>
      </c>
      <c r="F6" s="1107"/>
      <c r="G6" s="1107"/>
      <c r="H6" s="1107"/>
      <c r="I6" s="1107"/>
      <c r="J6" s="1107"/>
      <c r="K6" s="1107"/>
      <c r="L6" s="1107"/>
    </row>
    <row r="7" spans="1:13" ht="20.100000000000001" customHeight="1">
      <c r="E7" s="40" t="s">
        <v>211</v>
      </c>
      <c r="F7" s="40" t="s">
        <v>212</v>
      </c>
      <c r="G7" s="40" t="s">
        <v>213</v>
      </c>
      <c r="H7" s="40" t="s">
        <v>214</v>
      </c>
      <c r="I7" s="40" t="s">
        <v>215</v>
      </c>
      <c r="J7" s="40"/>
      <c r="L7" s="40" t="s">
        <v>9</v>
      </c>
    </row>
    <row r="8" spans="1:13" ht="20.100000000000001" customHeight="1">
      <c r="E8" s="45" t="s">
        <v>217</v>
      </c>
      <c r="F8" s="45" t="s">
        <v>217</v>
      </c>
      <c r="G8" s="45" t="s">
        <v>217</v>
      </c>
      <c r="H8" s="40"/>
      <c r="I8" s="45" t="s">
        <v>217</v>
      </c>
      <c r="J8" s="45"/>
    </row>
    <row r="9" spans="1:13" ht="20.100000000000001" customHeight="1">
      <c r="D9" s="36"/>
      <c r="E9" s="39"/>
      <c r="F9" s="39" t="s">
        <v>218</v>
      </c>
      <c r="G9" s="39" t="s">
        <v>257</v>
      </c>
      <c r="H9" s="39" t="s">
        <v>267</v>
      </c>
      <c r="I9" s="39" t="s">
        <v>268</v>
      </c>
      <c r="J9" s="39"/>
    </row>
    <row r="10" spans="1:13" ht="20.100000000000001" customHeight="1">
      <c r="A10" s="42">
        <v>1</v>
      </c>
      <c r="B10" s="44" t="s">
        <v>216</v>
      </c>
      <c r="C10" s="34" t="str">
        <f>MID(M3:M3,25,10)</f>
        <v>12/31/2022</v>
      </c>
      <c r="D10" s="46" t="s">
        <v>205</v>
      </c>
      <c r="E10" s="397">
        <f>-(E15)</f>
        <v>0</v>
      </c>
      <c r="F10" s="91">
        <f>-(F15-F24-G24-H24-I24-K24-J24)</f>
        <v>-64941287.797385424</v>
      </c>
      <c r="G10" s="91">
        <f>-(G15-F28-G28-H28-I28-K28-J28)</f>
        <v>-5204793.9257359086</v>
      </c>
      <c r="H10" s="91">
        <f>H15-F32-G32-H32-I32-K32-J32</f>
        <v>4399048.7160847262</v>
      </c>
      <c r="I10" s="91">
        <v>0</v>
      </c>
      <c r="J10" s="91"/>
      <c r="L10" s="91">
        <f>SUM(E10:I10)</f>
        <v>-65747033.007036604</v>
      </c>
    </row>
    <row r="11" spans="1:13" ht="20.100000000000001" customHeight="1">
      <c r="D11" s="36"/>
      <c r="E11" s="39"/>
      <c r="F11" s="39"/>
      <c r="G11" s="39"/>
      <c r="H11" s="39"/>
      <c r="I11" s="39"/>
      <c r="J11" s="39"/>
    </row>
    <row r="13" spans="1:13" ht="20.100000000000001" customHeight="1">
      <c r="E13" s="1107" t="s">
        <v>874</v>
      </c>
      <c r="F13" s="1107"/>
      <c r="G13" s="1107"/>
      <c r="H13" s="1107"/>
      <c r="I13" s="1107"/>
      <c r="J13" s="1107"/>
      <c r="K13" s="1107"/>
      <c r="L13" s="1107"/>
    </row>
    <row r="14" spans="1:13" ht="20.100000000000001" customHeight="1">
      <c r="E14" s="40" t="s">
        <v>211</v>
      </c>
      <c r="F14" s="40" t="s">
        <v>212</v>
      </c>
      <c r="G14" s="40" t="s">
        <v>213</v>
      </c>
      <c r="H14" s="40" t="s">
        <v>214</v>
      </c>
      <c r="I14" s="40" t="s">
        <v>215</v>
      </c>
      <c r="J14" s="40"/>
      <c r="L14" s="40" t="s">
        <v>9</v>
      </c>
    </row>
    <row r="15" spans="1:13" ht="20.100000000000001" customHeight="1">
      <c r="A15" s="42">
        <v>2</v>
      </c>
      <c r="B15" s="44" t="s">
        <v>216</v>
      </c>
      <c r="C15" s="34" t="str">
        <f>C10</f>
        <v>12/31/2022</v>
      </c>
      <c r="D15" s="46" t="s">
        <v>512</v>
      </c>
      <c r="E15" s="86">
        <f>'Attachment 5a - ADIT Detail'!E13</f>
        <v>0</v>
      </c>
      <c r="F15" s="86">
        <f>'Attachment 5a - ADIT Detail'!E10</f>
        <v>61436875.973107211</v>
      </c>
      <c r="G15" s="86">
        <f>'Attachment 5a - ADIT Detail'!E11</f>
        <v>4281853.8224075474</v>
      </c>
      <c r="H15" s="86">
        <f>'Attachment 5a - ADIT Detail'!E12</f>
        <v>16045986.448667523</v>
      </c>
      <c r="I15" s="86">
        <f>'Attachment 5a - ADIT Detail'!E14</f>
        <v>0</v>
      </c>
      <c r="J15" s="86"/>
      <c r="L15" s="86">
        <f t="shared" ref="L15" si="0">SUM(E15:I15)</f>
        <v>81764716.244182289</v>
      </c>
    </row>
    <row r="16" spans="1:13" ht="20.100000000000001" customHeight="1">
      <c r="B16" s="44"/>
      <c r="C16" s="34"/>
      <c r="E16" s="45"/>
      <c r="F16" s="45"/>
      <c r="G16" s="45"/>
      <c r="H16" s="40"/>
      <c r="I16" s="45"/>
      <c r="J16" s="45"/>
    </row>
    <row r="18" spans="1:14" ht="20.100000000000001" customHeight="1">
      <c r="A18" s="33" t="s">
        <v>206</v>
      </c>
      <c r="D18" s="38"/>
      <c r="I18" s="33"/>
      <c r="J18" s="33"/>
    </row>
    <row r="19" spans="1:14" ht="33.75" customHeight="1">
      <c r="A19" s="110" t="s">
        <v>205</v>
      </c>
      <c r="B19" s="1106" t="s">
        <v>897</v>
      </c>
      <c r="C19" s="1106"/>
      <c r="D19" s="1106"/>
      <c r="E19" s="1106"/>
      <c r="F19" s="1106"/>
      <c r="G19" s="1106"/>
      <c r="H19" s="1106"/>
      <c r="I19" s="1106"/>
      <c r="J19" s="1106"/>
      <c r="K19" s="1106"/>
      <c r="L19" s="1106"/>
      <c r="M19" s="1106"/>
    </row>
    <row r="20" spans="1:14" ht="20.100000000000001" customHeight="1">
      <c r="B20" s="1108"/>
      <c r="C20" s="1108"/>
      <c r="D20" s="1108"/>
      <c r="E20" s="1108"/>
      <c r="F20" s="1108"/>
      <c r="G20" s="1108"/>
      <c r="H20" s="1108"/>
      <c r="I20" s="1108"/>
      <c r="J20" s="1108"/>
      <c r="K20" s="1108"/>
      <c r="L20" s="1108"/>
    </row>
    <row r="21" spans="1:14" ht="20.100000000000001" customHeight="1">
      <c r="A21" s="38" t="s">
        <v>218</v>
      </c>
      <c r="B21" s="1108" t="s">
        <v>269</v>
      </c>
      <c r="C21" s="1108"/>
      <c r="D21" s="1108"/>
      <c r="E21" s="1108"/>
      <c r="F21" s="1108"/>
      <c r="G21" s="1108"/>
      <c r="H21" s="1108"/>
      <c r="I21" s="1108"/>
      <c r="J21" s="1108"/>
      <c r="K21" s="1108"/>
      <c r="L21" s="1108"/>
    </row>
    <row r="22" spans="1:14" ht="20.100000000000001" customHeight="1">
      <c r="B22" s="234"/>
      <c r="C22" s="234"/>
      <c r="D22" s="234"/>
      <c r="E22" s="234"/>
      <c r="F22" s="234"/>
      <c r="I22" s="234"/>
      <c r="J22" s="234"/>
      <c r="K22" s="234"/>
    </row>
    <row r="23" spans="1:14" ht="50.25" customHeight="1">
      <c r="B23" s="234"/>
      <c r="C23" s="234"/>
      <c r="D23" s="234"/>
      <c r="E23" s="234"/>
      <c r="F23" s="100" t="s">
        <v>263</v>
      </c>
      <c r="G23" s="100" t="s">
        <v>264</v>
      </c>
      <c r="H23" s="100" t="s">
        <v>265</v>
      </c>
      <c r="I23" s="100" t="s">
        <v>513</v>
      </c>
      <c r="J23" s="697" t="s">
        <v>685</v>
      </c>
      <c r="K23" s="100" t="s">
        <v>630</v>
      </c>
      <c r="L23" s="253"/>
      <c r="M23" s="253"/>
    </row>
    <row r="24" spans="1:14" s="99" customFormat="1" ht="20.100000000000001" customHeight="1">
      <c r="A24" s="42">
        <v>3</v>
      </c>
      <c r="B24" s="234"/>
      <c r="C24" s="234"/>
      <c r="D24" s="234"/>
      <c r="E24" s="101" t="str">
        <f>C10</f>
        <v>12/31/2022</v>
      </c>
      <c r="F24" s="111"/>
      <c r="G24" s="111"/>
      <c r="H24" s="111">
        <f>'Attachment 5a - ADIT Detail'!F110</f>
        <v>-7005994.3173572049</v>
      </c>
      <c r="I24" s="111"/>
      <c r="J24" s="111"/>
      <c r="K24" s="368">
        <f>'Attachment 5c - ADIT Norm ATRR'!L67</f>
        <v>3501582.4930789899</v>
      </c>
      <c r="L24" s="86"/>
      <c r="M24" s="86"/>
      <c r="N24" s="381"/>
    </row>
    <row r="25" spans="1:14" s="99" customFormat="1" ht="20.100000000000001" customHeight="1">
      <c r="A25" s="38" t="s">
        <v>257</v>
      </c>
      <c r="B25" s="33" t="s">
        <v>266</v>
      </c>
      <c r="C25" s="33"/>
      <c r="D25" s="33"/>
      <c r="E25" s="33"/>
      <c r="F25" s="33"/>
      <c r="G25" s="33"/>
      <c r="H25" s="33"/>
      <c r="I25" s="33"/>
      <c r="J25" s="33"/>
      <c r="K25" s="33"/>
      <c r="L25" s="33"/>
      <c r="M25" s="33"/>
    </row>
    <row r="26" spans="1:14" ht="20.100000000000001" customHeight="1">
      <c r="B26" s="234"/>
      <c r="C26" s="234"/>
      <c r="D26" s="234"/>
      <c r="E26" s="234"/>
      <c r="F26" s="234"/>
      <c r="H26" s="234"/>
      <c r="I26" s="234"/>
      <c r="J26" s="234"/>
      <c r="K26" s="234"/>
      <c r="L26" s="234"/>
    </row>
    <row r="27" spans="1:14" ht="50.25" customHeight="1">
      <c r="B27" s="234"/>
      <c r="C27" s="234"/>
      <c r="D27" s="234"/>
      <c r="E27" s="234"/>
      <c r="F27" s="100" t="s">
        <v>263</v>
      </c>
      <c r="G27" s="100" t="s">
        <v>264</v>
      </c>
      <c r="H27" s="100" t="s">
        <v>265</v>
      </c>
      <c r="I27" s="100" t="s">
        <v>513</v>
      </c>
      <c r="J27" s="697" t="s">
        <v>685</v>
      </c>
      <c r="K27" s="100" t="s">
        <v>630</v>
      </c>
      <c r="L27" s="253"/>
      <c r="M27" s="253"/>
    </row>
    <row r="28" spans="1:14" s="99" customFormat="1" ht="20.100000000000001" customHeight="1">
      <c r="A28" s="42">
        <v>4</v>
      </c>
      <c r="B28" s="234"/>
      <c r="C28" s="234"/>
      <c r="D28" s="234"/>
      <c r="E28" s="101" t="str">
        <f>E24</f>
        <v>12/31/2022</v>
      </c>
      <c r="F28" s="111"/>
      <c r="G28" s="111">
        <f>'Attachment 5a - ADIT Detail'!F139</f>
        <v>292681.32789411221</v>
      </c>
      <c r="H28" s="111">
        <v>-1496724.2395802783</v>
      </c>
      <c r="I28" s="111"/>
      <c r="J28" s="111"/>
      <c r="K28" s="368">
        <f>'Attachment 5c - ADIT Norm ATRR'!L69</f>
        <v>281102.80835780501</v>
      </c>
      <c r="L28" s="86"/>
      <c r="M28" s="86"/>
    </row>
    <row r="29" spans="1:14" s="99" customFormat="1" ht="20.100000000000001" customHeight="1">
      <c r="A29" s="38" t="s">
        <v>267</v>
      </c>
      <c r="B29" s="33" t="s">
        <v>818</v>
      </c>
      <c r="C29" s="33"/>
      <c r="D29" s="33"/>
      <c r="E29" s="33"/>
      <c r="F29" s="33"/>
      <c r="G29" s="33"/>
      <c r="H29" s="33"/>
      <c r="I29" s="33"/>
      <c r="J29" s="33"/>
      <c r="K29" s="33"/>
      <c r="L29" s="33"/>
      <c r="M29" s="33"/>
    </row>
    <row r="30" spans="1:14" s="99" customFormat="1" ht="20.100000000000001" customHeight="1">
      <c r="A30" s="38"/>
      <c r="B30" s="234"/>
      <c r="C30" s="234"/>
      <c r="D30" s="234"/>
      <c r="E30" s="234"/>
      <c r="G30" s="38"/>
      <c r="H30" s="33"/>
      <c r="I30" s="33"/>
      <c r="J30" s="33"/>
      <c r="K30" s="234"/>
      <c r="L30" s="234"/>
      <c r="M30" s="33"/>
    </row>
    <row r="31" spans="1:14" s="99" customFormat="1" ht="50.25" customHeight="1">
      <c r="A31" s="38"/>
      <c r="B31" s="234"/>
      <c r="C31" s="234"/>
      <c r="D31" s="234"/>
      <c r="E31" s="101"/>
      <c r="F31" s="102" t="s">
        <v>263</v>
      </c>
      <c r="G31" s="100" t="s">
        <v>264</v>
      </c>
      <c r="H31" s="100" t="s">
        <v>265</v>
      </c>
      <c r="I31" s="100" t="s">
        <v>513</v>
      </c>
      <c r="J31" s="697" t="s">
        <v>685</v>
      </c>
      <c r="K31" s="100" t="s">
        <v>630</v>
      </c>
      <c r="L31" s="253"/>
      <c r="M31" s="253"/>
    </row>
    <row r="32" spans="1:14" s="99" customFormat="1" ht="20.100000000000001" customHeight="1">
      <c r="A32" s="42">
        <v>5</v>
      </c>
      <c r="B32" s="234"/>
      <c r="C32" s="234"/>
      <c r="D32" s="234"/>
      <c r="E32" s="101" t="str">
        <f>E28</f>
        <v>12/31/2022</v>
      </c>
      <c r="F32" s="111"/>
      <c r="G32" s="111">
        <f>'Attachment 5a - ADIT Detail'!F62</f>
        <v>885732.73816689267</v>
      </c>
      <c r="H32" s="111">
        <f>'Attachment 5a - ADIT Detail'!F60+'Attachment 5a - ADIT Detail'!F69</f>
        <v>-4775358.5386727843</v>
      </c>
      <c r="I32" s="111">
        <f>'Attachment 5a - ADIT Detail'!F67</f>
        <v>15683542.599543978</v>
      </c>
      <c r="J32" s="111"/>
      <c r="K32" s="368">
        <f>'Attachment 5c - ADIT Norm ATRR'!L65</f>
        <v>-146979.06645528972</v>
      </c>
      <c r="L32" s="86"/>
      <c r="M32" s="86"/>
    </row>
    <row r="33" spans="1:13" ht="45" customHeight="1">
      <c r="A33" s="672" t="s">
        <v>268</v>
      </c>
      <c r="B33" s="1106" t="s">
        <v>1160</v>
      </c>
      <c r="C33" s="1106"/>
      <c r="D33" s="1106"/>
      <c r="E33" s="1106"/>
      <c r="F33" s="1106"/>
      <c r="G33" s="1106"/>
      <c r="H33" s="1106"/>
      <c r="I33" s="1106"/>
      <c r="J33" s="1106"/>
      <c r="K33" s="1106"/>
      <c r="L33" s="1106"/>
    </row>
    <row r="34" spans="1:13" ht="20.100000000000001" customHeight="1">
      <c r="A34" s="38" t="s">
        <v>631</v>
      </c>
      <c r="B34" s="33" t="s">
        <v>632</v>
      </c>
      <c r="L34" s="1156"/>
      <c r="M34" s="1157"/>
    </row>
    <row r="35" spans="1:13" ht="20.100000000000001" customHeight="1">
      <c r="A35" s="38" t="s">
        <v>512</v>
      </c>
      <c r="B35" s="33" t="s">
        <v>814</v>
      </c>
      <c r="L35" s="1157"/>
      <c r="M35" s="1157"/>
    </row>
    <row r="36" spans="1:13" ht="20.100000000000001" customHeight="1">
      <c r="A36" s="38" t="s">
        <v>686</v>
      </c>
      <c r="B36" s="33" t="s">
        <v>687</v>
      </c>
      <c r="J36" s="33"/>
    </row>
  </sheetData>
  <mergeCells count="6">
    <mergeCell ref="B33:L33"/>
    <mergeCell ref="E6:L6"/>
    <mergeCell ref="E13:L13"/>
    <mergeCell ref="B19:M19"/>
    <mergeCell ref="B20:L20"/>
    <mergeCell ref="B21:L21"/>
  </mergeCells>
  <pageMargins left="0.7" right="0.7" top="0.75" bottom="0.75" header="0.3" footer="0.3"/>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222"/>
  <sheetViews>
    <sheetView view="pageBreakPreview" zoomScaleNormal="100" zoomScaleSheetLayoutView="100" workbookViewId="0"/>
  </sheetViews>
  <sheetFormatPr defaultRowHeight="12.75"/>
  <cols>
    <col min="1" max="1" width="4.33203125" style="113" customWidth="1"/>
    <col min="2" max="2" width="44.88671875" style="113" customWidth="1"/>
    <col min="3" max="3" width="12.6640625" style="113" bestFit="1" customWidth="1"/>
    <col min="4" max="4" width="13.6640625" style="113" customWidth="1"/>
    <col min="5" max="5" width="12.5546875" style="113" customWidth="1"/>
    <col min="6" max="6" width="13" style="113" customWidth="1"/>
    <col min="7" max="7" width="11.5546875" style="113" customWidth="1"/>
    <col min="8" max="10" width="13.88671875" style="113" customWidth="1"/>
    <col min="11" max="11" width="49.44140625" style="113" customWidth="1"/>
    <col min="12" max="12" width="12.88671875" style="113" customWidth="1"/>
    <col min="13" max="254" width="9.109375" style="113"/>
    <col min="255" max="255" width="3.109375" style="113" customWidth="1"/>
    <col min="256" max="256" width="33.33203125" style="113" customWidth="1"/>
    <col min="257" max="257" width="11.6640625" style="113" customWidth="1"/>
    <col min="258" max="258" width="12" style="113" customWidth="1"/>
    <col min="259" max="259" width="14.44140625" style="113" bestFit="1" customWidth="1"/>
    <col min="260" max="260" width="10.6640625" style="113" customWidth="1"/>
    <col min="261" max="261" width="11.88671875" style="113" customWidth="1"/>
    <col min="262" max="262" width="10.88671875" style="113" customWidth="1"/>
    <col min="263" max="263" width="11.5546875" style="113" customWidth="1"/>
    <col min="264" max="264" width="13.88671875" style="113" customWidth="1"/>
    <col min="265" max="265" width="2.33203125" style="113" customWidth="1"/>
    <col min="266" max="266" width="2" style="113" customWidth="1"/>
    <col min="267" max="267" width="49.44140625" style="113" customWidth="1"/>
    <col min="268" max="268" width="12.88671875" style="113" customWidth="1"/>
    <col min="269" max="510" width="9.109375" style="113"/>
    <col min="511" max="511" width="3.109375" style="113" customWidth="1"/>
    <col min="512" max="512" width="33.33203125" style="113" customWidth="1"/>
    <col min="513" max="513" width="11.6640625" style="113" customWidth="1"/>
    <col min="514" max="514" width="12" style="113" customWidth="1"/>
    <col min="515" max="515" width="14.44140625" style="113" bestFit="1" customWidth="1"/>
    <col min="516" max="516" width="10.6640625" style="113" customWidth="1"/>
    <col min="517" max="517" width="11.88671875" style="113" customWidth="1"/>
    <col min="518" max="518" width="10.88671875" style="113" customWidth="1"/>
    <col min="519" max="519" width="11.5546875" style="113" customWidth="1"/>
    <col min="520" max="520" width="13.88671875" style="113" customWidth="1"/>
    <col min="521" max="521" width="2.33203125" style="113" customWidth="1"/>
    <col min="522" max="522" width="2" style="113" customWidth="1"/>
    <col min="523" max="523" width="49.44140625" style="113" customWidth="1"/>
    <col min="524" max="524" width="12.88671875" style="113" customWidth="1"/>
    <col min="525" max="766" width="9.109375" style="113"/>
    <col min="767" max="767" width="3.109375" style="113" customWidth="1"/>
    <col min="768" max="768" width="33.33203125" style="113" customWidth="1"/>
    <col min="769" max="769" width="11.6640625" style="113" customWidth="1"/>
    <col min="770" max="770" width="12" style="113" customWidth="1"/>
    <col min="771" max="771" width="14.44140625" style="113" bestFit="1" customWidth="1"/>
    <col min="772" max="772" width="10.6640625" style="113" customWidth="1"/>
    <col min="773" max="773" width="11.88671875" style="113" customWidth="1"/>
    <col min="774" max="774" width="10.88671875" style="113" customWidth="1"/>
    <col min="775" max="775" width="11.5546875" style="113" customWidth="1"/>
    <col min="776" max="776" width="13.88671875" style="113" customWidth="1"/>
    <col min="777" max="777" width="2.33203125" style="113" customWidth="1"/>
    <col min="778" max="778" width="2" style="113" customWidth="1"/>
    <col min="779" max="779" width="49.44140625" style="113" customWidth="1"/>
    <col min="780" max="780" width="12.88671875" style="113" customWidth="1"/>
    <col min="781" max="1022" width="9.109375" style="113"/>
    <col min="1023" max="1023" width="3.109375" style="113" customWidth="1"/>
    <col min="1024" max="1024" width="33.33203125" style="113" customWidth="1"/>
    <col min="1025" max="1025" width="11.6640625" style="113" customWidth="1"/>
    <col min="1026" max="1026" width="12" style="113" customWidth="1"/>
    <col min="1027" max="1027" width="14.44140625" style="113" bestFit="1" customWidth="1"/>
    <col min="1028" max="1028" width="10.6640625" style="113" customWidth="1"/>
    <col min="1029" max="1029" width="11.88671875" style="113" customWidth="1"/>
    <col min="1030" max="1030" width="10.88671875" style="113" customWidth="1"/>
    <col min="1031" max="1031" width="11.5546875" style="113" customWidth="1"/>
    <col min="1032" max="1032" width="13.88671875" style="113" customWidth="1"/>
    <col min="1033" max="1033" width="2.33203125" style="113" customWidth="1"/>
    <col min="1034" max="1034" width="2" style="113" customWidth="1"/>
    <col min="1035" max="1035" width="49.44140625" style="113" customWidth="1"/>
    <col min="1036" max="1036" width="12.88671875" style="113" customWidth="1"/>
    <col min="1037" max="1278" width="9.109375" style="113"/>
    <col min="1279" max="1279" width="3.109375" style="113" customWidth="1"/>
    <col min="1280" max="1280" width="33.33203125" style="113" customWidth="1"/>
    <col min="1281" max="1281" width="11.6640625" style="113" customWidth="1"/>
    <col min="1282" max="1282" width="12" style="113" customWidth="1"/>
    <col min="1283" max="1283" width="14.44140625" style="113" bestFit="1" customWidth="1"/>
    <col min="1284" max="1284" width="10.6640625" style="113" customWidth="1"/>
    <col min="1285" max="1285" width="11.88671875" style="113" customWidth="1"/>
    <col min="1286" max="1286" width="10.88671875" style="113" customWidth="1"/>
    <col min="1287" max="1287" width="11.5546875" style="113" customWidth="1"/>
    <col min="1288" max="1288" width="13.88671875" style="113" customWidth="1"/>
    <col min="1289" max="1289" width="2.33203125" style="113" customWidth="1"/>
    <col min="1290" max="1290" width="2" style="113" customWidth="1"/>
    <col min="1291" max="1291" width="49.44140625" style="113" customWidth="1"/>
    <col min="1292" max="1292" width="12.88671875" style="113" customWidth="1"/>
    <col min="1293" max="1534" width="9.109375" style="113"/>
    <col min="1535" max="1535" width="3.109375" style="113" customWidth="1"/>
    <col min="1536" max="1536" width="33.33203125" style="113" customWidth="1"/>
    <col min="1537" max="1537" width="11.6640625" style="113" customWidth="1"/>
    <col min="1538" max="1538" width="12" style="113" customWidth="1"/>
    <col min="1539" max="1539" width="14.44140625" style="113" bestFit="1" customWidth="1"/>
    <col min="1540" max="1540" width="10.6640625" style="113" customWidth="1"/>
    <col min="1541" max="1541" width="11.88671875" style="113" customWidth="1"/>
    <col min="1542" max="1542" width="10.88671875" style="113" customWidth="1"/>
    <col min="1543" max="1543" width="11.5546875" style="113" customWidth="1"/>
    <col min="1544" max="1544" width="13.88671875" style="113" customWidth="1"/>
    <col min="1545" max="1545" width="2.33203125" style="113" customWidth="1"/>
    <col min="1546" max="1546" width="2" style="113" customWidth="1"/>
    <col min="1547" max="1547" width="49.44140625" style="113" customWidth="1"/>
    <col min="1548" max="1548" width="12.88671875" style="113" customWidth="1"/>
    <col min="1549" max="1790" width="9.109375" style="113"/>
    <col min="1791" max="1791" width="3.109375" style="113" customWidth="1"/>
    <col min="1792" max="1792" width="33.33203125" style="113" customWidth="1"/>
    <col min="1793" max="1793" width="11.6640625" style="113" customWidth="1"/>
    <col min="1794" max="1794" width="12" style="113" customWidth="1"/>
    <col min="1795" max="1795" width="14.44140625" style="113" bestFit="1" customWidth="1"/>
    <col min="1796" max="1796" width="10.6640625" style="113" customWidth="1"/>
    <col min="1797" max="1797" width="11.88671875" style="113" customWidth="1"/>
    <col min="1798" max="1798" width="10.88671875" style="113" customWidth="1"/>
    <col min="1799" max="1799" width="11.5546875" style="113" customWidth="1"/>
    <col min="1800" max="1800" width="13.88671875" style="113" customWidth="1"/>
    <col min="1801" max="1801" width="2.33203125" style="113" customWidth="1"/>
    <col min="1802" max="1802" width="2" style="113" customWidth="1"/>
    <col min="1803" max="1803" width="49.44140625" style="113" customWidth="1"/>
    <col min="1804" max="1804" width="12.88671875" style="113" customWidth="1"/>
    <col min="1805" max="2046" width="9.109375" style="113"/>
    <col min="2047" max="2047" width="3.109375" style="113" customWidth="1"/>
    <col min="2048" max="2048" width="33.33203125" style="113" customWidth="1"/>
    <col min="2049" max="2049" width="11.6640625" style="113" customWidth="1"/>
    <col min="2050" max="2050" width="12" style="113" customWidth="1"/>
    <col min="2051" max="2051" width="14.44140625" style="113" bestFit="1" customWidth="1"/>
    <col min="2052" max="2052" width="10.6640625" style="113" customWidth="1"/>
    <col min="2053" max="2053" width="11.88671875" style="113" customWidth="1"/>
    <col min="2054" max="2054" width="10.88671875" style="113" customWidth="1"/>
    <col min="2055" max="2055" width="11.5546875" style="113" customWidth="1"/>
    <col min="2056" max="2056" width="13.88671875" style="113" customWidth="1"/>
    <col min="2057" max="2057" width="2.33203125" style="113" customWidth="1"/>
    <col min="2058" max="2058" width="2" style="113" customWidth="1"/>
    <col min="2059" max="2059" width="49.44140625" style="113" customWidth="1"/>
    <col min="2060" max="2060" width="12.88671875" style="113" customWidth="1"/>
    <col min="2061" max="2302" width="9.109375" style="113"/>
    <col min="2303" max="2303" width="3.109375" style="113" customWidth="1"/>
    <col min="2304" max="2304" width="33.33203125" style="113" customWidth="1"/>
    <col min="2305" max="2305" width="11.6640625" style="113" customWidth="1"/>
    <col min="2306" max="2306" width="12" style="113" customWidth="1"/>
    <col min="2307" max="2307" width="14.44140625" style="113" bestFit="1" customWidth="1"/>
    <col min="2308" max="2308" width="10.6640625" style="113" customWidth="1"/>
    <col min="2309" max="2309" width="11.88671875" style="113" customWidth="1"/>
    <col min="2310" max="2310" width="10.88671875" style="113" customWidth="1"/>
    <col min="2311" max="2311" width="11.5546875" style="113" customWidth="1"/>
    <col min="2312" max="2312" width="13.88671875" style="113" customWidth="1"/>
    <col min="2313" max="2313" width="2.33203125" style="113" customWidth="1"/>
    <col min="2314" max="2314" width="2" style="113" customWidth="1"/>
    <col min="2315" max="2315" width="49.44140625" style="113" customWidth="1"/>
    <col min="2316" max="2316" width="12.88671875" style="113" customWidth="1"/>
    <col min="2317" max="2558" width="9.109375" style="113"/>
    <col min="2559" max="2559" width="3.109375" style="113" customWidth="1"/>
    <col min="2560" max="2560" width="33.33203125" style="113" customWidth="1"/>
    <col min="2561" max="2561" width="11.6640625" style="113" customWidth="1"/>
    <col min="2562" max="2562" width="12" style="113" customWidth="1"/>
    <col min="2563" max="2563" width="14.44140625" style="113" bestFit="1" customWidth="1"/>
    <col min="2564" max="2564" width="10.6640625" style="113" customWidth="1"/>
    <col min="2565" max="2565" width="11.88671875" style="113" customWidth="1"/>
    <col min="2566" max="2566" width="10.88671875" style="113" customWidth="1"/>
    <col min="2567" max="2567" width="11.5546875" style="113" customWidth="1"/>
    <col min="2568" max="2568" width="13.88671875" style="113" customWidth="1"/>
    <col min="2569" max="2569" width="2.33203125" style="113" customWidth="1"/>
    <col min="2570" max="2570" width="2" style="113" customWidth="1"/>
    <col min="2571" max="2571" width="49.44140625" style="113" customWidth="1"/>
    <col min="2572" max="2572" width="12.88671875" style="113" customWidth="1"/>
    <col min="2573" max="2814" width="9.109375" style="113"/>
    <col min="2815" max="2815" width="3.109375" style="113" customWidth="1"/>
    <col min="2816" max="2816" width="33.33203125" style="113" customWidth="1"/>
    <col min="2817" max="2817" width="11.6640625" style="113" customWidth="1"/>
    <col min="2818" max="2818" width="12" style="113" customWidth="1"/>
    <col min="2819" max="2819" width="14.44140625" style="113" bestFit="1" customWidth="1"/>
    <col min="2820" max="2820" width="10.6640625" style="113" customWidth="1"/>
    <col min="2821" max="2821" width="11.88671875" style="113" customWidth="1"/>
    <col min="2822" max="2822" width="10.88671875" style="113" customWidth="1"/>
    <col min="2823" max="2823" width="11.5546875" style="113" customWidth="1"/>
    <col min="2824" max="2824" width="13.88671875" style="113" customWidth="1"/>
    <col min="2825" max="2825" width="2.33203125" style="113" customWidth="1"/>
    <col min="2826" max="2826" width="2" style="113" customWidth="1"/>
    <col min="2827" max="2827" width="49.44140625" style="113" customWidth="1"/>
    <col min="2828" max="2828" width="12.88671875" style="113" customWidth="1"/>
    <col min="2829" max="3070" width="9.109375" style="113"/>
    <col min="3071" max="3071" width="3.109375" style="113" customWidth="1"/>
    <col min="3072" max="3072" width="33.33203125" style="113" customWidth="1"/>
    <col min="3073" max="3073" width="11.6640625" style="113" customWidth="1"/>
    <col min="3074" max="3074" width="12" style="113" customWidth="1"/>
    <col min="3075" max="3075" width="14.44140625" style="113" bestFit="1" customWidth="1"/>
    <col min="3076" max="3076" width="10.6640625" style="113" customWidth="1"/>
    <col min="3077" max="3077" width="11.88671875" style="113" customWidth="1"/>
    <col min="3078" max="3078" width="10.88671875" style="113" customWidth="1"/>
    <col min="3079" max="3079" width="11.5546875" style="113" customWidth="1"/>
    <col min="3080" max="3080" width="13.88671875" style="113" customWidth="1"/>
    <col min="3081" max="3081" width="2.33203125" style="113" customWidth="1"/>
    <col min="3082" max="3082" width="2" style="113" customWidth="1"/>
    <col min="3083" max="3083" width="49.44140625" style="113" customWidth="1"/>
    <col min="3084" max="3084" width="12.88671875" style="113" customWidth="1"/>
    <col min="3085" max="3326" width="9.109375" style="113"/>
    <col min="3327" max="3327" width="3.109375" style="113" customWidth="1"/>
    <col min="3328" max="3328" width="33.33203125" style="113" customWidth="1"/>
    <col min="3329" max="3329" width="11.6640625" style="113" customWidth="1"/>
    <col min="3330" max="3330" width="12" style="113" customWidth="1"/>
    <col min="3331" max="3331" width="14.44140625" style="113" bestFit="1" customWidth="1"/>
    <col min="3332" max="3332" width="10.6640625" style="113" customWidth="1"/>
    <col min="3333" max="3333" width="11.88671875" style="113" customWidth="1"/>
    <col min="3334" max="3334" width="10.88671875" style="113" customWidth="1"/>
    <col min="3335" max="3335" width="11.5546875" style="113" customWidth="1"/>
    <col min="3336" max="3336" width="13.88671875" style="113" customWidth="1"/>
    <col min="3337" max="3337" width="2.33203125" style="113" customWidth="1"/>
    <col min="3338" max="3338" width="2" style="113" customWidth="1"/>
    <col min="3339" max="3339" width="49.44140625" style="113" customWidth="1"/>
    <col min="3340" max="3340" width="12.88671875" style="113" customWidth="1"/>
    <col min="3341" max="3582" width="9.109375" style="113"/>
    <col min="3583" max="3583" width="3.109375" style="113" customWidth="1"/>
    <col min="3584" max="3584" width="33.33203125" style="113" customWidth="1"/>
    <col min="3585" max="3585" width="11.6640625" style="113" customWidth="1"/>
    <col min="3586" max="3586" width="12" style="113" customWidth="1"/>
    <col min="3587" max="3587" width="14.44140625" style="113" bestFit="1" customWidth="1"/>
    <col min="3588" max="3588" width="10.6640625" style="113" customWidth="1"/>
    <col min="3589" max="3589" width="11.88671875" style="113" customWidth="1"/>
    <col min="3590" max="3590" width="10.88671875" style="113" customWidth="1"/>
    <col min="3591" max="3591" width="11.5546875" style="113" customWidth="1"/>
    <col min="3592" max="3592" width="13.88671875" style="113" customWidth="1"/>
    <col min="3593" max="3593" width="2.33203125" style="113" customWidth="1"/>
    <col min="3594" max="3594" width="2" style="113" customWidth="1"/>
    <col min="3595" max="3595" width="49.44140625" style="113" customWidth="1"/>
    <col min="3596" max="3596" width="12.88671875" style="113" customWidth="1"/>
    <col min="3597" max="3838" width="9.109375" style="113"/>
    <col min="3839" max="3839" width="3.109375" style="113" customWidth="1"/>
    <col min="3840" max="3840" width="33.33203125" style="113" customWidth="1"/>
    <col min="3841" max="3841" width="11.6640625" style="113" customWidth="1"/>
    <col min="3842" max="3842" width="12" style="113" customWidth="1"/>
    <col min="3843" max="3843" width="14.44140625" style="113" bestFit="1" customWidth="1"/>
    <col min="3844" max="3844" width="10.6640625" style="113" customWidth="1"/>
    <col min="3845" max="3845" width="11.88671875" style="113" customWidth="1"/>
    <col min="3846" max="3846" width="10.88671875" style="113" customWidth="1"/>
    <col min="3847" max="3847" width="11.5546875" style="113" customWidth="1"/>
    <col min="3848" max="3848" width="13.88671875" style="113" customWidth="1"/>
    <col min="3849" max="3849" width="2.33203125" style="113" customWidth="1"/>
    <col min="3850" max="3850" width="2" style="113" customWidth="1"/>
    <col min="3851" max="3851" width="49.44140625" style="113" customWidth="1"/>
    <col min="3852" max="3852" width="12.88671875" style="113" customWidth="1"/>
    <col min="3853" max="4094" width="9.109375" style="113"/>
    <col min="4095" max="4095" width="3.109375" style="113" customWidth="1"/>
    <col min="4096" max="4096" width="33.33203125" style="113" customWidth="1"/>
    <col min="4097" max="4097" width="11.6640625" style="113" customWidth="1"/>
    <col min="4098" max="4098" width="12" style="113" customWidth="1"/>
    <col min="4099" max="4099" width="14.44140625" style="113" bestFit="1" customWidth="1"/>
    <col min="4100" max="4100" width="10.6640625" style="113" customWidth="1"/>
    <col min="4101" max="4101" width="11.88671875" style="113" customWidth="1"/>
    <col min="4102" max="4102" width="10.88671875" style="113" customWidth="1"/>
    <col min="4103" max="4103" width="11.5546875" style="113" customWidth="1"/>
    <col min="4104" max="4104" width="13.88671875" style="113" customWidth="1"/>
    <col min="4105" max="4105" width="2.33203125" style="113" customWidth="1"/>
    <col min="4106" max="4106" width="2" style="113" customWidth="1"/>
    <col min="4107" max="4107" width="49.44140625" style="113" customWidth="1"/>
    <col min="4108" max="4108" width="12.88671875" style="113" customWidth="1"/>
    <col min="4109" max="4350" width="9.109375" style="113"/>
    <col min="4351" max="4351" width="3.109375" style="113" customWidth="1"/>
    <col min="4352" max="4352" width="33.33203125" style="113" customWidth="1"/>
    <col min="4353" max="4353" width="11.6640625" style="113" customWidth="1"/>
    <col min="4354" max="4354" width="12" style="113" customWidth="1"/>
    <col min="4355" max="4355" width="14.44140625" style="113" bestFit="1" customWidth="1"/>
    <col min="4356" max="4356" width="10.6640625" style="113" customWidth="1"/>
    <col min="4357" max="4357" width="11.88671875" style="113" customWidth="1"/>
    <col min="4358" max="4358" width="10.88671875" style="113" customWidth="1"/>
    <col min="4359" max="4359" width="11.5546875" style="113" customWidth="1"/>
    <col min="4360" max="4360" width="13.88671875" style="113" customWidth="1"/>
    <col min="4361" max="4361" width="2.33203125" style="113" customWidth="1"/>
    <col min="4362" max="4362" width="2" style="113" customWidth="1"/>
    <col min="4363" max="4363" width="49.44140625" style="113" customWidth="1"/>
    <col min="4364" max="4364" width="12.88671875" style="113" customWidth="1"/>
    <col min="4365" max="4606" width="9.109375" style="113"/>
    <col min="4607" max="4607" width="3.109375" style="113" customWidth="1"/>
    <col min="4608" max="4608" width="33.33203125" style="113" customWidth="1"/>
    <col min="4609" max="4609" width="11.6640625" style="113" customWidth="1"/>
    <col min="4610" max="4610" width="12" style="113" customWidth="1"/>
    <col min="4611" max="4611" width="14.44140625" style="113" bestFit="1" customWidth="1"/>
    <col min="4612" max="4612" width="10.6640625" style="113" customWidth="1"/>
    <col min="4613" max="4613" width="11.88671875" style="113" customWidth="1"/>
    <col min="4614" max="4614" width="10.88671875" style="113" customWidth="1"/>
    <col min="4615" max="4615" width="11.5546875" style="113" customWidth="1"/>
    <col min="4616" max="4616" width="13.88671875" style="113" customWidth="1"/>
    <col min="4617" max="4617" width="2.33203125" style="113" customWidth="1"/>
    <col min="4618" max="4618" width="2" style="113" customWidth="1"/>
    <col min="4619" max="4619" width="49.44140625" style="113" customWidth="1"/>
    <col min="4620" max="4620" width="12.88671875" style="113" customWidth="1"/>
    <col min="4621" max="4862" width="9.109375" style="113"/>
    <col min="4863" max="4863" width="3.109375" style="113" customWidth="1"/>
    <col min="4864" max="4864" width="33.33203125" style="113" customWidth="1"/>
    <col min="4865" max="4865" width="11.6640625" style="113" customWidth="1"/>
    <col min="4866" max="4866" width="12" style="113" customWidth="1"/>
    <col min="4867" max="4867" width="14.44140625" style="113" bestFit="1" customWidth="1"/>
    <col min="4868" max="4868" width="10.6640625" style="113" customWidth="1"/>
    <col min="4869" max="4869" width="11.88671875" style="113" customWidth="1"/>
    <col min="4870" max="4870" width="10.88671875" style="113" customWidth="1"/>
    <col min="4871" max="4871" width="11.5546875" style="113" customWidth="1"/>
    <col min="4872" max="4872" width="13.88671875" style="113" customWidth="1"/>
    <col min="4873" max="4873" width="2.33203125" style="113" customWidth="1"/>
    <col min="4874" max="4874" width="2" style="113" customWidth="1"/>
    <col min="4875" max="4875" width="49.44140625" style="113" customWidth="1"/>
    <col min="4876" max="4876" width="12.88671875" style="113" customWidth="1"/>
    <col min="4877" max="5118" width="9.109375" style="113"/>
    <col min="5119" max="5119" width="3.109375" style="113" customWidth="1"/>
    <col min="5120" max="5120" width="33.33203125" style="113" customWidth="1"/>
    <col min="5121" max="5121" width="11.6640625" style="113" customWidth="1"/>
    <col min="5122" max="5122" width="12" style="113" customWidth="1"/>
    <col min="5123" max="5123" width="14.44140625" style="113" bestFit="1" customWidth="1"/>
    <col min="5124" max="5124" width="10.6640625" style="113" customWidth="1"/>
    <col min="5125" max="5125" width="11.88671875" style="113" customWidth="1"/>
    <col min="5126" max="5126" width="10.88671875" style="113" customWidth="1"/>
    <col min="5127" max="5127" width="11.5546875" style="113" customWidth="1"/>
    <col min="5128" max="5128" width="13.88671875" style="113" customWidth="1"/>
    <col min="5129" max="5129" width="2.33203125" style="113" customWidth="1"/>
    <col min="5130" max="5130" width="2" style="113" customWidth="1"/>
    <col min="5131" max="5131" width="49.44140625" style="113" customWidth="1"/>
    <col min="5132" max="5132" width="12.88671875" style="113" customWidth="1"/>
    <col min="5133" max="5374" width="9.109375" style="113"/>
    <col min="5375" max="5375" width="3.109375" style="113" customWidth="1"/>
    <col min="5376" max="5376" width="33.33203125" style="113" customWidth="1"/>
    <col min="5377" max="5377" width="11.6640625" style="113" customWidth="1"/>
    <col min="5378" max="5378" width="12" style="113" customWidth="1"/>
    <col min="5379" max="5379" width="14.44140625" style="113" bestFit="1" customWidth="1"/>
    <col min="5380" max="5380" width="10.6640625" style="113" customWidth="1"/>
    <col min="5381" max="5381" width="11.88671875" style="113" customWidth="1"/>
    <col min="5382" max="5382" width="10.88671875" style="113" customWidth="1"/>
    <col min="5383" max="5383" width="11.5546875" style="113" customWidth="1"/>
    <col min="5384" max="5384" width="13.88671875" style="113" customWidth="1"/>
    <col min="5385" max="5385" width="2.33203125" style="113" customWidth="1"/>
    <col min="5386" max="5386" width="2" style="113" customWidth="1"/>
    <col min="5387" max="5387" width="49.44140625" style="113" customWidth="1"/>
    <col min="5388" max="5388" width="12.88671875" style="113" customWidth="1"/>
    <col min="5389" max="5630" width="9.109375" style="113"/>
    <col min="5631" max="5631" width="3.109375" style="113" customWidth="1"/>
    <col min="5632" max="5632" width="33.33203125" style="113" customWidth="1"/>
    <col min="5633" max="5633" width="11.6640625" style="113" customWidth="1"/>
    <col min="5634" max="5634" width="12" style="113" customWidth="1"/>
    <col min="5635" max="5635" width="14.44140625" style="113" bestFit="1" customWidth="1"/>
    <col min="5636" max="5636" width="10.6640625" style="113" customWidth="1"/>
    <col min="5637" max="5637" width="11.88671875" style="113" customWidth="1"/>
    <col min="5638" max="5638" width="10.88671875" style="113" customWidth="1"/>
    <col min="5639" max="5639" width="11.5546875" style="113" customWidth="1"/>
    <col min="5640" max="5640" width="13.88671875" style="113" customWidth="1"/>
    <col min="5641" max="5641" width="2.33203125" style="113" customWidth="1"/>
    <col min="5642" max="5642" width="2" style="113" customWidth="1"/>
    <col min="5643" max="5643" width="49.44140625" style="113" customWidth="1"/>
    <col min="5644" max="5644" width="12.88671875" style="113" customWidth="1"/>
    <col min="5645" max="5886" width="9.109375" style="113"/>
    <col min="5887" max="5887" width="3.109375" style="113" customWidth="1"/>
    <col min="5888" max="5888" width="33.33203125" style="113" customWidth="1"/>
    <col min="5889" max="5889" width="11.6640625" style="113" customWidth="1"/>
    <col min="5890" max="5890" width="12" style="113" customWidth="1"/>
    <col min="5891" max="5891" width="14.44140625" style="113" bestFit="1" customWidth="1"/>
    <col min="5892" max="5892" width="10.6640625" style="113" customWidth="1"/>
    <col min="5893" max="5893" width="11.88671875" style="113" customWidth="1"/>
    <col min="5894" max="5894" width="10.88671875" style="113" customWidth="1"/>
    <col min="5895" max="5895" width="11.5546875" style="113" customWidth="1"/>
    <col min="5896" max="5896" width="13.88671875" style="113" customWidth="1"/>
    <col min="5897" max="5897" width="2.33203125" style="113" customWidth="1"/>
    <col min="5898" max="5898" width="2" style="113" customWidth="1"/>
    <col min="5899" max="5899" width="49.44140625" style="113" customWidth="1"/>
    <col min="5900" max="5900" width="12.88671875" style="113" customWidth="1"/>
    <col min="5901" max="6142" width="9.109375" style="113"/>
    <col min="6143" max="6143" width="3.109375" style="113" customWidth="1"/>
    <col min="6144" max="6144" width="33.33203125" style="113" customWidth="1"/>
    <col min="6145" max="6145" width="11.6640625" style="113" customWidth="1"/>
    <col min="6146" max="6146" width="12" style="113" customWidth="1"/>
    <col min="6147" max="6147" width="14.44140625" style="113" bestFit="1" customWidth="1"/>
    <col min="6148" max="6148" width="10.6640625" style="113" customWidth="1"/>
    <col min="6149" max="6149" width="11.88671875" style="113" customWidth="1"/>
    <col min="6150" max="6150" width="10.88671875" style="113" customWidth="1"/>
    <col min="6151" max="6151" width="11.5546875" style="113" customWidth="1"/>
    <col min="6152" max="6152" width="13.88671875" style="113" customWidth="1"/>
    <col min="6153" max="6153" width="2.33203125" style="113" customWidth="1"/>
    <col min="6154" max="6154" width="2" style="113" customWidth="1"/>
    <col min="6155" max="6155" width="49.44140625" style="113" customWidth="1"/>
    <col min="6156" max="6156" width="12.88671875" style="113" customWidth="1"/>
    <col min="6157" max="6398" width="9.109375" style="113"/>
    <col min="6399" max="6399" width="3.109375" style="113" customWidth="1"/>
    <col min="6400" max="6400" width="33.33203125" style="113" customWidth="1"/>
    <col min="6401" max="6401" width="11.6640625" style="113" customWidth="1"/>
    <col min="6402" max="6402" width="12" style="113" customWidth="1"/>
    <col min="6403" max="6403" width="14.44140625" style="113" bestFit="1" customWidth="1"/>
    <col min="6404" max="6404" width="10.6640625" style="113" customWidth="1"/>
    <col min="6405" max="6405" width="11.88671875" style="113" customWidth="1"/>
    <col min="6406" max="6406" width="10.88671875" style="113" customWidth="1"/>
    <col min="6407" max="6407" width="11.5546875" style="113" customWidth="1"/>
    <col min="6408" max="6408" width="13.88671875" style="113" customWidth="1"/>
    <col min="6409" max="6409" width="2.33203125" style="113" customWidth="1"/>
    <col min="6410" max="6410" width="2" style="113" customWidth="1"/>
    <col min="6411" max="6411" width="49.44140625" style="113" customWidth="1"/>
    <col min="6412" max="6412" width="12.88671875" style="113" customWidth="1"/>
    <col min="6413" max="6654" width="9.109375" style="113"/>
    <col min="6655" max="6655" width="3.109375" style="113" customWidth="1"/>
    <col min="6656" max="6656" width="33.33203125" style="113" customWidth="1"/>
    <col min="6657" max="6657" width="11.6640625" style="113" customWidth="1"/>
    <col min="6658" max="6658" width="12" style="113" customWidth="1"/>
    <col min="6659" max="6659" width="14.44140625" style="113" bestFit="1" customWidth="1"/>
    <col min="6660" max="6660" width="10.6640625" style="113" customWidth="1"/>
    <col min="6661" max="6661" width="11.88671875" style="113" customWidth="1"/>
    <col min="6662" max="6662" width="10.88671875" style="113" customWidth="1"/>
    <col min="6663" max="6663" width="11.5546875" style="113" customWidth="1"/>
    <col min="6664" max="6664" width="13.88671875" style="113" customWidth="1"/>
    <col min="6665" max="6665" width="2.33203125" style="113" customWidth="1"/>
    <col min="6666" max="6666" width="2" style="113" customWidth="1"/>
    <col min="6667" max="6667" width="49.44140625" style="113" customWidth="1"/>
    <col min="6668" max="6668" width="12.88671875" style="113" customWidth="1"/>
    <col min="6669" max="6910" width="9.109375" style="113"/>
    <col min="6911" max="6911" width="3.109375" style="113" customWidth="1"/>
    <col min="6912" max="6912" width="33.33203125" style="113" customWidth="1"/>
    <col min="6913" max="6913" width="11.6640625" style="113" customWidth="1"/>
    <col min="6914" max="6914" width="12" style="113" customWidth="1"/>
    <col min="6915" max="6915" width="14.44140625" style="113" bestFit="1" customWidth="1"/>
    <col min="6916" max="6916" width="10.6640625" style="113" customWidth="1"/>
    <col min="6917" max="6917" width="11.88671875" style="113" customWidth="1"/>
    <col min="6918" max="6918" width="10.88671875" style="113" customWidth="1"/>
    <col min="6919" max="6919" width="11.5546875" style="113" customWidth="1"/>
    <col min="6920" max="6920" width="13.88671875" style="113" customWidth="1"/>
    <col min="6921" max="6921" width="2.33203125" style="113" customWidth="1"/>
    <col min="6922" max="6922" width="2" style="113" customWidth="1"/>
    <col min="6923" max="6923" width="49.44140625" style="113" customWidth="1"/>
    <col min="6924" max="6924" width="12.88671875" style="113" customWidth="1"/>
    <col min="6925" max="7166" width="9.109375" style="113"/>
    <col min="7167" max="7167" width="3.109375" style="113" customWidth="1"/>
    <col min="7168" max="7168" width="33.33203125" style="113" customWidth="1"/>
    <col min="7169" max="7169" width="11.6640625" style="113" customWidth="1"/>
    <col min="7170" max="7170" width="12" style="113" customWidth="1"/>
    <col min="7171" max="7171" width="14.44140625" style="113" bestFit="1" customWidth="1"/>
    <col min="7172" max="7172" width="10.6640625" style="113" customWidth="1"/>
    <col min="7173" max="7173" width="11.88671875" style="113" customWidth="1"/>
    <col min="7174" max="7174" width="10.88671875" style="113" customWidth="1"/>
    <col min="7175" max="7175" width="11.5546875" style="113" customWidth="1"/>
    <col min="7176" max="7176" width="13.88671875" style="113" customWidth="1"/>
    <col min="7177" max="7177" width="2.33203125" style="113" customWidth="1"/>
    <col min="7178" max="7178" width="2" style="113" customWidth="1"/>
    <col min="7179" max="7179" width="49.44140625" style="113" customWidth="1"/>
    <col min="7180" max="7180" width="12.88671875" style="113" customWidth="1"/>
    <col min="7181" max="7422" width="9.109375" style="113"/>
    <col min="7423" max="7423" width="3.109375" style="113" customWidth="1"/>
    <col min="7424" max="7424" width="33.33203125" style="113" customWidth="1"/>
    <col min="7425" max="7425" width="11.6640625" style="113" customWidth="1"/>
    <col min="7426" max="7426" width="12" style="113" customWidth="1"/>
    <col min="7427" max="7427" width="14.44140625" style="113" bestFit="1" customWidth="1"/>
    <col min="7428" max="7428" width="10.6640625" style="113" customWidth="1"/>
    <col min="7429" max="7429" width="11.88671875" style="113" customWidth="1"/>
    <col min="7430" max="7430" width="10.88671875" style="113" customWidth="1"/>
    <col min="7431" max="7431" width="11.5546875" style="113" customWidth="1"/>
    <col min="7432" max="7432" width="13.88671875" style="113" customWidth="1"/>
    <col min="7433" max="7433" width="2.33203125" style="113" customWidth="1"/>
    <col min="7434" max="7434" width="2" style="113" customWidth="1"/>
    <col min="7435" max="7435" width="49.44140625" style="113" customWidth="1"/>
    <col min="7436" max="7436" width="12.88671875" style="113" customWidth="1"/>
    <col min="7437" max="7678" width="9.109375" style="113"/>
    <col min="7679" max="7679" width="3.109375" style="113" customWidth="1"/>
    <col min="7680" max="7680" width="33.33203125" style="113" customWidth="1"/>
    <col min="7681" max="7681" width="11.6640625" style="113" customWidth="1"/>
    <col min="7682" max="7682" width="12" style="113" customWidth="1"/>
    <col min="7683" max="7683" width="14.44140625" style="113" bestFit="1" customWidth="1"/>
    <col min="7684" max="7684" width="10.6640625" style="113" customWidth="1"/>
    <col min="7685" max="7685" width="11.88671875" style="113" customWidth="1"/>
    <col min="7686" max="7686" width="10.88671875" style="113" customWidth="1"/>
    <col min="7687" max="7687" width="11.5546875" style="113" customWidth="1"/>
    <col min="7688" max="7688" width="13.88671875" style="113" customWidth="1"/>
    <col min="7689" max="7689" width="2.33203125" style="113" customWidth="1"/>
    <col min="7690" max="7690" width="2" style="113" customWidth="1"/>
    <col min="7691" max="7691" width="49.44140625" style="113" customWidth="1"/>
    <col min="7692" max="7692" width="12.88671875" style="113" customWidth="1"/>
    <col min="7693" max="7934" width="9.109375" style="113"/>
    <col min="7935" max="7935" width="3.109375" style="113" customWidth="1"/>
    <col min="7936" max="7936" width="33.33203125" style="113" customWidth="1"/>
    <col min="7937" max="7937" width="11.6640625" style="113" customWidth="1"/>
    <col min="7938" max="7938" width="12" style="113" customWidth="1"/>
    <col min="7939" max="7939" width="14.44140625" style="113" bestFit="1" customWidth="1"/>
    <col min="7940" max="7940" width="10.6640625" style="113" customWidth="1"/>
    <col min="7941" max="7941" width="11.88671875" style="113" customWidth="1"/>
    <col min="7942" max="7942" width="10.88671875" style="113" customWidth="1"/>
    <col min="7943" max="7943" width="11.5546875" style="113" customWidth="1"/>
    <col min="7944" max="7944" width="13.88671875" style="113" customWidth="1"/>
    <col min="7945" max="7945" width="2.33203125" style="113" customWidth="1"/>
    <col min="7946" max="7946" width="2" style="113" customWidth="1"/>
    <col min="7947" max="7947" width="49.44140625" style="113" customWidth="1"/>
    <col min="7948" max="7948" width="12.88671875" style="113" customWidth="1"/>
    <col min="7949" max="8190" width="9.109375" style="113"/>
    <col min="8191" max="8191" width="3.109375" style="113" customWidth="1"/>
    <col min="8192" max="8192" width="33.33203125" style="113" customWidth="1"/>
    <col min="8193" max="8193" width="11.6640625" style="113" customWidth="1"/>
    <col min="8194" max="8194" width="12" style="113" customWidth="1"/>
    <col min="8195" max="8195" width="14.44140625" style="113" bestFit="1" customWidth="1"/>
    <col min="8196" max="8196" width="10.6640625" style="113" customWidth="1"/>
    <col min="8197" max="8197" width="11.88671875" style="113" customWidth="1"/>
    <col min="8198" max="8198" width="10.88671875" style="113" customWidth="1"/>
    <col min="8199" max="8199" width="11.5546875" style="113" customWidth="1"/>
    <col min="8200" max="8200" width="13.88671875" style="113" customWidth="1"/>
    <col min="8201" max="8201" width="2.33203125" style="113" customWidth="1"/>
    <col min="8202" max="8202" width="2" style="113" customWidth="1"/>
    <col min="8203" max="8203" width="49.44140625" style="113" customWidth="1"/>
    <col min="8204" max="8204" width="12.88671875" style="113" customWidth="1"/>
    <col min="8205" max="8446" width="9.109375" style="113"/>
    <col min="8447" max="8447" width="3.109375" style="113" customWidth="1"/>
    <col min="8448" max="8448" width="33.33203125" style="113" customWidth="1"/>
    <col min="8449" max="8449" width="11.6640625" style="113" customWidth="1"/>
    <col min="8450" max="8450" width="12" style="113" customWidth="1"/>
    <col min="8451" max="8451" width="14.44140625" style="113" bestFit="1" customWidth="1"/>
    <col min="8452" max="8452" width="10.6640625" style="113" customWidth="1"/>
    <col min="8453" max="8453" width="11.88671875" style="113" customWidth="1"/>
    <col min="8454" max="8454" width="10.88671875" style="113" customWidth="1"/>
    <col min="8455" max="8455" width="11.5546875" style="113" customWidth="1"/>
    <col min="8456" max="8456" width="13.88671875" style="113" customWidth="1"/>
    <col min="8457" max="8457" width="2.33203125" style="113" customWidth="1"/>
    <col min="8458" max="8458" width="2" style="113" customWidth="1"/>
    <col min="8459" max="8459" width="49.44140625" style="113" customWidth="1"/>
    <col min="8460" max="8460" width="12.88671875" style="113" customWidth="1"/>
    <col min="8461" max="8702" width="9.109375" style="113"/>
    <col min="8703" max="8703" width="3.109375" style="113" customWidth="1"/>
    <col min="8704" max="8704" width="33.33203125" style="113" customWidth="1"/>
    <col min="8705" max="8705" width="11.6640625" style="113" customWidth="1"/>
    <col min="8706" max="8706" width="12" style="113" customWidth="1"/>
    <col min="8707" max="8707" width="14.44140625" style="113" bestFit="1" customWidth="1"/>
    <col min="8708" max="8708" width="10.6640625" style="113" customWidth="1"/>
    <col min="8709" max="8709" width="11.88671875" style="113" customWidth="1"/>
    <col min="8710" max="8710" width="10.88671875" style="113" customWidth="1"/>
    <col min="8711" max="8711" width="11.5546875" style="113" customWidth="1"/>
    <col min="8712" max="8712" width="13.88671875" style="113" customWidth="1"/>
    <col min="8713" max="8713" width="2.33203125" style="113" customWidth="1"/>
    <col min="8714" max="8714" width="2" style="113" customWidth="1"/>
    <col min="8715" max="8715" width="49.44140625" style="113" customWidth="1"/>
    <col min="8716" max="8716" width="12.88671875" style="113" customWidth="1"/>
    <col min="8717" max="8958" width="9.109375" style="113"/>
    <col min="8959" max="8959" width="3.109375" style="113" customWidth="1"/>
    <col min="8960" max="8960" width="33.33203125" style="113" customWidth="1"/>
    <col min="8961" max="8961" width="11.6640625" style="113" customWidth="1"/>
    <col min="8962" max="8962" width="12" style="113" customWidth="1"/>
    <col min="8963" max="8963" width="14.44140625" style="113" bestFit="1" customWidth="1"/>
    <col min="8964" max="8964" width="10.6640625" style="113" customWidth="1"/>
    <col min="8965" max="8965" width="11.88671875" style="113" customWidth="1"/>
    <col min="8966" max="8966" width="10.88671875" style="113" customWidth="1"/>
    <col min="8967" max="8967" width="11.5546875" style="113" customWidth="1"/>
    <col min="8968" max="8968" width="13.88671875" style="113" customWidth="1"/>
    <col min="8969" max="8969" width="2.33203125" style="113" customWidth="1"/>
    <col min="8970" max="8970" width="2" style="113" customWidth="1"/>
    <col min="8971" max="8971" width="49.44140625" style="113" customWidth="1"/>
    <col min="8972" max="8972" width="12.88671875" style="113" customWidth="1"/>
    <col min="8973" max="9214" width="9.109375" style="113"/>
    <col min="9215" max="9215" width="3.109375" style="113" customWidth="1"/>
    <col min="9216" max="9216" width="33.33203125" style="113" customWidth="1"/>
    <col min="9217" max="9217" width="11.6640625" style="113" customWidth="1"/>
    <col min="9218" max="9218" width="12" style="113" customWidth="1"/>
    <col min="9219" max="9219" width="14.44140625" style="113" bestFit="1" customWidth="1"/>
    <col min="9220" max="9220" width="10.6640625" style="113" customWidth="1"/>
    <col min="9221" max="9221" width="11.88671875" style="113" customWidth="1"/>
    <col min="9222" max="9222" width="10.88671875" style="113" customWidth="1"/>
    <col min="9223" max="9223" width="11.5546875" style="113" customWidth="1"/>
    <col min="9224" max="9224" width="13.88671875" style="113" customWidth="1"/>
    <col min="9225" max="9225" width="2.33203125" style="113" customWidth="1"/>
    <col min="9226" max="9226" width="2" style="113" customWidth="1"/>
    <col min="9227" max="9227" width="49.44140625" style="113" customWidth="1"/>
    <col min="9228" max="9228" width="12.88671875" style="113" customWidth="1"/>
    <col min="9229" max="9470" width="9.109375" style="113"/>
    <col min="9471" max="9471" width="3.109375" style="113" customWidth="1"/>
    <col min="9472" max="9472" width="33.33203125" style="113" customWidth="1"/>
    <col min="9473" max="9473" width="11.6640625" style="113" customWidth="1"/>
    <col min="9474" max="9474" width="12" style="113" customWidth="1"/>
    <col min="9475" max="9475" width="14.44140625" style="113" bestFit="1" customWidth="1"/>
    <col min="9476" max="9476" width="10.6640625" style="113" customWidth="1"/>
    <col min="9477" max="9477" width="11.88671875" style="113" customWidth="1"/>
    <col min="9478" max="9478" width="10.88671875" style="113" customWidth="1"/>
    <col min="9479" max="9479" width="11.5546875" style="113" customWidth="1"/>
    <col min="9480" max="9480" width="13.88671875" style="113" customWidth="1"/>
    <col min="9481" max="9481" width="2.33203125" style="113" customWidth="1"/>
    <col min="9482" max="9482" width="2" style="113" customWidth="1"/>
    <col min="9483" max="9483" width="49.44140625" style="113" customWidth="1"/>
    <col min="9484" max="9484" width="12.88671875" style="113" customWidth="1"/>
    <col min="9485" max="9726" width="9.109375" style="113"/>
    <col min="9727" max="9727" width="3.109375" style="113" customWidth="1"/>
    <col min="9728" max="9728" width="33.33203125" style="113" customWidth="1"/>
    <col min="9729" max="9729" width="11.6640625" style="113" customWidth="1"/>
    <col min="9730" max="9730" width="12" style="113" customWidth="1"/>
    <col min="9731" max="9731" width="14.44140625" style="113" bestFit="1" customWidth="1"/>
    <col min="9732" max="9732" width="10.6640625" style="113" customWidth="1"/>
    <col min="9733" max="9733" width="11.88671875" style="113" customWidth="1"/>
    <col min="9734" max="9734" width="10.88671875" style="113" customWidth="1"/>
    <col min="9735" max="9735" width="11.5546875" style="113" customWidth="1"/>
    <col min="9736" max="9736" width="13.88671875" style="113" customWidth="1"/>
    <col min="9737" max="9737" width="2.33203125" style="113" customWidth="1"/>
    <col min="9738" max="9738" width="2" style="113" customWidth="1"/>
    <col min="9739" max="9739" width="49.44140625" style="113" customWidth="1"/>
    <col min="9740" max="9740" width="12.88671875" style="113" customWidth="1"/>
    <col min="9741" max="9982" width="9.109375" style="113"/>
    <col min="9983" max="9983" width="3.109375" style="113" customWidth="1"/>
    <col min="9984" max="9984" width="33.33203125" style="113" customWidth="1"/>
    <col min="9985" max="9985" width="11.6640625" style="113" customWidth="1"/>
    <col min="9986" max="9986" width="12" style="113" customWidth="1"/>
    <col min="9987" max="9987" width="14.44140625" style="113" bestFit="1" customWidth="1"/>
    <col min="9988" max="9988" width="10.6640625" style="113" customWidth="1"/>
    <col min="9989" max="9989" width="11.88671875" style="113" customWidth="1"/>
    <col min="9990" max="9990" width="10.88671875" style="113" customWidth="1"/>
    <col min="9991" max="9991" width="11.5546875" style="113" customWidth="1"/>
    <col min="9992" max="9992" width="13.88671875" style="113" customWidth="1"/>
    <col min="9993" max="9993" width="2.33203125" style="113" customWidth="1"/>
    <col min="9994" max="9994" width="2" style="113" customWidth="1"/>
    <col min="9995" max="9995" width="49.44140625" style="113" customWidth="1"/>
    <col min="9996" max="9996" width="12.88671875" style="113" customWidth="1"/>
    <col min="9997" max="10238" width="9.109375" style="113"/>
    <col min="10239" max="10239" width="3.109375" style="113" customWidth="1"/>
    <col min="10240" max="10240" width="33.33203125" style="113" customWidth="1"/>
    <col min="10241" max="10241" width="11.6640625" style="113" customWidth="1"/>
    <col min="10242" max="10242" width="12" style="113" customWidth="1"/>
    <col min="10243" max="10243" width="14.44140625" style="113" bestFit="1" customWidth="1"/>
    <col min="10244" max="10244" width="10.6640625" style="113" customWidth="1"/>
    <col min="10245" max="10245" width="11.88671875" style="113" customWidth="1"/>
    <col min="10246" max="10246" width="10.88671875" style="113" customWidth="1"/>
    <col min="10247" max="10247" width="11.5546875" style="113" customWidth="1"/>
    <col min="10248" max="10248" width="13.88671875" style="113" customWidth="1"/>
    <col min="10249" max="10249" width="2.33203125" style="113" customWidth="1"/>
    <col min="10250" max="10250" width="2" style="113" customWidth="1"/>
    <col min="10251" max="10251" width="49.44140625" style="113" customWidth="1"/>
    <col min="10252" max="10252" width="12.88671875" style="113" customWidth="1"/>
    <col min="10253" max="10494" width="9.109375" style="113"/>
    <col min="10495" max="10495" width="3.109375" style="113" customWidth="1"/>
    <col min="10496" max="10496" width="33.33203125" style="113" customWidth="1"/>
    <col min="10497" max="10497" width="11.6640625" style="113" customWidth="1"/>
    <col min="10498" max="10498" width="12" style="113" customWidth="1"/>
    <col min="10499" max="10499" width="14.44140625" style="113" bestFit="1" customWidth="1"/>
    <col min="10500" max="10500" width="10.6640625" style="113" customWidth="1"/>
    <col min="10501" max="10501" width="11.88671875" style="113" customWidth="1"/>
    <col min="10502" max="10502" width="10.88671875" style="113" customWidth="1"/>
    <col min="10503" max="10503" width="11.5546875" style="113" customWidth="1"/>
    <col min="10504" max="10504" width="13.88671875" style="113" customWidth="1"/>
    <col min="10505" max="10505" width="2.33203125" style="113" customWidth="1"/>
    <col min="10506" max="10506" width="2" style="113" customWidth="1"/>
    <col min="10507" max="10507" width="49.44140625" style="113" customWidth="1"/>
    <col min="10508" max="10508" width="12.88671875" style="113" customWidth="1"/>
    <col min="10509" max="10750" width="9.109375" style="113"/>
    <col min="10751" max="10751" width="3.109375" style="113" customWidth="1"/>
    <col min="10752" max="10752" width="33.33203125" style="113" customWidth="1"/>
    <col min="10753" max="10753" width="11.6640625" style="113" customWidth="1"/>
    <col min="10754" max="10754" width="12" style="113" customWidth="1"/>
    <col min="10755" max="10755" width="14.44140625" style="113" bestFit="1" customWidth="1"/>
    <col min="10756" max="10756" width="10.6640625" style="113" customWidth="1"/>
    <col min="10757" max="10757" width="11.88671875" style="113" customWidth="1"/>
    <col min="10758" max="10758" width="10.88671875" style="113" customWidth="1"/>
    <col min="10759" max="10759" width="11.5546875" style="113" customWidth="1"/>
    <col min="10760" max="10760" width="13.88671875" style="113" customWidth="1"/>
    <col min="10761" max="10761" width="2.33203125" style="113" customWidth="1"/>
    <col min="10762" max="10762" width="2" style="113" customWidth="1"/>
    <col min="10763" max="10763" width="49.44140625" style="113" customWidth="1"/>
    <col min="10764" max="10764" width="12.88671875" style="113" customWidth="1"/>
    <col min="10765" max="11006" width="9.109375" style="113"/>
    <col min="11007" max="11007" width="3.109375" style="113" customWidth="1"/>
    <col min="11008" max="11008" width="33.33203125" style="113" customWidth="1"/>
    <col min="11009" max="11009" width="11.6640625" style="113" customWidth="1"/>
    <col min="11010" max="11010" width="12" style="113" customWidth="1"/>
    <col min="11011" max="11011" width="14.44140625" style="113" bestFit="1" customWidth="1"/>
    <col min="11012" max="11012" width="10.6640625" style="113" customWidth="1"/>
    <col min="11013" max="11013" width="11.88671875" style="113" customWidth="1"/>
    <col min="11014" max="11014" width="10.88671875" style="113" customWidth="1"/>
    <col min="11015" max="11015" width="11.5546875" style="113" customWidth="1"/>
    <col min="11016" max="11016" width="13.88671875" style="113" customWidth="1"/>
    <col min="11017" max="11017" width="2.33203125" style="113" customWidth="1"/>
    <col min="11018" max="11018" width="2" style="113" customWidth="1"/>
    <col min="11019" max="11019" width="49.44140625" style="113" customWidth="1"/>
    <col min="11020" max="11020" width="12.88671875" style="113" customWidth="1"/>
    <col min="11021" max="11262" width="9.109375" style="113"/>
    <col min="11263" max="11263" width="3.109375" style="113" customWidth="1"/>
    <col min="11264" max="11264" width="33.33203125" style="113" customWidth="1"/>
    <col min="11265" max="11265" width="11.6640625" style="113" customWidth="1"/>
    <col min="11266" max="11266" width="12" style="113" customWidth="1"/>
    <col min="11267" max="11267" width="14.44140625" style="113" bestFit="1" customWidth="1"/>
    <col min="11268" max="11268" width="10.6640625" style="113" customWidth="1"/>
    <col min="11269" max="11269" width="11.88671875" style="113" customWidth="1"/>
    <col min="11270" max="11270" width="10.88671875" style="113" customWidth="1"/>
    <col min="11271" max="11271" width="11.5546875" style="113" customWidth="1"/>
    <col min="11272" max="11272" width="13.88671875" style="113" customWidth="1"/>
    <col min="11273" max="11273" width="2.33203125" style="113" customWidth="1"/>
    <col min="11274" max="11274" width="2" style="113" customWidth="1"/>
    <col min="11275" max="11275" width="49.44140625" style="113" customWidth="1"/>
    <col min="11276" max="11276" width="12.88671875" style="113" customWidth="1"/>
    <col min="11277" max="11518" width="9.109375" style="113"/>
    <col min="11519" max="11519" width="3.109375" style="113" customWidth="1"/>
    <col min="11520" max="11520" width="33.33203125" style="113" customWidth="1"/>
    <col min="11521" max="11521" width="11.6640625" style="113" customWidth="1"/>
    <col min="11522" max="11522" width="12" style="113" customWidth="1"/>
    <col min="11523" max="11523" width="14.44140625" style="113" bestFit="1" customWidth="1"/>
    <col min="11524" max="11524" width="10.6640625" style="113" customWidth="1"/>
    <col min="11525" max="11525" width="11.88671875" style="113" customWidth="1"/>
    <col min="11526" max="11526" width="10.88671875" style="113" customWidth="1"/>
    <col min="11527" max="11527" width="11.5546875" style="113" customWidth="1"/>
    <col min="11528" max="11528" width="13.88671875" style="113" customWidth="1"/>
    <col min="11529" max="11529" width="2.33203125" style="113" customWidth="1"/>
    <col min="11530" max="11530" width="2" style="113" customWidth="1"/>
    <col min="11531" max="11531" width="49.44140625" style="113" customWidth="1"/>
    <col min="11532" max="11532" width="12.88671875" style="113" customWidth="1"/>
    <col min="11533" max="11774" width="9.109375" style="113"/>
    <col min="11775" max="11775" width="3.109375" style="113" customWidth="1"/>
    <col min="11776" max="11776" width="33.33203125" style="113" customWidth="1"/>
    <col min="11777" max="11777" width="11.6640625" style="113" customWidth="1"/>
    <col min="11778" max="11778" width="12" style="113" customWidth="1"/>
    <col min="11779" max="11779" width="14.44140625" style="113" bestFit="1" customWidth="1"/>
    <col min="11780" max="11780" width="10.6640625" style="113" customWidth="1"/>
    <col min="11781" max="11781" width="11.88671875" style="113" customWidth="1"/>
    <col min="11782" max="11782" width="10.88671875" style="113" customWidth="1"/>
    <col min="11783" max="11783" width="11.5546875" style="113" customWidth="1"/>
    <col min="11784" max="11784" width="13.88671875" style="113" customWidth="1"/>
    <col min="11785" max="11785" width="2.33203125" style="113" customWidth="1"/>
    <col min="11786" max="11786" width="2" style="113" customWidth="1"/>
    <col min="11787" max="11787" width="49.44140625" style="113" customWidth="1"/>
    <col min="11788" max="11788" width="12.88671875" style="113" customWidth="1"/>
    <col min="11789" max="12030" width="9.109375" style="113"/>
    <col min="12031" max="12031" width="3.109375" style="113" customWidth="1"/>
    <col min="12032" max="12032" width="33.33203125" style="113" customWidth="1"/>
    <col min="12033" max="12033" width="11.6640625" style="113" customWidth="1"/>
    <col min="12034" max="12034" width="12" style="113" customWidth="1"/>
    <col min="12035" max="12035" width="14.44140625" style="113" bestFit="1" customWidth="1"/>
    <col min="12036" max="12036" width="10.6640625" style="113" customWidth="1"/>
    <col min="12037" max="12037" width="11.88671875" style="113" customWidth="1"/>
    <col min="12038" max="12038" width="10.88671875" style="113" customWidth="1"/>
    <col min="12039" max="12039" width="11.5546875" style="113" customWidth="1"/>
    <col min="12040" max="12040" width="13.88671875" style="113" customWidth="1"/>
    <col min="12041" max="12041" width="2.33203125" style="113" customWidth="1"/>
    <col min="12042" max="12042" width="2" style="113" customWidth="1"/>
    <col min="12043" max="12043" width="49.44140625" style="113" customWidth="1"/>
    <col min="12044" max="12044" width="12.88671875" style="113" customWidth="1"/>
    <col min="12045" max="12286" width="9.109375" style="113"/>
    <col min="12287" max="12287" width="3.109375" style="113" customWidth="1"/>
    <col min="12288" max="12288" width="33.33203125" style="113" customWidth="1"/>
    <col min="12289" max="12289" width="11.6640625" style="113" customWidth="1"/>
    <col min="12290" max="12290" width="12" style="113" customWidth="1"/>
    <col min="12291" max="12291" width="14.44140625" style="113" bestFit="1" customWidth="1"/>
    <col min="12292" max="12292" width="10.6640625" style="113" customWidth="1"/>
    <col min="12293" max="12293" width="11.88671875" style="113" customWidth="1"/>
    <col min="12294" max="12294" width="10.88671875" style="113" customWidth="1"/>
    <col min="12295" max="12295" width="11.5546875" style="113" customWidth="1"/>
    <col min="12296" max="12296" width="13.88671875" style="113" customWidth="1"/>
    <col min="12297" max="12297" width="2.33203125" style="113" customWidth="1"/>
    <col min="12298" max="12298" width="2" style="113" customWidth="1"/>
    <col min="12299" max="12299" width="49.44140625" style="113" customWidth="1"/>
    <col min="12300" max="12300" width="12.88671875" style="113" customWidth="1"/>
    <col min="12301" max="12542" width="9.109375" style="113"/>
    <col min="12543" max="12543" width="3.109375" style="113" customWidth="1"/>
    <col min="12544" max="12544" width="33.33203125" style="113" customWidth="1"/>
    <col min="12545" max="12545" width="11.6640625" style="113" customWidth="1"/>
    <col min="12546" max="12546" width="12" style="113" customWidth="1"/>
    <col min="12547" max="12547" width="14.44140625" style="113" bestFit="1" customWidth="1"/>
    <col min="12548" max="12548" width="10.6640625" style="113" customWidth="1"/>
    <col min="12549" max="12549" width="11.88671875" style="113" customWidth="1"/>
    <col min="12550" max="12550" width="10.88671875" style="113" customWidth="1"/>
    <col min="12551" max="12551" width="11.5546875" style="113" customWidth="1"/>
    <col min="12552" max="12552" width="13.88671875" style="113" customWidth="1"/>
    <col min="12553" max="12553" width="2.33203125" style="113" customWidth="1"/>
    <col min="12554" max="12554" width="2" style="113" customWidth="1"/>
    <col min="12555" max="12555" width="49.44140625" style="113" customWidth="1"/>
    <col min="12556" max="12556" width="12.88671875" style="113" customWidth="1"/>
    <col min="12557" max="12798" width="9.109375" style="113"/>
    <col min="12799" max="12799" width="3.109375" style="113" customWidth="1"/>
    <col min="12800" max="12800" width="33.33203125" style="113" customWidth="1"/>
    <col min="12801" max="12801" width="11.6640625" style="113" customWidth="1"/>
    <col min="12802" max="12802" width="12" style="113" customWidth="1"/>
    <col min="12803" max="12803" width="14.44140625" style="113" bestFit="1" customWidth="1"/>
    <col min="12804" max="12804" width="10.6640625" style="113" customWidth="1"/>
    <col min="12805" max="12805" width="11.88671875" style="113" customWidth="1"/>
    <col min="12806" max="12806" width="10.88671875" style="113" customWidth="1"/>
    <col min="12807" max="12807" width="11.5546875" style="113" customWidth="1"/>
    <col min="12808" max="12808" width="13.88671875" style="113" customWidth="1"/>
    <col min="12809" max="12809" width="2.33203125" style="113" customWidth="1"/>
    <col min="12810" max="12810" width="2" style="113" customWidth="1"/>
    <col min="12811" max="12811" width="49.44140625" style="113" customWidth="1"/>
    <col min="12812" max="12812" width="12.88671875" style="113" customWidth="1"/>
    <col min="12813" max="13054" width="9.109375" style="113"/>
    <col min="13055" max="13055" width="3.109375" style="113" customWidth="1"/>
    <col min="13056" max="13056" width="33.33203125" style="113" customWidth="1"/>
    <col min="13057" max="13057" width="11.6640625" style="113" customWidth="1"/>
    <col min="13058" max="13058" width="12" style="113" customWidth="1"/>
    <col min="13059" max="13059" width="14.44140625" style="113" bestFit="1" customWidth="1"/>
    <col min="13060" max="13060" width="10.6640625" style="113" customWidth="1"/>
    <col min="13061" max="13061" width="11.88671875" style="113" customWidth="1"/>
    <col min="13062" max="13062" width="10.88671875" style="113" customWidth="1"/>
    <col min="13063" max="13063" width="11.5546875" style="113" customWidth="1"/>
    <col min="13064" max="13064" width="13.88671875" style="113" customWidth="1"/>
    <col min="13065" max="13065" width="2.33203125" style="113" customWidth="1"/>
    <col min="13066" max="13066" width="2" style="113" customWidth="1"/>
    <col min="13067" max="13067" width="49.44140625" style="113" customWidth="1"/>
    <col min="13068" max="13068" width="12.88671875" style="113" customWidth="1"/>
    <col min="13069" max="13310" width="9.109375" style="113"/>
    <col min="13311" max="13311" width="3.109375" style="113" customWidth="1"/>
    <col min="13312" max="13312" width="33.33203125" style="113" customWidth="1"/>
    <col min="13313" max="13313" width="11.6640625" style="113" customWidth="1"/>
    <col min="13314" max="13314" width="12" style="113" customWidth="1"/>
    <col min="13315" max="13315" width="14.44140625" style="113" bestFit="1" customWidth="1"/>
    <col min="13316" max="13316" width="10.6640625" style="113" customWidth="1"/>
    <col min="13317" max="13317" width="11.88671875" style="113" customWidth="1"/>
    <col min="13318" max="13318" width="10.88671875" style="113" customWidth="1"/>
    <col min="13319" max="13319" width="11.5546875" style="113" customWidth="1"/>
    <col min="13320" max="13320" width="13.88671875" style="113" customWidth="1"/>
    <col min="13321" max="13321" width="2.33203125" style="113" customWidth="1"/>
    <col min="13322" max="13322" width="2" style="113" customWidth="1"/>
    <col min="13323" max="13323" width="49.44140625" style="113" customWidth="1"/>
    <col min="13324" max="13324" width="12.88671875" style="113" customWidth="1"/>
    <col min="13325" max="13566" width="9.109375" style="113"/>
    <col min="13567" max="13567" width="3.109375" style="113" customWidth="1"/>
    <col min="13568" max="13568" width="33.33203125" style="113" customWidth="1"/>
    <col min="13569" max="13569" width="11.6640625" style="113" customWidth="1"/>
    <col min="13570" max="13570" width="12" style="113" customWidth="1"/>
    <col min="13571" max="13571" width="14.44140625" style="113" bestFit="1" customWidth="1"/>
    <col min="13572" max="13572" width="10.6640625" style="113" customWidth="1"/>
    <col min="13573" max="13573" width="11.88671875" style="113" customWidth="1"/>
    <col min="13574" max="13574" width="10.88671875" style="113" customWidth="1"/>
    <col min="13575" max="13575" width="11.5546875" style="113" customWidth="1"/>
    <col min="13576" max="13576" width="13.88671875" style="113" customWidth="1"/>
    <col min="13577" max="13577" width="2.33203125" style="113" customWidth="1"/>
    <col min="13578" max="13578" width="2" style="113" customWidth="1"/>
    <col min="13579" max="13579" width="49.44140625" style="113" customWidth="1"/>
    <col min="13580" max="13580" width="12.88671875" style="113" customWidth="1"/>
    <col min="13581" max="13822" width="9.109375" style="113"/>
    <col min="13823" max="13823" width="3.109375" style="113" customWidth="1"/>
    <col min="13824" max="13824" width="33.33203125" style="113" customWidth="1"/>
    <col min="13825" max="13825" width="11.6640625" style="113" customWidth="1"/>
    <col min="13826" max="13826" width="12" style="113" customWidth="1"/>
    <col min="13827" max="13827" width="14.44140625" style="113" bestFit="1" customWidth="1"/>
    <col min="13828" max="13828" width="10.6640625" style="113" customWidth="1"/>
    <col min="13829" max="13829" width="11.88671875" style="113" customWidth="1"/>
    <col min="13830" max="13830" width="10.88671875" style="113" customWidth="1"/>
    <col min="13831" max="13831" width="11.5546875" style="113" customWidth="1"/>
    <col min="13832" max="13832" width="13.88671875" style="113" customWidth="1"/>
    <col min="13833" max="13833" width="2.33203125" style="113" customWidth="1"/>
    <col min="13834" max="13834" width="2" style="113" customWidth="1"/>
    <col min="13835" max="13835" width="49.44140625" style="113" customWidth="1"/>
    <col min="13836" max="13836" width="12.88671875" style="113" customWidth="1"/>
    <col min="13837" max="14078" width="9.109375" style="113"/>
    <col min="14079" max="14079" width="3.109375" style="113" customWidth="1"/>
    <col min="14080" max="14080" width="33.33203125" style="113" customWidth="1"/>
    <col min="14081" max="14081" width="11.6640625" style="113" customWidth="1"/>
    <col min="14082" max="14082" width="12" style="113" customWidth="1"/>
    <col min="14083" max="14083" width="14.44140625" style="113" bestFit="1" customWidth="1"/>
    <col min="14084" max="14084" width="10.6640625" style="113" customWidth="1"/>
    <col min="14085" max="14085" width="11.88671875" style="113" customWidth="1"/>
    <col min="14086" max="14086" width="10.88671875" style="113" customWidth="1"/>
    <col min="14087" max="14087" width="11.5546875" style="113" customWidth="1"/>
    <col min="14088" max="14088" width="13.88671875" style="113" customWidth="1"/>
    <col min="14089" max="14089" width="2.33203125" style="113" customWidth="1"/>
    <col min="14090" max="14090" width="2" style="113" customWidth="1"/>
    <col min="14091" max="14091" width="49.44140625" style="113" customWidth="1"/>
    <col min="14092" max="14092" width="12.88671875" style="113" customWidth="1"/>
    <col min="14093" max="14334" width="9.109375" style="113"/>
    <col min="14335" max="14335" width="3.109375" style="113" customWidth="1"/>
    <col min="14336" max="14336" width="33.33203125" style="113" customWidth="1"/>
    <col min="14337" max="14337" width="11.6640625" style="113" customWidth="1"/>
    <col min="14338" max="14338" width="12" style="113" customWidth="1"/>
    <col min="14339" max="14339" width="14.44140625" style="113" bestFit="1" customWidth="1"/>
    <col min="14340" max="14340" width="10.6640625" style="113" customWidth="1"/>
    <col min="14341" max="14341" width="11.88671875" style="113" customWidth="1"/>
    <col min="14342" max="14342" width="10.88671875" style="113" customWidth="1"/>
    <col min="14343" max="14343" width="11.5546875" style="113" customWidth="1"/>
    <col min="14344" max="14344" width="13.88671875" style="113" customWidth="1"/>
    <col min="14345" max="14345" width="2.33203125" style="113" customWidth="1"/>
    <col min="14346" max="14346" width="2" style="113" customWidth="1"/>
    <col min="14347" max="14347" width="49.44140625" style="113" customWidth="1"/>
    <col min="14348" max="14348" width="12.88671875" style="113" customWidth="1"/>
    <col min="14349" max="14590" width="9.109375" style="113"/>
    <col min="14591" max="14591" width="3.109375" style="113" customWidth="1"/>
    <col min="14592" max="14592" width="33.33203125" style="113" customWidth="1"/>
    <col min="14593" max="14593" width="11.6640625" style="113" customWidth="1"/>
    <col min="14594" max="14594" width="12" style="113" customWidth="1"/>
    <col min="14595" max="14595" width="14.44140625" style="113" bestFit="1" customWidth="1"/>
    <col min="14596" max="14596" width="10.6640625" style="113" customWidth="1"/>
    <col min="14597" max="14597" width="11.88671875" style="113" customWidth="1"/>
    <col min="14598" max="14598" width="10.88671875" style="113" customWidth="1"/>
    <col min="14599" max="14599" width="11.5546875" style="113" customWidth="1"/>
    <col min="14600" max="14600" width="13.88671875" style="113" customWidth="1"/>
    <col min="14601" max="14601" width="2.33203125" style="113" customWidth="1"/>
    <col min="14602" max="14602" width="2" style="113" customWidth="1"/>
    <col min="14603" max="14603" width="49.44140625" style="113" customWidth="1"/>
    <col min="14604" max="14604" width="12.88671875" style="113" customWidth="1"/>
    <col min="14605" max="14846" width="9.109375" style="113"/>
    <col min="14847" max="14847" width="3.109375" style="113" customWidth="1"/>
    <col min="14848" max="14848" width="33.33203125" style="113" customWidth="1"/>
    <col min="14849" max="14849" width="11.6640625" style="113" customWidth="1"/>
    <col min="14850" max="14850" width="12" style="113" customWidth="1"/>
    <col min="14851" max="14851" width="14.44140625" style="113" bestFit="1" customWidth="1"/>
    <col min="14852" max="14852" width="10.6640625" style="113" customWidth="1"/>
    <col min="14853" max="14853" width="11.88671875" style="113" customWidth="1"/>
    <col min="14854" max="14854" width="10.88671875" style="113" customWidth="1"/>
    <col min="14855" max="14855" width="11.5546875" style="113" customWidth="1"/>
    <col min="14856" max="14856" width="13.88671875" style="113" customWidth="1"/>
    <col min="14857" max="14857" width="2.33203125" style="113" customWidth="1"/>
    <col min="14858" max="14858" width="2" style="113" customWidth="1"/>
    <col min="14859" max="14859" width="49.44140625" style="113" customWidth="1"/>
    <col min="14860" max="14860" width="12.88671875" style="113" customWidth="1"/>
    <col min="14861" max="15102" width="9.109375" style="113"/>
    <col min="15103" max="15103" width="3.109375" style="113" customWidth="1"/>
    <col min="15104" max="15104" width="33.33203125" style="113" customWidth="1"/>
    <col min="15105" max="15105" width="11.6640625" style="113" customWidth="1"/>
    <col min="15106" max="15106" width="12" style="113" customWidth="1"/>
    <col min="15107" max="15107" width="14.44140625" style="113" bestFit="1" customWidth="1"/>
    <col min="15108" max="15108" width="10.6640625" style="113" customWidth="1"/>
    <col min="15109" max="15109" width="11.88671875" style="113" customWidth="1"/>
    <col min="15110" max="15110" width="10.88671875" style="113" customWidth="1"/>
    <col min="15111" max="15111" width="11.5546875" style="113" customWidth="1"/>
    <col min="15112" max="15112" width="13.88671875" style="113" customWidth="1"/>
    <col min="15113" max="15113" width="2.33203125" style="113" customWidth="1"/>
    <col min="15114" max="15114" width="2" style="113" customWidth="1"/>
    <col min="15115" max="15115" width="49.44140625" style="113" customWidth="1"/>
    <col min="15116" max="15116" width="12.88671875" style="113" customWidth="1"/>
    <col min="15117" max="15358" width="9.109375" style="113"/>
    <col min="15359" max="15359" width="3.109375" style="113" customWidth="1"/>
    <col min="15360" max="15360" width="33.33203125" style="113" customWidth="1"/>
    <col min="15361" max="15361" width="11.6640625" style="113" customWidth="1"/>
    <col min="15362" max="15362" width="12" style="113" customWidth="1"/>
    <col min="15363" max="15363" width="14.44140625" style="113" bestFit="1" customWidth="1"/>
    <col min="15364" max="15364" width="10.6640625" style="113" customWidth="1"/>
    <col min="15365" max="15365" width="11.88671875" style="113" customWidth="1"/>
    <col min="15366" max="15366" width="10.88671875" style="113" customWidth="1"/>
    <col min="15367" max="15367" width="11.5546875" style="113" customWidth="1"/>
    <col min="15368" max="15368" width="13.88671875" style="113" customWidth="1"/>
    <col min="15369" max="15369" width="2.33203125" style="113" customWidth="1"/>
    <col min="15370" max="15370" width="2" style="113" customWidth="1"/>
    <col min="15371" max="15371" width="49.44140625" style="113" customWidth="1"/>
    <col min="15372" max="15372" width="12.88671875" style="113" customWidth="1"/>
    <col min="15373" max="15614" width="9.109375" style="113"/>
    <col min="15615" max="15615" width="3.109375" style="113" customWidth="1"/>
    <col min="15616" max="15616" width="33.33203125" style="113" customWidth="1"/>
    <col min="15617" max="15617" width="11.6640625" style="113" customWidth="1"/>
    <col min="15618" max="15618" width="12" style="113" customWidth="1"/>
    <col min="15619" max="15619" width="14.44140625" style="113" bestFit="1" customWidth="1"/>
    <col min="15620" max="15620" width="10.6640625" style="113" customWidth="1"/>
    <col min="15621" max="15621" width="11.88671875" style="113" customWidth="1"/>
    <col min="15622" max="15622" width="10.88671875" style="113" customWidth="1"/>
    <col min="15623" max="15623" width="11.5546875" style="113" customWidth="1"/>
    <col min="15624" max="15624" width="13.88671875" style="113" customWidth="1"/>
    <col min="15625" max="15625" width="2.33203125" style="113" customWidth="1"/>
    <col min="15626" max="15626" width="2" style="113" customWidth="1"/>
    <col min="15627" max="15627" width="49.44140625" style="113" customWidth="1"/>
    <col min="15628" max="15628" width="12.88671875" style="113" customWidth="1"/>
    <col min="15629" max="15870" width="9.109375" style="113"/>
    <col min="15871" max="15871" width="3.109375" style="113" customWidth="1"/>
    <col min="15872" max="15872" width="33.33203125" style="113" customWidth="1"/>
    <col min="15873" max="15873" width="11.6640625" style="113" customWidth="1"/>
    <col min="15874" max="15874" width="12" style="113" customWidth="1"/>
    <col min="15875" max="15875" width="14.44140625" style="113" bestFit="1" customWidth="1"/>
    <col min="15876" max="15876" width="10.6640625" style="113" customWidth="1"/>
    <col min="15877" max="15877" width="11.88671875" style="113" customWidth="1"/>
    <col min="15878" max="15878" width="10.88671875" style="113" customWidth="1"/>
    <col min="15879" max="15879" width="11.5546875" style="113" customWidth="1"/>
    <col min="15880" max="15880" width="13.88671875" style="113" customWidth="1"/>
    <col min="15881" max="15881" width="2.33203125" style="113" customWidth="1"/>
    <col min="15882" max="15882" width="2" style="113" customWidth="1"/>
    <col min="15883" max="15883" width="49.44140625" style="113" customWidth="1"/>
    <col min="15884" max="15884" width="12.88671875" style="113" customWidth="1"/>
    <col min="15885" max="16126" width="9.109375" style="113"/>
    <col min="16127" max="16127" width="3.109375" style="113" customWidth="1"/>
    <col min="16128" max="16128" width="33.33203125" style="113" customWidth="1"/>
    <col min="16129" max="16129" width="11.6640625" style="113" customWidth="1"/>
    <col min="16130" max="16130" width="12" style="113" customWidth="1"/>
    <col min="16131" max="16131" width="14.44140625" style="113" bestFit="1" customWidth="1"/>
    <col min="16132" max="16132" width="10.6640625" style="113" customWidth="1"/>
    <col min="16133" max="16133" width="11.88671875" style="113" customWidth="1"/>
    <col min="16134" max="16134" width="10.88671875" style="113" customWidth="1"/>
    <col min="16135" max="16135" width="11.5546875" style="113" customWidth="1"/>
    <col min="16136" max="16136" width="13.88671875" style="113" customWidth="1"/>
    <col min="16137" max="16137" width="2.33203125" style="113" customWidth="1"/>
    <col min="16138" max="16138" width="2" style="113" customWidth="1"/>
    <col min="16139" max="16139" width="49.44140625" style="113" customWidth="1"/>
    <col min="16140" max="16140" width="12.88671875" style="113" customWidth="1"/>
    <col min="16141" max="16382" width="9.109375" style="113"/>
    <col min="16383" max="16384" width="8.88671875" style="113" customWidth="1"/>
  </cols>
  <sheetData>
    <row r="1" spans="1:11" ht="19.5" customHeight="1">
      <c r="A1" s="41"/>
      <c r="C1" s="1109"/>
      <c r="D1" s="1109"/>
      <c r="E1" s="1109"/>
      <c r="F1" s="1109"/>
      <c r="G1" s="1109"/>
      <c r="H1" s="1109"/>
      <c r="I1" s="206"/>
      <c r="K1" s="3" t="str">
        <f>'Attachment H-11A '!K1&amp;""&amp;", Attachment 5a"</f>
        <v>Attachment H -11A, Attachment 5a</v>
      </c>
    </row>
    <row r="2" spans="1:11" ht="17.45" customHeight="1">
      <c r="B2" s="681"/>
      <c r="C2" s="203"/>
      <c r="D2" s="203"/>
      <c r="E2" s="203"/>
      <c r="F2" s="203"/>
      <c r="G2" s="203"/>
      <c r="H2" s="203"/>
      <c r="I2" s="203"/>
      <c r="K2" s="32" t="s">
        <v>516</v>
      </c>
    </row>
    <row r="3" spans="1:11" ht="15.6" customHeight="1">
      <c r="B3" s="681"/>
      <c r="C3" s="1110"/>
      <c r="D3" s="1110"/>
      <c r="E3" s="1110"/>
      <c r="F3" s="1110"/>
      <c r="G3" s="1110"/>
      <c r="H3" s="1110"/>
      <c r="I3" s="204"/>
      <c r="K3" s="3" t="str">
        <f>'Attachment H-11A '!K4</f>
        <v>For the 12 months ended 12/31/2022</v>
      </c>
    </row>
    <row r="4" spans="1:11" ht="15.95" customHeight="1" thickBot="1">
      <c r="B4" s="681"/>
      <c r="C4" s="206"/>
      <c r="D4" s="206"/>
      <c r="E4" s="206"/>
      <c r="F4" s="206"/>
      <c r="G4" s="122"/>
      <c r="H4" s="122"/>
      <c r="I4" s="204"/>
      <c r="K4" s="3"/>
    </row>
    <row r="5" spans="1:11" ht="15.6" customHeight="1">
      <c r="B5" s="681"/>
      <c r="C5" s="1111"/>
      <c r="D5" s="1112"/>
      <c r="E5" s="1112"/>
      <c r="F5" s="1112"/>
      <c r="G5" s="1112"/>
      <c r="H5" s="1112"/>
      <c r="I5" s="1112"/>
      <c r="J5" s="1113"/>
      <c r="K5" s="3"/>
    </row>
    <row r="6" spans="1:11" ht="15.95" customHeight="1" thickBot="1">
      <c r="B6" s="681"/>
      <c r="C6" s="1114" t="s">
        <v>617</v>
      </c>
      <c r="D6" s="1115"/>
      <c r="E6" s="1115"/>
      <c r="F6" s="1115"/>
      <c r="G6" s="1115"/>
      <c r="H6" s="1115"/>
      <c r="I6" s="1115"/>
      <c r="J6" s="1116"/>
      <c r="K6" s="3"/>
    </row>
    <row r="7" spans="1:11" ht="15.75">
      <c r="A7" s="113" t="s">
        <v>5</v>
      </c>
      <c r="B7" s="206">
        <v>1</v>
      </c>
      <c r="C7" s="206">
        <v>2</v>
      </c>
      <c r="D7" s="206">
        <v>3</v>
      </c>
      <c r="E7" s="206">
        <v>4</v>
      </c>
      <c r="F7" s="206"/>
      <c r="G7" s="206"/>
      <c r="H7" s="206"/>
      <c r="I7" s="206"/>
      <c r="J7" s="3"/>
    </row>
    <row r="8" spans="1:11" ht="57" customHeight="1">
      <c r="B8" s="205"/>
      <c r="C8" s="355" t="s">
        <v>531</v>
      </c>
      <c r="D8" s="355" t="s">
        <v>950</v>
      </c>
      <c r="E8" s="355" t="s">
        <v>536</v>
      </c>
      <c r="F8" s="122"/>
      <c r="G8" s="122"/>
      <c r="H8" s="204"/>
      <c r="J8" s="3"/>
    </row>
    <row r="9" spans="1:11" ht="26.25">
      <c r="B9" s="205"/>
      <c r="C9" s="212" t="s">
        <v>539</v>
      </c>
      <c r="D9" s="389" t="s">
        <v>618</v>
      </c>
      <c r="E9" s="389" t="s">
        <v>619</v>
      </c>
      <c r="F9" s="122"/>
      <c r="G9" s="122"/>
      <c r="H9" s="204"/>
      <c r="J9" s="3"/>
    </row>
    <row r="10" spans="1:11" ht="15.75">
      <c r="A10" s="113">
        <v>1</v>
      </c>
      <c r="B10" s="205" t="s">
        <v>952</v>
      </c>
      <c r="C10" s="387">
        <f>F112</f>
        <v>61436875.973107211</v>
      </c>
      <c r="D10" s="388">
        <f>H28</f>
        <v>0</v>
      </c>
      <c r="E10" s="387">
        <f>C10+D10</f>
        <v>61436875.973107211</v>
      </c>
      <c r="F10" s="212"/>
      <c r="G10" s="212"/>
      <c r="H10" s="204"/>
      <c r="J10" s="3"/>
    </row>
    <row r="11" spans="1:11" ht="15.75">
      <c r="A11" s="113">
        <v>2</v>
      </c>
      <c r="B11" s="205" t="s">
        <v>532</v>
      </c>
      <c r="C11" s="387">
        <f>F143</f>
        <v>4281853.8224075474</v>
      </c>
      <c r="D11" s="388">
        <f>H29</f>
        <v>0</v>
      </c>
      <c r="E11" s="387">
        <f>C11+D11</f>
        <v>4281853.8224075474</v>
      </c>
      <c r="F11" s="212"/>
      <c r="G11" s="212"/>
      <c r="H11" s="204"/>
      <c r="J11" s="3"/>
    </row>
    <row r="12" spans="1:11" ht="15.75">
      <c r="A12" s="113">
        <v>3</v>
      </c>
      <c r="B12" s="205" t="s">
        <v>533</v>
      </c>
      <c r="C12" s="387">
        <f>F71</f>
        <v>16045986.448667523</v>
      </c>
      <c r="D12" s="388">
        <f>H30</f>
        <v>0</v>
      </c>
      <c r="E12" s="387">
        <f>C12+D12</f>
        <v>16045986.448667523</v>
      </c>
      <c r="F12" s="212"/>
      <c r="G12" s="212"/>
      <c r="H12" s="204"/>
      <c r="J12" s="3"/>
    </row>
    <row r="13" spans="1:11" ht="15.75">
      <c r="A13" s="113">
        <v>4</v>
      </c>
      <c r="B13" s="205" t="s">
        <v>534</v>
      </c>
      <c r="C13" s="387">
        <f>F176</f>
        <v>0</v>
      </c>
      <c r="D13" s="388">
        <f>H31</f>
        <v>0</v>
      </c>
      <c r="E13" s="387">
        <f>C13+D13</f>
        <v>0</v>
      </c>
      <c r="F13" s="212"/>
      <c r="G13" s="212"/>
      <c r="H13" s="204"/>
      <c r="J13" s="3"/>
    </row>
    <row r="14" spans="1:11" ht="17.25">
      <c r="A14" s="113">
        <v>5</v>
      </c>
      <c r="B14" s="205" t="s">
        <v>535</v>
      </c>
      <c r="C14" s="390">
        <f>F211</f>
        <v>0</v>
      </c>
      <c r="D14" s="391">
        <f>H32</f>
        <v>0</v>
      </c>
      <c r="E14" s="390">
        <f>C14+D14</f>
        <v>0</v>
      </c>
      <c r="F14" s="212"/>
      <c r="G14" s="212"/>
      <c r="H14" s="204"/>
      <c r="J14" s="3"/>
    </row>
    <row r="15" spans="1:11" ht="15.75">
      <c r="B15" s="205" t="s">
        <v>540</v>
      </c>
      <c r="C15" s="387">
        <f>SUM(C10:C14)</f>
        <v>81764716.244182289</v>
      </c>
      <c r="D15" s="387">
        <f>SUM(D10:D14)</f>
        <v>0</v>
      </c>
      <c r="E15" s="387">
        <f t="shared" ref="E15" si="0">SUM(E10:E14)</f>
        <v>81764716.244182289</v>
      </c>
      <c r="F15" s="212"/>
      <c r="G15" s="212"/>
      <c r="H15" s="204"/>
      <c r="J15" s="3"/>
    </row>
    <row r="16" spans="1:11" ht="15.75">
      <c r="C16" s="212"/>
      <c r="D16" s="212"/>
      <c r="E16" s="212"/>
      <c r="F16" s="212"/>
      <c r="G16" s="212"/>
      <c r="H16" s="204"/>
      <c r="J16" s="3"/>
    </row>
    <row r="17" spans="1:10" ht="15.75">
      <c r="C17" s="212"/>
      <c r="D17" s="212"/>
      <c r="E17" s="212"/>
      <c r="F17" s="212"/>
      <c r="G17" s="212"/>
      <c r="H17" s="204"/>
      <c r="J17" s="3"/>
    </row>
    <row r="18" spans="1:10" ht="15.75">
      <c r="C18" s="122"/>
      <c r="D18" s="122"/>
      <c r="E18" s="122"/>
      <c r="F18" s="122"/>
      <c r="G18" s="122"/>
      <c r="H18" s="204"/>
      <c r="J18" s="3"/>
    </row>
    <row r="19" spans="1:10" ht="15.75">
      <c r="C19" s="122"/>
      <c r="D19" s="122"/>
      <c r="E19" s="122"/>
      <c r="F19" s="122"/>
      <c r="G19" s="122"/>
      <c r="H19" s="204"/>
      <c r="J19" s="3"/>
    </row>
    <row r="20" spans="1:10" ht="13.5" thickBot="1">
      <c r="B20" s="114"/>
      <c r="H20" s="205"/>
      <c r="I20" s="205"/>
    </row>
    <row r="21" spans="1:10" ht="15.75" customHeight="1">
      <c r="C21" s="1121"/>
      <c r="D21" s="1122"/>
      <c r="E21" s="1122"/>
      <c r="F21" s="1122"/>
      <c r="G21" s="1122"/>
      <c r="H21" s="1122"/>
      <c r="I21" s="1122"/>
      <c r="J21" s="1123"/>
    </row>
    <row r="22" spans="1:10" ht="13.5" thickBot="1">
      <c r="C22" s="1114" t="s">
        <v>617</v>
      </c>
      <c r="D22" s="1115"/>
      <c r="E22" s="1115"/>
      <c r="F22" s="1115"/>
      <c r="G22" s="1115"/>
      <c r="H22" s="1115"/>
      <c r="I22" s="1115"/>
      <c r="J22" s="1116"/>
    </row>
    <row r="23" spans="1:10">
      <c r="A23" s="113" t="s">
        <v>5</v>
      </c>
      <c r="C23" s="206" t="s">
        <v>101</v>
      </c>
      <c r="D23" s="206" t="s">
        <v>102</v>
      </c>
      <c r="E23" s="206" t="s">
        <v>103</v>
      </c>
      <c r="F23" s="206" t="s">
        <v>104</v>
      </c>
      <c r="G23" s="206" t="s">
        <v>105</v>
      </c>
      <c r="H23" s="206" t="s">
        <v>106</v>
      </c>
    </row>
    <row r="24" spans="1:10" ht="25.5">
      <c r="C24" s="206" t="s">
        <v>453</v>
      </c>
      <c r="D24" s="206" t="s">
        <v>454</v>
      </c>
      <c r="E24" s="206" t="s">
        <v>351</v>
      </c>
      <c r="F24" s="206" t="s">
        <v>350</v>
      </c>
      <c r="G24" s="206" t="s">
        <v>352</v>
      </c>
      <c r="H24" s="355" t="s">
        <v>455</v>
      </c>
    </row>
    <row r="25" spans="1:10">
      <c r="C25" s="206" t="s">
        <v>313</v>
      </c>
      <c r="D25" s="206" t="s">
        <v>313</v>
      </c>
      <c r="E25" s="206" t="s">
        <v>236</v>
      </c>
      <c r="F25" s="206" t="s">
        <v>10</v>
      </c>
      <c r="G25" s="206" t="s">
        <v>10</v>
      </c>
      <c r="H25" s="206" t="s">
        <v>314</v>
      </c>
    </row>
    <row r="26" spans="1:10" ht="40.5" customHeight="1">
      <c r="C26" s="212" t="s">
        <v>13</v>
      </c>
      <c r="D26" s="212" t="s">
        <v>14</v>
      </c>
      <c r="E26" s="389" t="s">
        <v>637</v>
      </c>
      <c r="F26" s="212" t="s">
        <v>15</v>
      </c>
      <c r="G26" s="212" t="s">
        <v>16</v>
      </c>
      <c r="H26" s="389" t="s">
        <v>638</v>
      </c>
    </row>
    <row r="27" spans="1:10">
      <c r="A27" s="113" t="s">
        <v>3</v>
      </c>
      <c r="B27" s="113" t="s">
        <v>3</v>
      </c>
    </row>
    <row r="28" spans="1:10">
      <c r="A28" s="113">
        <v>1</v>
      </c>
      <c r="B28" s="113" t="s">
        <v>951</v>
      </c>
      <c r="C28" s="208">
        <f>G112</f>
        <v>0</v>
      </c>
      <c r="D28" s="208">
        <f>H112</f>
        <v>0</v>
      </c>
      <c r="E28" s="208">
        <f>SUM(C28:D28)</f>
        <v>0</v>
      </c>
      <c r="F28" s="249">
        <f>'Attachment H-11A '!$G$47</f>
        <v>0.16285060480207811</v>
      </c>
      <c r="G28" s="249">
        <f>'Attachment H-11A '!$I$213</f>
        <v>9.333164788672195E-2</v>
      </c>
      <c r="H28" s="227">
        <f>(C28*F28)+(D28*G28)</f>
        <v>0</v>
      </c>
    </row>
    <row r="29" spans="1:10">
      <c r="A29" s="113">
        <f t="shared" ref="A29:A30" si="1">A28+1</f>
        <v>2</v>
      </c>
      <c r="B29" s="113" t="s">
        <v>315</v>
      </c>
      <c r="C29" s="208">
        <f>G143</f>
        <v>0</v>
      </c>
      <c r="D29" s="208">
        <f>H143</f>
        <v>0</v>
      </c>
      <c r="E29" s="208">
        <f>SUM(C29:D29)</f>
        <v>0</v>
      </c>
      <c r="F29" s="249">
        <f>'Attachment H-11A '!$G$47</f>
        <v>0.16285060480207811</v>
      </c>
      <c r="G29" s="249">
        <f>'Attachment H-11A '!$I$213</f>
        <v>9.333164788672195E-2</v>
      </c>
      <c r="H29" s="227">
        <f>(C29*F29)+(D29*G29)</f>
        <v>0</v>
      </c>
    </row>
    <row r="30" spans="1:10">
      <c r="A30" s="113">
        <f t="shared" si="1"/>
        <v>3</v>
      </c>
      <c r="B30" s="113" t="s">
        <v>316</v>
      </c>
      <c r="C30" s="207">
        <f>G71</f>
        <v>0</v>
      </c>
      <c r="D30" s="207">
        <f>H71</f>
        <v>0</v>
      </c>
      <c r="E30" s="208">
        <f t="shared" ref="E30:E33" si="2">SUM(C30:D30)</f>
        <v>0</v>
      </c>
      <c r="F30" s="249">
        <f>'Attachment H-11A '!$G$47</f>
        <v>0.16285060480207811</v>
      </c>
      <c r="G30" s="249">
        <f>'Attachment H-11A '!$I$213</f>
        <v>9.333164788672195E-2</v>
      </c>
      <c r="H30" s="227">
        <f>(C30*F30)+(D30*G30)</f>
        <v>0</v>
      </c>
    </row>
    <row r="31" spans="1:10">
      <c r="A31" s="113">
        <v>4</v>
      </c>
      <c r="B31" s="113" t="s">
        <v>339</v>
      </c>
      <c r="C31" s="209">
        <f>G176</f>
        <v>0</v>
      </c>
      <c r="D31" s="209">
        <f>H176</f>
        <v>0</v>
      </c>
      <c r="E31" s="208">
        <f t="shared" si="2"/>
        <v>0</v>
      </c>
      <c r="F31" s="249">
        <f>'Attachment H-11A '!$G$47</f>
        <v>0.16285060480207811</v>
      </c>
      <c r="G31" s="249">
        <f>'Attachment H-11A '!$I$213</f>
        <v>9.333164788672195E-2</v>
      </c>
      <c r="H31" s="227">
        <f>(C31*F31)+(D31*G31)</f>
        <v>0</v>
      </c>
    </row>
    <row r="32" spans="1:10" ht="15">
      <c r="A32" s="113">
        <v>5</v>
      </c>
      <c r="B32" s="113" t="s">
        <v>340</v>
      </c>
      <c r="C32" s="251">
        <f>G211</f>
        <v>0</v>
      </c>
      <c r="D32" s="251">
        <f>H211</f>
        <v>0</v>
      </c>
      <c r="E32" s="210">
        <f t="shared" si="2"/>
        <v>0</v>
      </c>
      <c r="F32" s="249">
        <f>'Attachment H-11A '!$G$47</f>
        <v>0.16285060480207811</v>
      </c>
      <c r="G32" s="249">
        <f>'Attachment H-11A '!$I$213</f>
        <v>9.333164788672195E-2</v>
      </c>
      <c r="H32" s="250">
        <f>(C32*F32)+(D32*G32)</f>
        <v>0</v>
      </c>
    </row>
    <row r="33" spans="1:11">
      <c r="A33" s="113">
        <v>6</v>
      </c>
      <c r="B33" s="205" t="s">
        <v>236</v>
      </c>
      <c r="C33" s="208">
        <f>SUM(C28:C32)</f>
        <v>0</v>
      </c>
      <c r="D33" s="208">
        <f>SUM(D28:D32)</f>
        <v>0</v>
      </c>
      <c r="E33" s="208">
        <f t="shared" si="2"/>
        <v>0</v>
      </c>
      <c r="F33" s="208"/>
      <c r="G33" s="208"/>
      <c r="H33" s="208">
        <f>SUM(H28:H32)</f>
        <v>0</v>
      </c>
    </row>
    <row r="34" spans="1:11">
      <c r="B34" s="205"/>
      <c r="C34" s="248"/>
      <c r="D34" s="208"/>
      <c r="E34" s="208"/>
    </row>
    <row r="35" spans="1:11">
      <c r="A35" s="113" t="s">
        <v>176</v>
      </c>
      <c r="B35" s="205"/>
      <c r="C35" s="215"/>
      <c r="D35" s="215"/>
      <c r="E35" s="215"/>
    </row>
    <row r="36" spans="1:11">
      <c r="A36" s="252" t="s">
        <v>101</v>
      </c>
      <c r="B36" s="113" t="s">
        <v>537</v>
      </c>
      <c r="C36" s="215"/>
      <c r="D36" s="208"/>
      <c r="E36" s="208"/>
      <c r="J36" s="227"/>
    </row>
    <row r="37" spans="1:11">
      <c r="A37" s="212" t="s">
        <v>102</v>
      </c>
      <c r="B37" s="113" t="s">
        <v>538</v>
      </c>
      <c r="E37" s="208"/>
      <c r="F37" s="208"/>
      <c r="G37" s="208"/>
      <c r="H37" s="212"/>
      <c r="I37" s="208"/>
      <c r="J37" s="208"/>
    </row>
    <row r="38" spans="1:11">
      <c r="A38" s="212" t="s">
        <v>103</v>
      </c>
      <c r="B38" s="113" t="s">
        <v>905</v>
      </c>
      <c r="E38" s="208"/>
      <c r="F38" s="208"/>
      <c r="G38" s="208"/>
      <c r="H38" s="211"/>
      <c r="I38" s="208"/>
      <c r="J38" s="208"/>
    </row>
    <row r="39" spans="1:11">
      <c r="A39" s="212" t="s">
        <v>104</v>
      </c>
      <c r="B39" s="113" t="s">
        <v>906</v>
      </c>
    </row>
    <row r="40" spans="1:11" ht="12" customHeight="1">
      <c r="A40" s="212" t="s">
        <v>105</v>
      </c>
      <c r="B40" s="113" t="s">
        <v>620</v>
      </c>
      <c r="C40" s="205"/>
      <c r="D40" s="205"/>
      <c r="E40" s="205"/>
      <c r="F40" s="205"/>
      <c r="G40" s="205"/>
      <c r="H40" s="205"/>
    </row>
    <row r="41" spans="1:11">
      <c r="A41" s="212" t="s">
        <v>106</v>
      </c>
      <c r="B41" s="113" t="s">
        <v>553</v>
      </c>
      <c r="F41" s="232"/>
    </row>
    <row r="42" spans="1:11">
      <c r="A42" s="212"/>
    </row>
    <row r="43" spans="1:11" ht="15.75">
      <c r="B43" s="206"/>
      <c r="C43" s="206"/>
      <c r="D43" s="206"/>
      <c r="E43" s="206"/>
      <c r="F43" s="206"/>
      <c r="G43" s="206"/>
      <c r="H43" s="206"/>
      <c r="I43" s="122"/>
    </row>
    <row r="44" spans="1:11">
      <c r="H44" s="205"/>
      <c r="I44" s="205"/>
    </row>
    <row r="45" spans="1:11" ht="16.5" thickBot="1">
      <c r="B45" s="206" t="s">
        <v>101</v>
      </c>
      <c r="C45" s="206" t="s">
        <v>102</v>
      </c>
      <c r="D45" s="206" t="s">
        <v>103</v>
      </c>
      <c r="E45" s="206" t="s">
        <v>104</v>
      </c>
      <c r="F45" s="206" t="s">
        <v>105</v>
      </c>
      <c r="G45" s="206" t="s">
        <v>106</v>
      </c>
      <c r="H45" s="206" t="s">
        <v>107</v>
      </c>
      <c r="I45" s="205"/>
      <c r="K45" s="3" t="str">
        <f>K1</f>
        <v>Attachment H -11A, Attachment 5a</v>
      </c>
    </row>
    <row r="46" spans="1:11" ht="16.5" thickBot="1">
      <c r="C46" s="1118"/>
      <c r="D46" s="1119"/>
      <c r="E46" s="1119"/>
      <c r="F46" s="1119"/>
      <c r="G46" s="1119"/>
      <c r="H46" s="1120"/>
      <c r="I46" s="206"/>
      <c r="J46" s="206"/>
      <c r="K46" s="32" t="s">
        <v>554</v>
      </c>
    </row>
    <row r="47" spans="1:11" ht="15.75">
      <c r="K47" s="3" t="str">
        <f>'Attachment H-11A '!K4</f>
        <v>For the 12 months ended 12/31/2022</v>
      </c>
    </row>
    <row r="48" spans="1:11">
      <c r="B48" s="214"/>
      <c r="C48" s="215"/>
      <c r="D48" s="215"/>
      <c r="E48" s="215"/>
      <c r="F48" s="215"/>
      <c r="G48" s="215"/>
      <c r="H48" s="215"/>
      <c r="I48" s="215"/>
      <c r="J48" s="215"/>
      <c r="K48" s="216"/>
    </row>
    <row r="49" spans="2:11">
      <c r="B49" s="214"/>
      <c r="C49" s="215"/>
      <c r="D49" s="215"/>
      <c r="E49" s="215"/>
      <c r="F49" s="215"/>
      <c r="G49" s="215"/>
      <c r="H49" s="215"/>
      <c r="I49" s="215"/>
      <c r="J49" s="215"/>
      <c r="K49" s="216"/>
    </row>
    <row r="50" spans="2:11">
      <c r="B50" s="205" t="s">
        <v>317</v>
      </c>
      <c r="C50" s="206" t="s">
        <v>318</v>
      </c>
      <c r="D50" s="206" t="s">
        <v>310</v>
      </c>
      <c r="E50" s="206" t="s">
        <v>319</v>
      </c>
      <c r="F50" s="206" t="s">
        <v>320</v>
      </c>
      <c r="G50" s="206"/>
      <c r="H50" s="206"/>
      <c r="I50" s="206"/>
      <c r="J50" s="206"/>
    </row>
    <row r="51" spans="2:11">
      <c r="C51" s="206" t="s">
        <v>321</v>
      </c>
      <c r="D51" s="206" t="s">
        <v>313</v>
      </c>
      <c r="E51" s="206" t="s">
        <v>322</v>
      </c>
      <c r="F51" s="206" t="s">
        <v>24</v>
      </c>
      <c r="G51" s="206" t="s">
        <v>311</v>
      </c>
      <c r="H51" s="206" t="s">
        <v>312</v>
      </c>
      <c r="I51" s="206"/>
      <c r="J51" s="206"/>
    </row>
    <row r="52" spans="2:11">
      <c r="C52" s="206" t="s">
        <v>323</v>
      </c>
      <c r="E52" s="206" t="s">
        <v>313</v>
      </c>
      <c r="F52" s="206" t="s">
        <v>313</v>
      </c>
      <c r="G52" s="206" t="s">
        <v>313</v>
      </c>
      <c r="H52" s="206" t="s">
        <v>313</v>
      </c>
      <c r="I52" s="206"/>
      <c r="J52" s="206"/>
      <c r="K52" s="206" t="s">
        <v>324</v>
      </c>
    </row>
    <row r="53" spans="2:11">
      <c r="B53" s="374"/>
    </row>
    <row r="54" spans="2:11">
      <c r="B54" s="348" t="s">
        <v>1449</v>
      </c>
      <c r="C54" s="349">
        <f>F54</f>
        <v>12425.802273046615</v>
      </c>
      <c r="D54" s="350"/>
      <c r="E54" s="350"/>
      <c r="F54" s="350">
        <v>12425.802273046615</v>
      </c>
      <c r="G54" s="350"/>
      <c r="H54" s="350"/>
      <c r="I54" s="350"/>
      <c r="J54" s="350"/>
      <c r="K54" s="351"/>
    </row>
    <row r="55" spans="2:11">
      <c r="B55" s="348" t="s">
        <v>1450</v>
      </c>
      <c r="C55" s="349">
        <f t="shared" ref="C55:C69" si="3">F55</f>
        <v>108610.78529896142</v>
      </c>
      <c r="D55" s="350"/>
      <c r="E55" s="350"/>
      <c r="F55" s="350">
        <v>108610.78529896142</v>
      </c>
      <c r="G55" s="350"/>
      <c r="H55" s="350"/>
      <c r="I55" s="350"/>
      <c r="J55" s="350"/>
      <c r="K55" s="350"/>
    </row>
    <row r="56" spans="2:11">
      <c r="B56" s="348" t="s">
        <v>1451</v>
      </c>
      <c r="C56" s="349">
        <f t="shared" si="3"/>
        <v>109390.85121199864</v>
      </c>
      <c r="D56" s="350"/>
      <c r="E56" s="350"/>
      <c r="F56" s="350">
        <v>109390.85121199864</v>
      </c>
      <c r="G56" s="350"/>
      <c r="H56" s="350"/>
      <c r="I56" s="350"/>
      <c r="J56" s="350"/>
      <c r="K56" s="350"/>
    </row>
    <row r="57" spans="2:11">
      <c r="B57" s="348" t="s">
        <v>1345</v>
      </c>
      <c r="C57" s="349">
        <f t="shared" si="3"/>
        <v>51439.924396062575</v>
      </c>
      <c r="D57" s="350"/>
      <c r="E57" s="350"/>
      <c r="F57" s="350">
        <v>51439.924396062575</v>
      </c>
      <c r="G57" s="350"/>
      <c r="H57" s="350"/>
      <c r="I57" s="350"/>
      <c r="J57" s="350"/>
      <c r="K57" s="350"/>
    </row>
    <row r="58" spans="2:11">
      <c r="B58" s="348" t="s">
        <v>1452</v>
      </c>
      <c r="C58" s="349">
        <f t="shared" si="3"/>
        <v>16390.157348683013</v>
      </c>
      <c r="D58" s="350"/>
      <c r="E58" s="350"/>
      <c r="F58" s="350">
        <v>16390.157348683013</v>
      </c>
      <c r="G58" s="350"/>
      <c r="H58" s="350"/>
      <c r="I58" s="350"/>
      <c r="J58" s="350"/>
      <c r="K58" s="350"/>
    </row>
    <row r="59" spans="2:11">
      <c r="B59" s="348" t="s">
        <v>1453</v>
      </c>
      <c r="C59" s="349">
        <f t="shared" si="3"/>
        <v>1828581.8583215422</v>
      </c>
      <c r="D59" s="350"/>
      <c r="E59" s="350"/>
      <c r="F59" s="350">
        <v>1828581.8583215422</v>
      </c>
      <c r="G59" s="350"/>
      <c r="H59" s="350"/>
      <c r="I59" s="350"/>
      <c r="J59" s="350"/>
      <c r="K59" s="350"/>
    </row>
    <row r="60" spans="2:11">
      <c r="B60" s="348" t="s">
        <v>1454</v>
      </c>
      <c r="C60" s="349">
        <f t="shared" si="3"/>
        <v>2709.0198108825693</v>
      </c>
      <c r="D60" s="350"/>
      <c r="E60" s="350"/>
      <c r="F60" s="350">
        <v>2709.0198108825693</v>
      </c>
      <c r="G60" s="350"/>
      <c r="H60" s="350"/>
      <c r="I60" s="350"/>
      <c r="J60" s="350"/>
      <c r="K60" s="350"/>
    </row>
    <row r="61" spans="2:11">
      <c r="B61" s="348" t="s">
        <v>1455</v>
      </c>
      <c r="C61" s="349">
        <f t="shared" si="3"/>
        <v>400222.71917158755</v>
      </c>
      <c r="D61" s="350"/>
      <c r="E61" s="350"/>
      <c r="F61" s="350">
        <v>400222.71917158755</v>
      </c>
      <c r="G61" s="350"/>
      <c r="H61" s="350"/>
      <c r="I61" s="350"/>
      <c r="J61" s="350"/>
      <c r="K61" s="350"/>
    </row>
    <row r="62" spans="2:11">
      <c r="B62" s="348" t="s">
        <v>1456</v>
      </c>
      <c r="C62" s="349">
        <f t="shared" si="3"/>
        <v>885732.73816689267</v>
      </c>
      <c r="D62" s="350"/>
      <c r="E62" s="350"/>
      <c r="F62" s="350">
        <v>885732.73816689267</v>
      </c>
      <c r="G62" s="350"/>
      <c r="H62" s="350"/>
      <c r="I62" s="350"/>
      <c r="J62" s="350"/>
      <c r="K62" s="350"/>
    </row>
    <row r="63" spans="2:11">
      <c r="B63" s="348" t="s">
        <v>1457</v>
      </c>
      <c r="C63" s="349">
        <f t="shared" si="3"/>
        <v>117909.23071461976</v>
      </c>
      <c r="D63" s="350"/>
      <c r="E63" s="350"/>
      <c r="F63" s="350">
        <v>117909.23071461976</v>
      </c>
      <c r="G63" s="350"/>
      <c r="H63" s="350"/>
      <c r="I63" s="350"/>
      <c r="J63" s="350"/>
      <c r="K63" s="350"/>
    </row>
    <row r="64" spans="2:11">
      <c r="B64" s="348" t="s">
        <v>1347</v>
      </c>
      <c r="C64" s="349">
        <f t="shared" si="3"/>
        <v>98854.551230586265</v>
      </c>
      <c r="D64" s="350"/>
      <c r="E64" s="350"/>
      <c r="F64" s="350">
        <v>98854.551230586265</v>
      </c>
      <c r="G64" s="350"/>
      <c r="H64" s="350"/>
      <c r="I64" s="350"/>
      <c r="J64" s="350"/>
      <c r="K64" s="350"/>
    </row>
    <row r="65" spans="2:11">
      <c r="B65" s="348" t="s">
        <v>1458</v>
      </c>
      <c r="C65" s="349">
        <f t="shared" si="3"/>
        <v>78303.759270593524</v>
      </c>
      <c r="D65" s="350"/>
      <c r="E65" s="350"/>
      <c r="F65" s="350">
        <v>78303.759270593524</v>
      </c>
      <c r="G65" s="350"/>
      <c r="H65" s="350"/>
      <c r="I65" s="350"/>
      <c r="J65" s="350"/>
      <c r="K65" s="350"/>
    </row>
    <row r="66" spans="2:11">
      <c r="B66" s="348" t="s">
        <v>1459</v>
      </c>
      <c r="C66" s="349">
        <f t="shared" si="3"/>
        <v>2651922.4703917573</v>
      </c>
      <c r="D66" s="350"/>
      <c r="E66" s="350"/>
      <c r="F66" s="350">
        <v>2651922.4703917573</v>
      </c>
      <c r="G66" s="350"/>
      <c r="H66" s="350"/>
      <c r="I66" s="350"/>
      <c r="J66" s="350"/>
      <c r="K66" s="350"/>
    </row>
    <row r="67" spans="2:11">
      <c r="B67" s="348" t="s">
        <v>513</v>
      </c>
      <c r="C67" s="349">
        <f t="shared" si="3"/>
        <v>15683542.599543978</v>
      </c>
      <c r="D67" s="350"/>
      <c r="E67" s="350"/>
      <c r="F67" s="350">
        <v>15683542.599543978</v>
      </c>
      <c r="G67" s="350"/>
      <c r="H67" s="350"/>
      <c r="I67" s="350"/>
      <c r="J67" s="350"/>
      <c r="K67" s="350"/>
    </row>
    <row r="68" spans="2:11">
      <c r="B68" s="348" t="s">
        <v>1460</v>
      </c>
      <c r="C68" s="349">
        <f t="shared" si="3"/>
        <v>-1221982.46</v>
      </c>
      <c r="D68" s="350"/>
      <c r="E68" s="350"/>
      <c r="F68" s="350">
        <v>-1221982.46</v>
      </c>
      <c r="G68" s="350"/>
      <c r="H68" s="350"/>
      <c r="I68" s="350"/>
      <c r="J68" s="350"/>
      <c r="K68" s="350"/>
    </row>
    <row r="69" spans="2:11">
      <c r="B69" s="348" t="s">
        <v>1461</v>
      </c>
      <c r="C69" s="349">
        <f t="shared" si="3"/>
        <v>-4778067.5584836667</v>
      </c>
      <c r="D69" s="350"/>
      <c r="E69" s="350"/>
      <c r="F69" s="350">
        <v>-4778067.5584836667</v>
      </c>
      <c r="G69" s="350"/>
      <c r="H69" s="350"/>
      <c r="I69" s="350"/>
      <c r="J69" s="350"/>
      <c r="K69" s="351"/>
    </row>
    <row r="70" spans="2:11">
      <c r="B70" s="352"/>
      <c r="C70" s="353"/>
      <c r="D70" s="353"/>
      <c r="E70" s="353"/>
      <c r="F70" s="353"/>
      <c r="G70" s="353"/>
      <c r="H70" s="353"/>
      <c r="I70" s="353"/>
      <c r="J70" s="353"/>
      <c r="K70" s="354"/>
    </row>
    <row r="71" spans="2:11">
      <c r="B71" s="214" t="s">
        <v>236</v>
      </c>
      <c r="C71" s="215">
        <f t="shared" ref="C71:H71" si="4">SUM(C54:C70)</f>
        <v>16045986.448667523</v>
      </c>
      <c r="D71" s="215">
        <f t="shared" si="4"/>
        <v>0</v>
      </c>
      <c r="E71" s="215">
        <f t="shared" si="4"/>
        <v>0</v>
      </c>
      <c r="F71" s="215">
        <f t="shared" si="4"/>
        <v>16045986.448667523</v>
      </c>
      <c r="G71" s="215">
        <f t="shared" si="4"/>
        <v>0</v>
      </c>
      <c r="H71" s="215">
        <f t="shared" si="4"/>
        <v>0</v>
      </c>
      <c r="I71" s="215"/>
      <c r="J71" s="215"/>
      <c r="K71" s="216"/>
    </row>
    <row r="72" spans="2:11">
      <c r="B72" s="214"/>
      <c r="C72" s="215"/>
      <c r="D72" s="215"/>
      <c r="E72" s="215"/>
      <c r="F72" s="215"/>
      <c r="G72" s="215"/>
      <c r="H72" s="215"/>
      <c r="I72" s="215"/>
      <c r="J72" s="215"/>
      <c r="K72" s="216"/>
    </row>
    <row r="73" spans="2:11">
      <c r="B73" s="214"/>
      <c r="C73" s="215"/>
      <c r="D73" s="215"/>
      <c r="E73" s="215"/>
      <c r="F73" s="215"/>
      <c r="G73" s="215"/>
      <c r="H73" s="215"/>
      <c r="I73" s="215"/>
      <c r="J73" s="215"/>
      <c r="K73" s="216"/>
    </row>
    <row r="74" spans="2:11">
      <c r="B74" s="214"/>
      <c r="C74" s="215"/>
      <c r="D74" s="215"/>
      <c r="E74" s="215"/>
      <c r="F74" s="215"/>
      <c r="G74" s="215"/>
      <c r="H74" s="215"/>
      <c r="I74" s="215"/>
      <c r="J74" s="215"/>
      <c r="K74" s="216"/>
    </row>
    <row r="75" spans="2:11">
      <c r="B75" s="214"/>
      <c r="C75" s="215"/>
      <c r="D75" s="215"/>
      <c r="E75" s="215"/>
      <c r="F75" s="215"/>
      <c r="G75" s="215"/>
      <c r="H75" s="215"/>
      <c r="I75" s="215"/>
      <c r="J75" s="215"/>
      <c r="K75" s="216"/>
    </row>
    <row r="76" spans="2:11">
      <c r="B76" s="214"/>
      <c r="C76" s="215"/>
      <c r="D76" s="215"/>
      <c r="E76" s="215"/>
      <c r="F76" s="215"/>
      <c r="G76" s="215"/>
      <c r="H76" s="215"/>
      <c r="I76" s="215"/>
      <c r="J76" s="215"/>
      <c r="K76" s="216"/>
    </row>
    <row r="77" spans="2:11">
      <c r="B77" s="221"/>
      <c r="H77" s="211"/>
      <c r="I77" s="218"/>
      <c r="J77" s="208"/>
    </row>
    <row r="78" spans="2:11">
      <c r="B78" s="217" t="s">
        <v>325</v>
      </c>
      <c r="C78" s="207"/>
      <c r="D78" s="207"/>
      <c r="E78" s="211"/>
      <c r="F78" s="211"/>
      <c r="G78" s="219"/>
      <c r="H78" s="219"/>
      <c r="I78" s="219"/>
      <c r="J78" s="209"/>
    </row>
    <row r="79" spans="2:11">
      <c r="B79" s="217"/>
      <c r="C79" s="207"/>
      <c r="D79" s="207"/>
      <c r="E79" s="211"/>
      <c r="F79" s="211"/>
      <c r="G79" s="219"/>
      <c r="H79" s="219"/>
      <c r="I79" s="219"/>
      <c r="J79" s="209"/>
    </row>
    <row r="80" spans="2:11" ht="12.95" customHeight="1">
      <c r="B80" s="1117" t="s">
        <v>326</v>
      </c>
      <c r="C80" s="1117"/>
      <c r="D80" s="1117"/>
      <c r="E80" s="1117"/>
      <c r="F80" s="1117"/>
      <c r="G80" s="1117"/>
      <c r="H80" s="1117"/>
      <c r="I80" s="1117"/>
      <c r="J80" s="209"/>
    </row>
    <row r="81" spans="2:11" ht="12.75" customHeight="1">
      <c r="B81" s="1117" t="s">
        <v>327</v>
      </c>
      <c r="C81" s="1117"/>
      <c r="D81" s="1117"/>
      <c r="E81" s="1117"/>
      <c r="F81" s="1117"/>
      <c r="G81" s="1117"/>
      <c r="H81" s="1117"/>
      <c r="I81" s="1117"/>
    </row>
    <row r="82" spans="2:11" ht="12.75" customHeight="1">
      <c r="B82" s="694" t="s">
        <v>328</v>
      </c>
      <c r="C82" s="211"/>
      <c r="D82" s="211"/>
      <c r="E82" s="211"/>
      <c r="F82" s="211"/>
      <c r="G82" s="219"/>
      <c r="H82" s="219"/>
      <c r="I82" s="219"/>
    </row>
    <row r="83" spans="2:11">
      <c r="B83" s="694" t="s">
        <v>329</v>
      </c>
      <c r="C83" s="211"/>
      <c r="D83" s="211"/>
      <c r="E83" s="211"/>
      <c r="F83" s="211"/>
      <c r="G83" s="219"/>
      <c r="H83" s="219"/>
      <c r="I83" s="219"/>
    </row>
    <row r="84" spans="2:11">
      <c r="B84" s="694" t="s">
        <v>330</v>
      </c>
      <c r="C84" s="211"/>
      <c r="D84" s="211"/>
      <c r="E84" s="211"/>
      <c r="F84" s="211"/>
      <c r="G84" s="219"/>
      <c r="H84" s="219"/>
      <c r="I84" s="219"/>
    </row>
    <row r="85" spans="2:11">
      <c r="B85" s="213" t="s">
        <v>331</v>
      </c>
      <c r="C85" s="213"/>
      <c r="D85" s="213"/>
      <c r="E85" s="213"/>
      <c r="F85" s="213"/>
      <c r="G85" s="213"/>
      <c r="H85" s="213"/>
      <c r="I85" s="213"/>
    </row>
    <row r="86" spans="2:11" ht="27" customHeight="1">
      <c r="B86" s="654"/>
      <c r="C86" s="654"/>
      <c r="D86" s="654"/>
      <c r="E86" s="654"/>
      <c r="F86" s="654"/>
      <c r="G86" s="654"/>
      <c r="H86" s="654"/>
      <c r="I86" s="654"/>
    </row>
    <row r="87" spans="2:11" ht="18" customHeight="1" thickBot="1">
      <c r="B87" s="206" t="s">
        <v>101</v>
      </c>
      <c r="C87" s="206" t="s">
        <v>102</v>
      </c>
      <c r="D87" s="206" t="s">
        <v>103</v>
      </c>
      <c r="E87" s="206" t="s">
        <v>104</v>
      </c>
      <c r="F87" s="206" t="s">
        <v>105</v>
      </c>
      <c r="G87" s="206" t="s">
        <v>106</v>
      </c>
      <c r="H87" s="206" t="s">
        <v>107</v>
      </c>
      <c r="I87" s="223"/>
      <c r="K87" s="3" t="str">
        <f>K1</f>
        <v>Attachment H -11A, Attachment 5a</v>
      </c>
    </row>
    <row r="88" spans="2:11" ht="16.5" thickBot="1">
      <c r="B88" s="206"/>
      <c r="C88" s="1118"/>
      <c r="D88" s="1119"/>
      <c r="E88" s="1119"/>
      <c r="F88" s="1119"/>
      <c r="G88" s="1119"/>
      <c r="H88" s="1120"/>
      <c r="I88" s="218"/>
      <c r="K88" s="32" t="s">
        <v>520</v>
      </c>
    </row>
    <row r="89" spans="2:11" ht="15.75">
      <c r="B89" s="222"/>
      <c r="C89" s="206"/>
      <c r="D89" s="206"/>
      <c r="E89" s="206"/>
      <c r="F89" s="206"/>
      <c r="G89" s="206"/>
      <c r="H89" s="206"/>
      <c r="I89" s="225"/>
      <c r="J89" s="225"/>
      <c r="K89" s="3" t="str">
        <f>'Attachment H-11A '!K4</f>
        <v>For the 12 months ended 12/31/2022</v>
      </c>
    </row>
    <row r="90" spans="2:11" ht="15.75">
      <c r="B90" s="275"/>
      <c r="C90" s="275"/>
      <c r="D90" s="275"/>
      <c r="E90" s="275"/>
      <c r="F90" s="275"/>
      <c r="G90" s="275"/>
      <c r="H90" s="275"/>
      <c r="I90" s="275"/>
    </row>
    <row r="91" spans="2:11" ht="15.75">
      <c r="B91" s="275"/>
      <c r="C91" s="275"/>
      <c r="D91" s="275"/>
      <c r="E91" s="275"/>
      <c r="F91" s="275"/>
      <c r="G91" s="275"/>
      <c r="H91" s="275"/>
      <c r="I91" s="275"/>
    </row>
    <row r="92" spans="2:11">
      <c r="B92" s="222"/>
      <c r="C92" s="206" t="s">
        <v>318</v>
      </c>
      <c r="D92" s="206" t="s">
        <v>310</v>
      </c>
      <c r="E92" s="206" t="s">
        <v>319</v>
      </c>
      <c r="F92" s="206" t="s">
        <v>320</v>
      </c>
      <c r="G92" s="206"/>
      <c r="H92" s="206"/>
      <c r="I92" s="225"/>
      <c r="J92" s="225"/>
    </row>
    <row r="93" spans="2:11">
      <c r="B93" s="224" t="s">
        <v>452</v>
      </c>
      <c r="C93" s="206" t="s">
        <v>321</v>
      </c>
      <c r="D93" s="206" t="s">
        <v>313</v>
      </c>
      <c r="E93" s="206" t="s">
        <v>322</v>
      </c>
      <c r="F93" s="206" t="s">
        <v>24</v>
      </c>
      <c r="G93" s="206" t="s">
        <v>311</v>
      </c>
      <c r="H93" s="206" t="s">
        <v>312</v>
      </c>
      <c r="I93" s="225"/>
      <c r="J93" s="225"/>
      <c r="K93" s="209" t="s">
        <v>3</v>
      </c>
    </row>
    <row r="94" spans="2:11">
      <c r="B94" s="220"/>
      <c r="C94" s="206" t="s">
        <v>332</v>
      </c>
      <c r="E94" s="206" t="s">
        <v>313</v>
      </c>
      <c r="F94" s="206" t="s">
        <v>313</v>
      </c>
      <c r="G94" s="206" t="s">
        <v>313</v>
      </c>
      <c r="H94" s="206" t="s">
        <v>313</v>
      </c>
      <c r="I94" s="225"/>
      <c r="J94" s="225"/>
    </row>
    <row r="95" spans="2:11">
      <c r="B95" s="226"/>
      <c r="C95" s="208"/>
      <c r="D95" s="208"/>
      <c r="E95" s="225"/>
      <c r="F95" s="225"/>
      <c r="G95" s="225"/>
      <c r="H95" s="225"/>
      <c r="I95" s="225"/>
      <c r="J95" s="225"/>
      <c r="K95" s="206" t="s">
        <v>324</v>
      </c>
    </row>
    <row r="96" spans="2:11">
      <c r="B96" s="226"/>
      <c r="C96" s="208"/>
      <c r="D96" s="208"/>
      <c r="E96" s="215"/>
      <c r="F96" s="215"/>
      <c r="G96" s="215"/>
      <c r="H96" s="215"/>
      <c r="I96" s="215"/>
      <c r="J96" s="215"/>
    </row>
    <row r="97" spans="2:11">
      <c r="B97" s="348" t="s">
        <v>1462</v>
      </c>
      <c r="C97" s="350">
        <f>F97</f>
        <v>8008170.0597784659</v>
      </c>
      <c r="D97" s="350"/>
      <c r="E97" s="350"/>
      <c r="F97" s="350">
        <v>8008170.0597784659</v>
      </c>
      <c r="G97" s="350"/>
      <c r="H97" s="350"/>
      <c r="I97" s="356"/>
      <c r="J97" s="357"/>
      <c r="K97" s="358"/>
    </row>
    <row r="98" spans="2:11">
      <c r="B98" s="348" t="s">
        <v>1463</v>
      </c>
      <c r="C98" s="350">
        <f t="shared" ref="C98:C110" si="5">F98</f>
        <v>48909500.751109049</v>
      </c>
      <c r="D98" s="350"/>
      <c r="E98" s="350"/>
      <c r="F98" s="350">
        <v>48909500.751109049</v>
      </c>
      <c r="G98" s="359"/>
      <c r="H98" s="350"/>
      <c r="I98" s="356"/>
      <c r="J98" s="357"/>
      <c r="K98" s="360"/>
    </row>
    <row r="99" spans="2:11">
      <c r="B99" s="348" t="s">
        <v>1464</v>
      </c>
      <c r="C99" s="350">
        <f t="shared" si="5"/>
        <v>1708880.2025409173</v>
      </c>
      <c r="D99" s="350"/>
      <c r="E99" s="350"/>
      <c r="F99" s="350">
        <v>1708880.2025409173</v>
      </c>
      <c r="G99" s="350"/>
      <c r="H99" s="350"/>
      <c r="I99" s="356"/>
      <c r="J99" s="357"/>
      <c r="K99" s="360"/>
    </row>
    <row r="100" spans="2:11">
      <c r="B100" s="348" t="s">
        <v>1465</v>
      </c>
      <c r="C100" s="350">
        <f t="shared" si="5"/>
        <v>5327341.99</v>
      </c>
      <c r="D100" s="350"/>
      <c r="E100" s="350"/>
      <c r="F100" s="350">
        <v>5327341.99</v>
      </c>
      <c r="G100" s="350"/>
      <c r="H100" s="350"/>
      <c r="I100" s="356"/>
      <c r="J100" s="357"/>
      <c r="K100" s="358"/>
    </row>
    <row r="101" spans="2:11">
      <c r="B101" s="348" t="s">
        <v>1466</v>
      </c>
      <c r="C101" s="350">
        <f t="shared" si="5"/>
        <v>-218430.12885565971</v>
      </c>
      <c r="D101" s="350"/>
      <c r="E101" s="350"/>
      <c r="F101" s="350">
        <v>-218430.12885565971</v>
      </c>
      <c r="G101" s="350"/>
      <c r="H101" s="350"/>
      <c r="I101" s="356"/>
      <c r="J101" s="357"/>
      <c r="K101" s="358"/>
    </row>
    <row r="102" spans="2:11">
      <c r="B102" s="348" t="s">
        <v>1467</v>
      </c>
      <c r="C102" s="350">
        <f t="shared" si="5"/>
        <v>432636.87</v>
      </c>
      <c r="D102" s="350"/>
      <c r="E102" s="350"/>
      <c r="F102" s="350">
        <v>432636.87</v>
      </c>
      <c r="G102" s="350"/>
      <c r="H102" s="350"/>
      <c r="I102" s="356"/>
      <c r="J102" s="357"/>
      <c r="K102" s="358"/>
    </row>
    <row r="103" spans="2:11">
      <c r="B103" s="348" t="s">
        <v>1468</v>
      </c>
      <c r="C103" s="350">
        <f t="shared" si="5"/>
        <v>-13018.063896269576</v>
      </c>
      <c r="D103" s="350"/>
      <c r="E103" s="350"/>
      <c r="F103" s="350">
        <v>-13018.063896269576</v>
      </c>
      <c r="G103" s="350"/>
      <c r="H103" s="350"/>
      <c r="I103" s="356"/>
      <c r="J103" s="357"/>
      <c r="K103" s="358"/>
    </row>
    <row r="104" spans="2:11">
      <c r="B104" s="348" t="s">
        <v>1469</v>
      </c>
      <c r="C104" s="350">
        <f t="shared" si="5"/>
        <v>7559.8</v>
      </c>
      <c r="D104" s="350"/>
      <c r="E104" s="350"/>
      <c r="F104" s="350">
        <v>7559.8</v>
      </c>
      <c r="G104" s="350"/>
      <c r="H104" s="350"/>
      <c r="I104" s="356"/>
      <c r="J104" s="357"/>
      <c r="K104" s="358"/>
    </row>
    <row r="105" spans="2:11">
      <c r="B105" s="348" t="s">
        <v>1470</v>
      </c>
      <c r="C105" s="350">
        <f t="shared" si="5"/>
        <v>36490.889999999992</v>
      </c>
      <c r="D105" s="350"/>
      <c r="E105" s="350"/>
      <c r="F105" s="350">
        <v>36490.889999999992</v>
      </c>
      <c r="G105" s="350"/>
      <c r="H105" s="350"/>
      <c r="I105" s="356"/>
      <c r="J105" s="357"/>
      <c r="K105" s="358"/>
    </row>
    <row r="106" spans="2:11">
      <c r="B106" s="348" t="s">
        <v>1471</v>
      </c>
      <c r="C106" s="350">
        <f t="shared" si="5"/>
        <v>-982517.70347377751</v>
      </c>
      <c r="D106" s="350"/>
      <c r="E106" s="350"/>
      <c r="F106" s="350">
        <v>-982517.70347377751</v>
      </c>
      <c r="G106" s="350"/>
      <c r="H106" s="350"/>
      <c r="I106" s="356"/>
      <c r="J106" s="357"/>
      <c r="K106" s="358"/>
    </row>
    <row r="107" spans="2:11">
      <c r="B107" s="348" t="s">
        <v>1472</v>
      </c>
      <c r="C107" s="350">
        <f t="shared" si="5"/>
        <v>-9285505.4106047936</v>
      </c>
      <c r="D107" s="350"/>
      <c r="E107" s="350"/>
      <c r="F107" s="350">
        <v>-9285505.4106047936</v>
      </c>
      <c r="G107" s="350"/>
      <c r="H107" s="350"/>
      <c r="I107" s="356"/>
      <c r="J107" s="357"/>
      <c r="K107" s="358"/>
    </row>
    <row r="108" spans="2:11">
      <c r="B108" s="348" t="s">
        <v>1473</v>
      </c>
      <c r="C108" s="350">
        <f t="shared" si="5"/>
        <v>14467711.376880247</v>
      </c>
      <c r="D108" s="350"/>
      <c r="E108" s="350"/>
      <c r="F108" s="350">
        <v>14467711.376880247</v>
      </c>
      <c r="G108" s="350"/>
      <c r="H108" s="350"/>
      <c r="I108" s="356"/>
      <c r="J108" s="357"/>
      <c r="K108" s="358"/>
    </row>
    <row r="109" spans="2:11">
      <c r="B109" s="348" t="s">
        <v>1474</v>
      </c>
      <c r="C109" s="350">
        <f t="shared" si="5"/>
        <v>44049.656986233444</v>
      </c>
      <c r="D109" s="350"/>
      <c r="E109" s="350"/>
      <c r="F109" s="350">
        <v>44049.656986233444</v>
      </c>
      <c r="G109" s="350"/>
      <c r="H109" s="350"/>
      <c r="I109" s="356"/>
      <c r="J109" s="357"/>
      <c r="K109" s="360"/>
    </row>
    <row r="110" spans="2:11">
      <c r="B110" s="348" t="s">
        <v>1461</v>
      </c>
      <c r="C110" s="350">
        <f t="shared" si="5"/>
        <v>-7005994.3173572049</v>
      </c>
      <c r="D110" s="350"/>
      <c r="E110" s="350"/>
      <c r="F110" s="350">
        <v>-7005994.3173572049</v>
      </c>
      <c r="G110" s="350"/>
      <c r="H110" s="350"/>
      <c r="I110" s="356"/>
      <c r="J110" s="357"/>
      <c r="K110" s="360"/>
    </row>
    <row r="111" spans="2:11">
      <c r="B111" s="362"/>
      <c r="C111" s="353"/>
      <c r="D111" s="353"/>
      <c r="E111" s="353"/>
      <c r="F111" s="353"/>
      <c r="G111" s="353"/>
      <c r="H111" s="353"/>
      <c r="I111" s="363"/>
      <c r="J111" s="364"/>
      <c r="K111" s="358"/>
    </row>
    <row r="112" spans="2:11">
      <c r="B112" s="214" t="s">
        <v>236</v>
      </c>
      <c r="C112" s="215">
        <f t="shared" ref="C112:H112" si="6">SUM(C97:C111)</f>
        <v>61436875.973107211</v>
      </c>
      <c r="D112" s="215">
        <f t="shared" si="6"/>
        <v>0</v>
      </c>
      <c r="E112" s="215">
        <f t="shared" si="6"/>
        <v>0</v>
      </c>
      <c r="F112" s="215">
        <f t="shared" si="6"/>
        <v>61436875.973107211</v>
      </c>
      <c r="G112" s="215">
        <f t="shared" si="6"/>
        <v>0</v>
      </c>
      <c r="H112" s="215">
        <f t="shared" si="6"/>
        <v>0</v>
      </c>
      <c r="I112" s="215"/>
      <c r="J112" s="215"/>
    </row>
    <row r="113" spans="2:22">
      <c r="B113" s="214"/>
      <c r="C113" s="215"/>
      <c r="D113" s="215"/>
      <c r="E113" s="215"/>
      <c r="F113" s="215"/>
      <c r="G113" s="215"/>
      <c r="H113" s="215"/>
      <c r="I113" s="215"/>
      <c r="J113" s="215"/>
    </row>
    <row r="114" spans="2:22">
      <c r="B114" s="214"/>
      <c r="C114" s="215"/>
      <c r="D114" s="215"/>
      <c r="E114" s="215"/>
      <c r="F114" s="215"/>
      <c r="G114" s="215"/>
      <c r="H114" s="215"/>
      <c r="I114" s="215"/>
      <c r="J114" s="215"/>
    </row>
    <row r="115" spans="2:22">
      <c r="E115" s="227"/>
      <c r="H115" s="209" t="s">
        <v>3</v>
      </c>
      <c r="I115" s="218"/>
      <c r="J115" s="209"/>
      <c r="K115" s="209"/>
    </row>
    <row r="116" spans="2:22">
      <c r="B116" s="217" t="s">
        <v>333</v>
      </c>
      <c r="C116" s="207"/>
      <c r="E116" s="211"/>
      <c r="F116" s="211"/>
      <c r="G116" s="219"/>
      <c r="H116" s="219"/>
      <c r="I116" s="219"/>
    </row>
    <row r="117" spans="2:22">
      <c r="B117" s="217"/>
      <c r="C117" s="207"/>
      <c r="E117" s="211"/>
      <c r="F117" s="211"/>
      <c r="G117" s="219"/>
      <c r="H117" s="219"/>
      <c r="I117" s="219"/>
    </row>
    <row r="118" spans="2:22" ht="12.75" customHeight="1">
      <c r="B118" s="1117" t="s">
        <v>326</v>
      </c>
      <c r="C118" s="1117"/>
      <c r="D118" s="1117"/>
      <c r="E118" s="1117"/>
      <c r="F118" s="1117"/>
      <c r="G118" s="1117"/>
      <c r="H118" s="1117"/>
      <c r="I118" s="1117"/>
    </row>
    <row r="119" spans="2:22" ht="12" customHeight="1">
      <c r="B119" s="1117" t="s">
        <v>327</v>
      </c>
      <c r="C119" s="1117"/>
      <c r="D119" s="1117"/>
      <c r="E119" s="1117"/>
      <c r="F119" s="1117"/>
      <c r="G119" s="1117"/>
      <c r="H119" s="1117"/>
      <c r="I119" s="1117"/>
    </row>
    <row r="120" spans="2:22">
      <c r="B120" s="694" t="s">
        <v>328</v>
      </c>
      <c r="C120" s="211"/>
      <c r="D120" s="211"/>
      <c r="E120" s="211"/>
      <c r="F120" s="211"/>
      <c r="G120" s="219"/>
      <c r="H120" s="219"/>
      <c r="I120" s="219"/>
    </row>
    <row r="121" spans="2:22">
      <c r="B121" s="694" t="s">
        <v>329</v>
      </c>
      <c r="C121" s="211"/>
      <c r="D121" s="211"/>
      <c r="E121" s="211"/>
      <c r="F121" s="211"/>
      <c r="G121" s="219"/>
      <c r="H121" s="219"/>
      <c r="I121" s="219"/>
    </row>
    <row r="122" spans="2:22">
      <c r="B122" s="694" t="s">
        <v>330</v>
      </c>
      <c r="C122" s="211"/>
      <c r="D122" s="211"/>
      <c r="E122" s="211"/>
      <c r="F122" s="211"/>
      <c r="G122" s="219"/>
      <c r="H122" s="219"/>
      <c r="I122" s="219"/>
      <c r="V122" s="228"/>
    </row>
    <row r="123" spans="2:22">
      <c r="B123" s="213" t="s">
        <v>331</v>
      </c>
      <c r="C123" s="213"/>
      <c r="D123" s="213"/>
      <c r="E123" s="213"/>
      <c r="F123" s="213"/>
      <c r="G123" s="213"/>
      <c r="H123" s="213"/>
      <c r="I123" s="213"/>
    </row>
    <row r="124" spans="2:22">
      <c r="B124" s="229"/>
      <c r="C124" s="207"/>
      <c r="D124" s="207"/>
      <c r="E124" s="211"/>
      <c r="F124" s="211"/>
      <c r="G124" s="219"/>
      <c r="H124" s="219"/>
      <c r="I124" s="219"/>
    </row>
    <row r="125" spans="2:22">
      <c r="B125" s="229"/>
      <c r="C125" s="207"/>
      <c r="D125" s="207"/>
      <c r="E125" s="211"/>
      <c r="F125" s="211"/>
      <c r="G125" s="219"/>
      <c r="H125" s="219"/>
      <c r="I125" s="219"/>
    </row>
    <row r="126" spans="2:22" ht="15.75">
      <c r="B126" s="230"/>
      <c r="C126" s="207"/>
      <c r="D126" s="207"/>
      <c r="E126" s="211"/>
      <c r="F126" s="211"/>
      <c r="G126" s="219"/>
      <c r="H126" s="219"/>
      <c r="I126" s="219"/>
      <c r="K126" s="3" t="str">
        <f>K1</f>
        <v>Attachment H -11A, Attachment 5a</v>
      </c>
    </row>
    <row r="127" spans="2:22" ht="16.5" thickBot="1">
      <c r="B127" s="206" t="s">
        <v>101</v>
      </c>
      <c r="C127" s="206" t="s">
        <v>102</v>
      </c>
      <c r="D127" s="206" t="s">
        <v>103</v>
      </c>
      <c r="E127" s="206" t="s">
        <v>104</v>
      </c>
      <c r="F127" s="206" t="s">
        <v>105</v>
      </c>
      <c r="G127" s="206" t="s">
        <v>106</v>
      </c>
      <c r="H127" s="206" t="s">
        <v>107</v>
      </c>
      <c r="I127" s="206"/>
      <c r="J127" s="206"/>
      <c r="K127" s="32" t="s">
        <v>519</v>
      </c>
    </row>
    <row r="128" spans="2:22" ht="16.5" thickBot="1">
      <c r="B128" s="221"/>
      <c r="C128" s="1118"/>
      <c r="D128" s="1119"/>
      <c r="E128" s="1119"/>
      <c r="F128" s="1119"/>
      <c r="G128" s="1119"/>
      <c r="H128" s="1120"/>
      <c r="I128" s="206"/>
      <c r="J128" s="206"/>
      <c r="K128" s="3" t="str">
        <f>'Attachment H-11A '!K4</f>
        <v>For the 12 months ended 12/31/2022</v>
      </c>
    </row>
    <row r="129" spans="2:11">
      <c r="B129" s="208"/>
      <c r="I129" s="225"/>
      <c r="J129" s="225"/>
    </row>
    <row r="130" spans="2:11">
      <c r="B130" s="229"/>
      <c r="C130" s="207"/>
      <c r="D130" s="207"/>
      <c r="E130" s="211"/>
      <c r="F130" s="211"/>
      <c r="G130" s="219"/>
      <c r="H130" s="219"/>
      <c r="I130" s="219"/>
    </row>
    <row r="131" spans="2:11">
      <c r="B131" s="229"/>
      <c r="C131" s="207"/>
      <c r="D131" s="207"/>
      <c r="E131" s="211"/>
      <c r="F131" s="211"/>
      <c r="G131" s="219"/>
      <c r="H131" s="219"/>
      <c r="I131" s="219"/>
    </row>
    <row r="132" spans="2:11">
      <c r="B132" s="224" t="s">
        <v>334</v>
      </c>
      <c r="C132" s="206" t="s">
        <v>318</v>
      </c>
      <c r="D132" s="206" t="s">
        <v>310</v>
      </c>
      <c r="E132" s="206" t="s">
        <v>319</v>
      </c>
      <c r="F132" s="206" t="s">
        <v>320</v>
      </c>
      <c r="G132" s="206"/>
      <c r="H132" s="206"/>
      <c r="I132" s="225"/>
      <c r="J132" s="225"/>
    </row>
    <row r="133" spans="2:11">
      <c r="B133" s="208"/>
      <c r="C133" s="206" t="s">
        <v>321</v>
      </c>
      <c r="D133" s="206" t="s">
        <v>313</v>
      </c>
      <c r="E133" s="206" t="s">
        <v>322</v>
      </c>
      <c r="F133" s="206" t="s">
        <v>24</v>
      </c>
      <c r="G133" s="206" t="s">
        <v>311</v>
      </c>
      <c r="H133" s="206" t="s">
        <v>312</v>
      </c>
      <c r="I133" s="225"/>
      <c r="J133" s="225"/>
      <c r="K133" s="206" t="s">
        <v>324</v>
      </c>
    </row>
    <row r="134" spans="2:11">
      <c r="B134" s="213" t="s">
        <v>3</v>
      </c>
      <c r="C134" s="206" t="s">
        <v>335</v>
      </c>
      <c r="E134" s="206" t="s">
        <v>313</v>
      </c>
      <c r="F134" s="206" t="s">
        <v>313</v>
      </c>
      <c r="G134" s="206" t="s">
        <v>313</v>
      </c>
      <c r="H134" s="206" t="s">
        <v>313</v>
      </c>
      <c r="I134" s="225"/>
      <c r="J134" s="225"/>
    </row>
    <row r="135" spans="2:11">
      <c r="B135" s="226"/>
      <c r="C135" s="215"/>
      <c r="D135" s="215"/>
      <c r="E135" s="215"/>
      <c r="F135" s="215"/>
      <c r="G135" s="215"/>
      <c r="H135" s="215"/>
      <c r="I135" s="365"/>
      <c r="J135" s="366"/>
    </row>
    <row r="136" spans="2:11">
      <c r="B136" s="348" t="s">
        <v>1346</v>
      </c>
      <c r="C136" s="361">
        <f>F136</f>
        <v>158695.62749935669</v>
      </c>
      <c r="D136" s="350"/>
      <c r="E136" s="350"/>
      <c r="F136" s="350">
        <v>158695.62749935669</v>
      </c>
      <c r="G136" s="350"/>
      <c r="H136" s="350"/>
      <c r="I136" s="350"/>
      <c r="J136" s="350"/>
      <c r="K136" s="350"/>
    </row>
    <row r="137" spans="2:11">
      <c r="B137" s="348" t="s">
        <v>1457</v>
      </c>
      <c r="C137" s="361">
        <f t="shared" ref="C137:C141" si="7">F137</f>
        <v>2453078.7272963887</v>
      </c>
      <c r="D137" s="350"/>
      <c r="E137" s="350"/>
      <c r="F137" s="350">
        <v>2453078.7272963887</v>
      </c>
      <c r="G137" s="350"/>
      <c r="H137" s="350"/>
      <c r="I137" s="350"/>
      <c r="J137" s="350"/>
      <c r="K137" s="350"/>
    </row>
    <row r="138" spans="2:11">
      <c r="B138" s="348" t="s">
        <v>1455</v>
      </c>
      <c r="C138" s="361">
        <f t="shared" si="7"/>
        <v>1667824.6012847917</v>
      </c>
      <c r="D138" s="350"/>
      <c r="E138" s="350"/>
      <c r="F138" s="350">
        <v>1667824.6012847917</v>
      </c>
      <c r="G138" s="350"/>
      <c r="H138" s="350"/>
      <c r="I138" s="350"/>
      <c r="J138" s="350"/>
      <c r="K138" s="350"/>
    </row>
    <row r="139" spans="2:11">
      <c r="B139" s="348" t="s">
        <v>1456</v>
      </c>
      <c r="C139" s="361">
        <f t="shared" si="7"/>
        <v>292681.32789411221</v>
      </c>
      <c r="D139" s="350"/>
      <c r="E139" s="350"/>
      <c r="F139" s="350">
        <v>292681.32789411221</v>
      </c>
      <c r="G139" s="350"/>
      <c r="H139" s="350"/>
      <c r="I139" s="350"/>
      <c r="J139" s="350"/>
      <c r="K139" s="350"/>
    </row>
    <row r="140" spans="2:11">
      <c r="B140" s="348" t="s">
        <v>1477</v>
      </c>
      <c r="C140" s="361">
        <f t="shared" si="7"/>
        <v>580383.68154747598</v>
      </c>
      <c r="D140" s="350"/>
      <c r="E140" s="350"/>
      <c r="F140" s="350">
        <v>580383.68154747598</v>
      </c>
      <c r="G140" s="350"/>
      <c r="H140" s="350"/>
      <c r="I140" s="350"/>
      <c r="J140" s="350"/>
      <c r="K140" s="350"/>
    </row>
    <row r="141" spans="2:11">
      <c r="B141" s="348" t="s">
        <v>1475</v>
      </c>
      <c r="C141" s="361">
        <f t="shared" si="7"/>
        <v>-870810.14311457786</v>
      </c>
      <c r="D141" s="350"/>
      <c r="E141" s="350"/>
      <c r="F141" s="350">
        <v>-870810.14311457786</v>
      </c>
      <c r="G141" s="350"/>
      <c r="H141" s="350"/>
      <c r="I141" s="350"/>
      <c r="J141" s="350"/>
      <c r="K141" s="350"/>
    </row>
    <row r="142" spans="2:11">
      <c r="B142" s="348"/>
      <c r="C142" s="367"/>
      <c r="D142" s="353"/>
      <c r="E142" s="353"/>
      <c r="F142" s="353"/>
      <c r="G142" s="353"/>
      <c r="H142" s="353"/>
      <c r="I142" s="353"/>
      <c r="J142" s="353"/>
      <c r="K142" s="354"/>
    </row>
    <row r="143" spans="2:11">
      <c r="B143" s="214" t="s">
        <v>236</v>
      </c>
      <c r="C143" s="215">
        <f t="shared" ref="C143:H143" si="8">SUM(C136:C142)</f>
        <v>4281853.8224075474</v>
      </c>
      <c r="D143" s="215">
        <f t="shared" si="8"/>
        <v>0</v>
      </c>
      <c r="E143" s="215">
        <f t="shared" si="8"/>
        <v>0</v>
      </c>
      <c r="F143" s="215">
        <f t="shared" si="8"/>
        <v>4281853.8224075474</v>
      </c>
      <c r="G143" s="215">
        <f t="shared" si="8"/>
        <v>0</v>
      </c>
      <c r="H143" s="215">
        <f t="shared" si="8"/>
        <v>0</v>
      </c>
      <c r="I143" s="215"/>
      <c r="J143" s="215"/>
    </row>
    <row r="144" spans="2:11" ht="15.75">
      <c r="B144" s="127"/>
      <c r="C144" s="207"/>
      <c r="D144" s="207"/>
      <c r="E144" s="211"/>
      <c r="F144" s="211"/>
      <c r="G144" s="219"/>
      <c r="H144" s="219"/>
      <c r="I144" s="219"/>
    </row>
    <row r="145" spans="2:11">
      <c r="B145" s="208"/>
      <c r="C145" s="208"/>
      <c r="D145" s="208"/>
      <c r="E145" s="208"/>
      <c r="F145" s="208"/>
      <c r="G145" s="208"/>
      <c r="H145" s="224"/>
      <c r="I145" s="224"/>
    </row>
    <row r="146" spans="2:11">
      <c r="B146" s="217"/>
      <c r="E146" s="211"/>
      <c r="F146" s="211"/>
      <c r="G146" s="211"/>
      <c r="H146" s="211"/>
      <c r="I146" s="215"/>
      <c r="J146" s="211"/>
    </row>
    <row r="147" spans="2:11">
      <c r="B147" s="217" t="s">
        <v>336</v>
      </c>
      <c r="C147" s="207"/>
      <c r="D147" s="207"/>
      <c r="E147" s="211"/>
      <c r="F147" s="211"/>
      <c r="G147" s="219"/>
      <c r="H147" s="219"/>
      <c r="I147" s="219"/>
    </row>
    <row r="148" spans="2:11">
      <c r="B148" s="229"/>
      <c r="C148" s="207"/>
      <c r="D148" s="207"/>
      <c r="E148" s="207"/>
      <c r="F148" s="207"/>
      <c r="G148" s="207"/>
      <c r="H148" s="207"/>
      <c r="I148" s="207"/>
    </row>
    <row r="149" spans="2:11" ht="12.95" customHeight="1">
      <c r="B149" s="1117" t="s">
        <v>326</v>
      </c>
      <c r="C149" s="1117"/>
      <c r="D149" s="1117"/>
      <c r="E149" s="1117"/>
      <c r="F149" s="1117"/>
      <c r="G149" s="1117"/>
      <c r="H149" s="1117"/>
      <c r="I149" s="1117"/>
    </row>
    <row r="150" spans="2:11" ht="12.95" customHeight="1">
      <c r="B150" s="1117" t="s">
        <v>327</v>
      </c>
      <c r="C150" s="1117"/>
      <c r="D150" s="1117"/>
      <c r="E150" s="1117"/>
      <c r="F150" s="1117"/>
      <c r="G150" s="1117"/>
      <c r="H150" s="1117"/>
      <c r="I150" s="1117"/>
    </row>
    <row r="151" spans="2:11">
      <c r="B151" s="694" t="s">
        <v>328</v>
      </c>
      <c r="C151" s="211"/>
      <c r="D151" s="211"/>
      <c r="E151" s="211"/>
      <c r="F151" s="211"/>
      <c r="G151" s="219"/>
      <c r="H151" s="219"/>
      <c r="I151" s="219"/>
    </row>
    <row r="152" spans="2:11">
      <c r="B152" s="694" t="s">
        <v>329</v>
      </c>
      <c r="C152" s="211"/>
      <c r="D152" s="211"/>
      <c r="E152" s="211"/>
      <c r="F152" s="211"/>
      <c r="G152" s="219"/>
      <c r="H152" s="219"/>
      <c r="I152" s="219"/>
    </row>
    <row r="153" spans="2:11">
      <c r="B153" s="694" t="s">
        <v>330</v>
      </c>
      <c r="C153" s="211"/>
      <c r="D153" s="211"/>
      <c r="E153" s="211"/>
      <c r="F153" s="211"/>
      <c r="G153" s="219"/>
      <c r="H153" s="219"/>
      <c r="I153" s="219"/>
    </row>
    <row r="154" spans="2:11">
      <c r="B154" s="213" t="s">
        <v>331</v>
      </c>
      <c r="C154" s="213"/>
      <c r="D154" s="213"/>
      <c r="E154" s="213"/>
      <c r="F154" s="213"/>
      <c r="G154" s="213"/>
      <c r="H154" s="213"/>
      <c r="I154" s="213"/>
    </row>
    <row r="155" spans="2:11">
      <c r="B155" s="211"/>
      <c r="C155" s="211"/>
      <c r="D155" s="211"/>
      <c r="E155" s="211"/>
      <c r="F155" s="211"/>
      <c r="G155" s="211"/>
      <c r="H155" s="231"/>
      <c r="I155" s="231"/>
    </row>
    <row r="156" spans="2:11">
      <c r="C156" s="207"/>
      <c r="D156" s="207"/>
      <c r="E156" s="211"/>
      <c r="F156" s="211"/>
      <c r="G156" s="219"/>
      <c r="H156" s="219"/>
      <c r="I156" s="219"/>
    </row>
    <row r="157" spans="2:11">
      <c r="B157" s="230"/>
      <c r="C157" s="207"/>
      <c r="D157" s="207"/>
      <c r="E157" s="211"/>
      <c r="F157" s="211"/>
      <c r="G157" s="219"/>
      <c r="H157" s="219"/>
      <c r="I157" s="219"/>
    </row>
    <row r="158" spans="2:11" ht="16.5" thickBot="1">
      <c r="B158" s="206" t="s">
        <v>101</v>
      </c>
      <c r="C158" s="206" t="s">
        <v>102</v>
      </c>
      <c r="D158" s="206" t="s">
        <v>103</v>
      </c>
      <c r="E158" s="206" t="s">
        <v>104</v>
      </c>
      <c r="F158" s="206" t="s">
        <v>105</v>
      </c>
      <c r="G158" s="206" t="s">
        <v>106</v>
      </c>
      <c r="H158" s="206" t="s">
        <v>107</v>
      </c>
      <c r="I158" s="206"/>
      <c r="J158" s="206"/>
      <c r="K158" s="3" t="str">
        <f>K1</f>
        <v>Attachment H -11A, Attachment 5a</v>
      </c>
    </row>
    <row r="159" spans="2:11" ht="16.5" thickBot="1">
      <c r="B159" s="221"/>
      <c r="C159" s="1118"/>
      <c r="D159" s="1119"/>
      <c r="E159" s="1119"/>
      <c r="F159" s="1119"/>
      <c r="G159" s="1119"/>
      <c r="H159" s="1120"/>
      <c r="I159" s="206"/>
      <c r="J159" s="206"/>
      <c r="K159" s="32" t="s">
        <v>518</v>
      </c>
    </row>
    <row r="160" spans="2:11" ht="15.75">
      <c r="B160" s="208"/>
      <c r="I160" s="225"/>
      <c r="J160" s="225"/>
      <c r="K160" s="3" t="str">
        <f>'Attachment H-11A '!K4</f>
        <v>For the 12 months ended 12/31/2022</v>
      </c>
    </row>
    <row r="161" spans="2:11">
      <c r="B161" s="208"/>
      <c r="C161" s="208"/>
      <c r="D161" s="208"/>
      <c r="E161" s="208"/>
      <c r="F161" s="208"/>
      <c r="G161" s="208"/>
      <c r="H161" s="224"/>
      <c r="I161" s="224"/>
    </row>
    <row r="162" spans="2:11">
      <c r="B162" s="208"/>
      <c r="C162" s="208"/>
      <c r="D162" s="208"/>
      <c r="E162" s="208"/>
      <c r="F162" s="208"/>
      <c r="G162" s="208"/>
      <c r="H162" s="224"/>
      <c r="I162" s="224"/>
    </row>
    <row r="163" spans="2:11">
      <c r="B163" s="224" t="s">
        <v>337</v>
      </c>
      <c r="C163" s="206" t="s">
        <v>318</v>
      </c>
      <c r="D163" s="206" t="s">
        <v>310</v>
      </c>
      <c r="E163" s="206" t="s">
        <v>319</v>
      </c>
      <c r="F163" s="206" t="s">
        <v>320</v>
      </c>
      <c r="G163" s="206"/>
      <c r="H163" s="206"/>
      <c r="I163" s="225"/>
      <c r="J163" s="225"/>
    </row>
    <row r="164" spans="2:11">
      <c r="B164" s="208"/>
      <c r="C164" s="206" t="s">
        <v>321</v>
      </c>
      <c r="D164" s="206" t="s">
        <v>313</v>
      </c>
      <c r="E164" s="206" t="s">
        <v>322</v>
      </c>
      <c r="F164" s="206" t="s">
        <v>24</v>
      </c>
      <c r="G164" s="206" t="s">
        <v>311</v>
      </c>
      <c r="H164" s="206" t="s">
        <v>312</v>
      </c>
      <c r="I164" s="225"/>
      <c r="J164" s="225"/>
      <c r="K164" s="206" t="s">
        <v>324</v>
      </c>
    </row>
    <row r="165" spans="2:11">
      <c r="B165" s="213" t="s">
        <v>3</v>
      </c>
      <c r="C165" s="206" t="s">
        <v>338</v>
      </c>
      <c r="E165" s="206" t="s">
        <v>313</v>
      </c>
      <c r="F165" s="206" t="s">
        <v>313</v>
      </c>
      <c r="G165" s="206" t="s">
        <v>313</v>
      </c>
      <c r="H165" s="206" t="s">
        <v>313</v>
      </c>
      <c r="I165" s="225"/>
      <c r="J165" s="225"/>
    </row>
    <row r="166" spans="2:11">
      <c r="B166" s="226"/>
      <c r="C166" s="215"/>
      <c r="D166" s="215"/>
      <c r="E166" s="215"/>
      <c r="F166" s="215"/>
      <c r="G166" s="215"/>
      <c r="H166" s="215"/>
      <c r="I166" s="365"/>
      <c r="J166" s="366"/>
    </row>
    <row r="167" spans="2:11">
      <c r="B167" s="348"/>
      <c r="C167" s="361"/>
      <c r="D167" s="350"/>
      <c r="E167" s="350"/>
      <c r="F167" s="350"/>
      <c r="G167" s="350"/>
      <c r="H167" s="350"/>
      <c r="I167" s="350"/>
      <c r="J167" s="350"/>
      <c r="K167" s="350"/>
    </row>
    <row r="168" spans="2:11">
      <c r="B168" s="348"/>
      <c r="C168" s="361"/>
      <c r="D168" s="350"/>
      <c r="E168" s="350"/>
      <c r="F168" s="350"/>
      <c r="G168" s="350"/>
      <c r="H168" s="350"/>
      <c r="I168" s="350"/>
      <c r="J168" s="350"/>
      <c r="K168" s="350"/>
    </row>
    <row r="169" spans="2:11">
      <c r="B169" s="348"/>
      <c r="C169" s="361"/>
      <c r="D169" s="350"/>
      <c r="E169" s="350"/>
      <c r="F169" s="350"/>
      <c r="G169" s="350"/>
      <c r="H169" s="350"/>
      <c r="I169" s="350"/>
      <c r="J169" s="350"/>
      <c r="K169" s="350"/>
    </row>
    <row r="170" spans="2:11">
      <c r="B170" s="348"/>
      <c r="C170" s="361"/>
      <c r="D170" s="350"/>
      <c r="E170" s="350"/>
      <c r="F170" s="350"/>
      <c r="G170" s="350"/>
      <c r="H170" s="350"/>
      <c r="I170" s="350"/>
      <c r="J170" s="350"/>
      <c r="K170" s="350"/>
    </row>
    <row r="171" spans="2:11">
      <c r="B171" s="348"/>
      <c r="C171" s="361"/>
      <c r="D171" s="350"/>
      <c r="E171" s="350"/>
      <c r="F171" s="350"/>
      <c r="G171" s="350"/>
      <c r="H171" s="350"/>
      <c r="I171" s="350"/>
      <c r="J171" s="350"/>
      <c r="K171" s="351"/>
    </row>
    <row r="172" spans="2:11">
      <c r="B172" s="348"/>
      <c r="C172" s="361"/>
      <c r="D172" s="350"/>
      <c r="E172" s="350"/>
      <c r="F172" s="350"/>
      <c r="G172" s="350"/>
      <c r="H172" s="350"/>
      <c r="I172" s="350"/>
      <c r="J172" s="350"/>
      <c r="K172" s="351"/>
    </row>
    <row r="173" spans="2:11">
      <c r="B173" s="348"/>
      <c r="C173" s="361"/>
      <c r="D173" s="350"/>
      <c r="E173" s="350"/>
      <c r="F173" s="350"/>
      <c r="G173" s="350"/>
      <c r="H173" s="350"/>
      <c r="I173" s="350"/>
      <c r="J173" s="350"/>
      <c r="K173" s="350"/>
    </row>
    <row r="174" spans="2:11">
      <c r="B174" s="348"/>
      <c r="C174" s="361"/>
      <c r="D174" s="350"/>
      <c r="E174" s="350"/>
      <c r="F174" s="350"/>
      <c r="G174" s="350"/>
      <c r="H174" s="350"/>
      <c r="I174" s="350"/>
      <c r="J174" s="350"/>
      <c r="K174" s="350"/>
    </row>
    <row r="175" spans="2:11">
      <c r="B175" s="348"/>
      <c r="C175" s="367"/>
      <c r="D175" s="353"/>
      <c r="E175" s="353"/>
      <c r="F175" s="353"/>
      <c r="G175" s="353"/>
      <c r="H175" s="353"/>
      <c r="I175" s="353"/>
      <c r="J175" s="353"/>
      <c r="K175" s="354"/>
    </row>
    <row r="176" spans="2:11">
      <c r="B176" s="214" t="s">
        <v>236</v>
      </c>
      <c r="C176" s="215">
        <f t="shared" ref="C176:D176" si="9">SUM(C166:C175)</f>
        <v>0</v>
      </c>
      <c r="D176" s="215">
        <f t="shared" si="9"/>
        <v>0</v>
      </c>
      <c r="E176" s="215">
        <f>SUM(E166:E175)</f>
        <v>0</v>
      </c>
      <c r="F176" s="215">
        <f t="shared" ref="F176" si="10">SUM(F166:F175)</f>
        <v>0</v>
      </c>
      <c r="G176" s="215">
        <f t="shared" ref="G176" si="11">SUM(G166:G175)</f>
        <v>0</v>
      </c>
      <c r="H176" s="215">
        <f>SUM(H166:H175)</f>
        <v>0</v>
      </c>
      <c r="I176" s="215"/>
      <c r="J176" s="215"/>
    </row>
    <row r="177" spans="2:11">
      <c r="B177" s="208"/>
      <c r="C177" s="208"/>
      <c r="D177" s="208"/>
      <c r="E177" s="208"/>
      <c r="F177" s="208"/>
      <c r="G177" s="208"/>
      <c r="H177" s="224"/>
      <c r="I177" s="224"/>
    </row>
    <row r="178" spans="2:11">
      <c r="B178" s="208"/>
      <c r="C178" s="208"/>
      <c r="D178" s="208"/>
      <c r="E178" s="208"/>
      <c r="F178" s="208"/>
      <c r="G178" s="208"/>
      <c r="H178" s="224"/>
      <c r="I178" s="224"/>
    </row>
    <row r="179" spans="2:11">
      <c r="B179" s="217"/>
      <c r="E179" s="211"/>
      <c r="F179" s="211"/>
      <c r="G179" s="211"/>
      <c r="H179" s="211"/>
      <c r="I179" s="215"/>
      <c r="J179" s="211"/>
    </row>
    <row r="180" spans="2:11">
      <c r="B180" s="217" t="s">
        <v>341</v>
      </c>
      <c r="C180" s="207"/>
      <c r="D180" s="207"/>
      <c r="E180" s="211"/>
      <c r="F180" s="211"/>
      <c r="G180" s="219"/>
      <c r="H180" s="219"/>
      <c r="I180" s="219"/>
    </row>
    <row r="181" spans="2:11">
      <c r="B181" s="229"/>
      <c r="C181" s="207"/>
      <c r="D181" s="207"/>
      <c r="E181" s="207"/>
      <c r="F181" s="207"/>
      <c r="G181" s="207"/>
      <c r="H181" s="207"/>
      <c r="I181" s="207"/>
    </row>
    <row r="182" spans="2:11" ht="12.95" customHeight="1">
      <c r="B182" s="1117" t="s">
        <v>326</v>
      </c>
      <c r="C182" s="1117"/>
      <c r="D182" s="1117"/>
      <c r="E182" s="1117"/>
      <c r="F182" s="1117"/>
      <c r="G182" s="1117"/>
      <c r="H182" s="1117"/>
      <c r="I182" s="1117"/>
    </row>
    <row r="183" spans="2:11" ht="12.95" customHeight="1">
      <c r="B183" s="1117" t="s">
        <v>327</v>
      </c>
      <c r="C183" s="1117"/>
      <c r="D183" s="1117"/>
      <c r="E183" s="1117"/>
      <c r="F183" s="1117"/>
      <c r="G183" s="1117"/>
      <c r="H183" s="1117"/>
      <c r="I183" s="1117"/>
    </row>
    <row r="184" spans="2:11">
      <c r="B184" s="694" t="s">
        <v>328</v>
      </c>
      <c r="C184" s="211"/>
      <c r="D184" s="211"/>
      <c r="E184" s="211"/>
      <c r="F184" s="211"/>
      <c r="G184" s="219"/>
      <c r="H184" s="219"/>
      <c r="I184" s="219"/>
    </row>
    <row r="185" spans="2:11">
      <c r="B185" s="694" t="s">
        <v>329</v>
      </c>
      <c r="C185" s="211"/>
      <c r="D185" s="211"/>
      <c r="E185" s="211"/>
      <c r="F185" s="211"/>
      <c r="G185" s="219"/>
      <c r="H185" s="219"/>
      <c r="I185" s="219"/>
    </row>
    <row r="186" spans="2:11">
      <c r="B186" s="694" t="s">
        <v>330</v>
      </c>
      <c r="C186" s="211"/>
      <c r="D186" s="211"/>
      <c r="E186" s="211"/>
      <c r="F186" s="211"/>
      <c r="G186" s="219"/>
      <c r="H186" s="219"/>
      <c r="I186" s="219"/>
    </row>
    <row r="187" spans="2:11">
      <c r="B187" s="213" t="s">
        <v>331</v>
      </c>
      <c r="C187" s="213"/>
      <c r="D187" s="213"/>
      <c r="E187" s="213"/>
      <c r="F187" s="213"/>
      <c r="G187" s="213"/>
      <c r="H187" s="213"/>
      <c r="I187" s="213"/>
    </row>
    <row r="190" spans="2:11">
      <c r="C190" s="207"/>
      <c r="D190" s="207"/>
      <c r="E190" s="211"/>
      <c r="F190" s="211"/>
      <c r="G190" s="219"/>
      <c r="H190" s="219"/>
      <c r="I190" s="219"/>
    </row>
    <row r="191" spans="2:11">
      <c r="B191" s="229"/>
      <c r="C191" s="207"/>
      <c r="D191" s="207"/>
      <c r="E191" s="211"/>
      <c r="F191" s="211"/>
      <c r="G191" s="219"/>
      <c r="H191" s="219"/>
      <c r="I191" s="219"/>
    </row>
    <row r="192" spans="2:11" ht="15.75">
      <c r="B192" s="230"/>
      <c r="C192" s="207"/>
      <c r="D192" s="207"/>
      <c r="E192" s="211"/>
      <c r="F192" s="211"/>
      <c r="G192" s="219"/>
      <c r="H192" s="219"/>
      <c r="I192" s="219"/>
      <c r="K192" s="3" t="str">
        <f>K1</f>
        <v>Attachment H -11A, Attachment 5a</v>
      </c>
    </row>
    <row r="193" spans="2:11" ht="16.5" thickBot="1">
      <c r="B193" s="206" t="s">
        <v>101</v>
      </c>
      <c r="C193" s="206" t="s">
        <v>102</v>
      </c>
      <c r="D193" s="206" t="s">
        <v>103</v>
      </c>
      <c r="E193" s="206" t="s">
        <v>104</v>
      </c>
      <c r="F193" s="206" t="s">
        <v>105</v>
      </c>
      <c r="G193" s="206" t="s">
        <v>106</v>
      </c>
      <c r="H193" s="206" t="s">
        <v>107</v>
      </c>
      <c r="I193" s="206"/>
      <c r="J193" s="206"/>
      <c r="K193" s="32" t="s">
        <v>517</v>
      </c>
    </row>
    <row r="194" spans="2:11" ht="16.5" thickBot="1">
      <c r="B194" s="221"/>
      <c r="C194" s="1118"/>
      <c r="D194" s="1119"/>
      <c r="E194" s="1119"/>
      <c r="F194" s="1119"/>
      <c r="G194" s="1119"/>
      <c r="H194" s="1120"/>
      <c r="I194" s="206"/>
      <c r="J194" s="206"/>
      <c r="K194" s="3" t="str">
        <f>'Attachment H-11A '!K4</f>
        <v>For the 12 months ended 12/31/2022</v>
      </c>
    </row>
    <row r="195" spans="2:11">
      <c r="B195" s="208"/>
      <c r="I195" s="225"/>
      <c r="J195" s="225"/>
    </row>
    <row r="196" spans="2:11" ht="15.75">
      <c r="B196" s="127"/>
      <c r="C196" s="207"/>
      <c r="D196" s="207"/>
      <c r="E196" s="211"/>
      <c r="F196" s="211"/>
      <c r="G196" s="219"/>
      <c r="H196" s="219"/>
      <c r="I196" s="219"/>
    </row>
    <row r="197" spans="2:11" ht="15.75">
      <c r="B197" s="127"/>
      <c r="C197" s="207"/>
      <c r="D197" s="207"/>
      <c r="E197" s="211"/>
      <c r="F197" s="211"/>
      <c r="G197" s="219"/>
      <c r="H197" s="219"/>
      <c r="I197" s="219"/>
    </row>
    <row r="198" spans="2:11">
      <c r="B198" s="224" t="s">
        <v>342</v>
      </c>
      <c r="C198" s="206" t="s">
        <v>318</v>
      </c>
      <c r="D198" s="206" t="s">
        <v>310</v>
      </c>
      <c r="E198" s="206" t="s">
        <v>319</v>
      </c>
      <c r="F198" s="206" t="s">
        <v>320</v>
      </c>
      <c r="G198" s="206"/>
      <c r="H198" s="206"/>
      <c r="I198" s="225"/>
      <c r="J198" s="225"/>
    </row>
    <row r="199" spans="2:11">
      <c r="B199" s="208"/>
      <c r="C199" s="206" t="s">
        <v>321</v>
      </c>
      <c r="D199" s="206" t="s">
        <v>313</v>
      </c>
      <c r="E199" s="206" t="s">
        <v>322</v>
      </c>
      <c r="F199" s="206" t="s">
        <v>24</v>
      </c>
      <c r="G199" s="206" t="s">
        <v>311</v>
      </c>
      <c r="H199" s="206" t="s">
        <v>312</v>
      </c>
      <c r="I199" s="225"/>
      <c r="J199" s="225"/>
      <c r="K199" s="206" t="s">
        <v>324</v>
      </c>
    </row>
    <row r="200" spans="2:11">
      <c r="B200" s="213" t="s">
        <v>3</v>
      </c>
      <c r="C200" s="206" t="s">
        <v>344</v>
      </c>
      <c r="E200" s="206" t="s">
        <v>313</v>
      </c>
      <c r="F200" s="206" t="s">
        <v>313</v>
      </c>
      <c r="G200" s="206" t="s">
        <v>313</v>
      </c>
      <c r="H200" s="206" t="s">
        <v>313</v>
      </c>
      <c r="I200" s="225"/>
      <c r="J200" s="225"/>
    </row>
    <row r="201" spans="2:11">
      <c r="B201" s="226"/>
      <c r="C201" s="215"/>
      <c r="D201" s="215"/>
      <c r="E201" s="215"/>
      <c r="F201" s="215"/>
      <c r="G201" s="215"/>
      <c r="H201" s="215"/>
      <c r="I201" s="365"/>
      <c r="J201" s="366"/>
    </row>
    <row r="202" spans="2:11">
      <c r="B202" s="348"/>
      <c r="C202" s="361"/>
      <c r="D202" s="350"/>
      <c r="E202" s="350"/>
      <c r="F202" s="350"/>
      <c r="G202" s="350"/>
      <c r="H202" s="350"/>
      <c r="I202" s="350"/>
      <c r="J202" s="350"/>
      <c r="K202" s="350"/>
    </row>
    <row r="203" spans="2:11">
      <c r="B203" s="348"/>
      <c r="C203" s="361"/>
      <c r="D203" s="350"/>
      <c r="E203" s="350"/>
      <c r="F203" s="350"/>
      <c r="G203" s="350"/>
      <c r="H203" s="350"/>
      <c r="I203" s="350"/>
      <c r="J203" s="350"/>
      <c r="K203" s="350"/>
    </row>
    <row r="204" spans="2:11">
      <c r="B204" s="348"/>
      <c r="C204" s="361"/>
      <c r="D204" s="350"/>
      <c r="E204" s="350"/>
      <c r="F204" s="350"/>
      <c r="G204" s="350"/>
      <c r="H204" s="350"/>
      <c r="I204" s="350"/>
      <c r="J204" s="350"/>
      <c r="K204" s="350"/>
    </row>
    <row r="205" spans="2:11">
      <c r="B205" s="348"/>
      <c r="C205" s="361"/>
      <c r="D205" s="350"/>
      <c r="E205" s="350"/>
      <c r="F205" s="350"/>
      <c r="G205" s="350"/>
      <c r="H205" s="350"/>
      <c r="I205" s="350"/>
      <c r="J205" s="350"/>
      <c r="K205" s="350"/>
    </row>
    <row r="206" spans="2:11">
      <c r="B206" s="348"/>
      <c r="C206" s="361"/>
      <c r="D206" s="350"/>
      <c r="E206" s="350"/>
      <c r="F206" s="350"/>
      <c r="G206" s="350"/>
      <c r="H206" s="350"/>
      <c r="I206" s="350"/>
      <c r="J206" s="350"/>
      <c r="K206" s="351"/>
    </row>
    <row r="207" spans="2:11">
      <c r="B207" s="348"/>
      <c r="C207" s="361"/>
      <c r="D207" s="350"/>
      <c r="E207" s="350"/>
      <c r="F207" s="350"/>
      <c r="G207" s="350"/>
      <c r="H207" s="350"/>
      <c r="I207" s="350"/>
      <c r="J207" s="350"/>
      <c r="K207" s="351"/>
    </row>
    <row r="208" spans="2:11">
      <c r="B208" s="348"/>
      <c r="C208" s="361"/>
      <c r="D208" s="350"/>
      <c r="E208" s="350"/>
      <c r="F208" s="350"/>
      <c r="G208" s="350"/>
      <c r="H208" s="350"/>
      <c r="I208" s="350"/>
      <c r="J208" s="350"/>
      <c r="K208" s="350"/>
    </row>
    <row r="209" spans="2:11">
      <c r="B209" s="348"/>
      <c r="C209" s="361"/>
      <c r="D209" s="350"/>
      <c r="E209" s="350"/>
      <c r="F209" s="350"/>
      <c r="G209" s="350"/>
      <c r="H209" s="350"/>
      <c r="I209" s="350"/>
      <c r="J209" s="350"/>
      <c r="K209" s="350"/>
    </row>
    <row r="210" spans="2:11">
      <c r="B210" s="348"/>
      <c r="C210" s="367"/>
      <c r="D210" s="353"/>
      <c r="E210" s="353"/>
      <c r="F210" s="353"/>
      <c r="G210" s="353"/>
      <c r="H210" s="353"/>
      <c r="I210" s="353"/>
      <c r="J210" s="353"/>
      <c r="K210" s="354"/>
    </row>
    <row r="211" spans="2:11">
      <c r="B211" s="214" t="s">
        <v>236</v>
      </c>
      <c r="C211" s="215">
        <f>SUM(C202:C210)</f>
        <v>0</v>
      </c>
      <c r="D211" s="215">
        <f t="shared" ref="D211:H211" si="12">SUM(D202:D210)</f>
        <v>0</v>
      </c>
      <c r="E211" s="215">
        <f t="shared" si="12"/>
        <v>0</v>
      </c>
      <c r="F211" s="215">
        <f t="shared" si="12"/>
        <v>0</v>
      </c>
      <c r="G211" s="215">
        <f t="shared" si="12"/>
        <v>0</v>
      </c>
      <c r="H211" s="215">
        <f t="shared" si="12"/>
        <v>0</v>
      </c>
      <c r="I211" s="215"/>
      <c r="J211" s="215"/>
    </row>
    <row r="212" spans="2:11">
      <c r="B212" s="214"/>
      <c r="C212" s="215"/>
      <c r="D212" s="215"/>
      <c r="E212" s="215"/>
      <c r="F212" s="215"/>
      <c r="G212" s="215"/>
      <c r="H212" s="215"/>
      <c r="I212" s="215"/>
      <c r="J212" s="215"/>
    </row>
    <row r="213" spans="2:11">
      <c r="C213" s="206"/>
      <c r="D213" s="206"/>
      <c r="E213" s="206"/>
      <c r="F213" s="206"/>
      <c r="G213" s="206"/>
      <c r="H213" s="206"/>
      <c r="I213" s="205"/>
    </row>
    <row r="214" spans="2:11">
      <c r="B214" s="217"/>
      <c r="E214" s="211"/>
      <c r="F214" s="211"/>
      <c r="G214" s="211"/>
      <c r="H214" s="211"/>
      <c r="I214" s="215"/>
      <c r="J214" s="211"/>
    </row>
    <row r="215" spans="2:11">
      <c r="B215" s="217" t="s">
        <v>343</v>
      </c>
      <c r="C215" s="207"/>
      <c r="D215" s="207"/>
      <c r="E215" s="211"/>
      <c r="F215" s="211"/>
      <c r="G215" s="219"/>
      <c r="H215" s="219"/>
      <c r="I215" s="219"/>
    </row>
    <row r="216" spans="2:11">
      <c r="B216" s="229"/>
      <c r="C216" s="207"/>
      <c r="D216" s="207"/>
      <c r="E216" s="207"/>
      <c r="F216" s="207"/>
      <c r="G216" s="207"/>
      <c r="H216" s="207"/>
      <c r="I216" s="207"/>
    </row>
    <row r="217" spans="2:11" ht="12.95" customHeight="1">
      <c r="B217" s="1117" t="s">
        <v>326</v>
      </c>
      <c r="C217" s="1117"/>
      <c r="D217" s="1117"/>
      <c r="E217" s="1117"/>
      <c r="F217" s="1117"/>
      <c r="G217" s="1117"/>
      <c r="H217" s="1117"/>
      <c r="I217" s="1117"/>
    </row>
    <row r="218" spans="2:11" ht="12.95" customHeight="1">
      <c r="B218" s="1117" t="s">
        <v>327</v>
      </c>
      <c r="C218" s="1117"/>
      <c r="D218" s="1117"/>
      <c r="E218" s="1117"/>
      <c r="F218" s="1117"/>
      <c r="G218" s="1117"/>
      <c r="H218" s="1117"/>
      <c r="I218" s="1117"/>
    </row>
    <row r="219" spans="2:11">
      <c r="B219" s="694" t="s">
        <v>328</v>
      </c>
      <c r="C219" s="211"/>
      <c r="D219" s="211"/>
      <c r="E219" s="211"/>
      <c r="F219" s="211"/>
      <c r="G219" s="219"/>
      <c r="H219" s="219"/>
      <c r="I219" s="219"/>
    </row>
    <row r="220" spans="2:11">
      <c r="B220" s="694" t="s">
        <v>329</v>
      </c>
      <c r="C220" s="211"/>
      <c r="D220" s="211"/>
      <c r="E220" s="211"/>
      <c r="F220" s="211"/>
      <c r="G220" s="219"/>
      <c r="H220" s="219"/>
      <c r="I220" s="219"/>
    </row>
    <row r="221" spans="2:11">
      <c r="B221" s="694" t="s">
        <v>330</v>
      </c>
      <c r="C221" s="211"/>
      <c r="D221" s="211"/>
      <c r="E221" s="211"/>
      <c r="F221" s="211"/>
      <c r="G221" s="219"/>
      <c r="H221" s="219"/>
      <c r="I221" s="219"/>
    </row>
    <row r="222" spans="2:11">
      <c r="B222" s="213" t="s">
        <v>331</v>
      </c>
      <c r="C222" s="213"/>
      <c r="D222" s="213"/>
      <c r="E222" s="213"/>
      <c r="F222" s="213"/>
      <c r="G222" s="213"/>
      <c r="H222" s="213"/>
      <c r="I222" s="213"/>
    </row>
  </sheetData>
  <mergeCells count="21">
    <mergeCell ref="C194:H194"/>
    <mergeCell ref="B217:I217"/>
    <mergeCell ref="B218:I218"/>
    <mergeCell ref="C159:H159"/>
    <mergeCell ref="B182:I182"/>
    <mergeCell ref="B183:I183"/>
    <mergeCell ref="C1:H1"/>
    <mergeCell ref="C3:H3"/>
    <mergeCell ref="C5:J5"/>
    <mergeCell ref="C6:J6"/>
    <mergeCell ref="B150:I150"/>
    <mergeCell ref="C128:H128"/>
    <mergeCell ref="B149:I149"/>
    <mergeCell ref="C21:J21"/>
    <mergeCell ref="C22:J22"/>
    <mergeCell ref="B118:I118"/>
    <mergeCell ref="B119:I119"/>
    <mergeCell ref="C46:H46"/>
    <mergeCell ref="B80:I80"/>
    <mergeCell ref="B81:I81"/>
    <mergeCell ref="C88:H88"/>
  </mergeCells>
  <printOptions horizontalCentered="1"/>
  <pageMargins left="0.5" right="0" top="1" bottom="0.5" header="0.5" footer="0.5"/>
  <pageSetup scale="37" fitToHeight="0" orientation="landscape" r:id="rId1"/>
  <headerFooter alignWithMargins="0"/>
  <rowBreaks count="5" manualBreakCount="5">
    <brk id="44" max="10" man="1"/>
    <brk id="86" max="10" man="1"/>
    <brk id="125" max="10" man="1"/>
    <brk id="155" max="10" man="1"/>
    <brk id="190"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55"/>
  <sheetViews>
    <sheetView view="pageBreakPreview" zoomScale="70" zoomScaleNormal="100" zoomScaleSheetLayoutView="70" workbookViewId="0"/>
  </sheetViews>
  <sheetFormatPr defaultColWidth="8.88671875" defaultRowHeight="15"/>
  <cols>
    <col min="1" max="1" width="8.88671875" style="263"/>
    <col min="2" max="2" width="9" style="263" customWidth="1"/>
    <col min="3" max="3" width="27.109375" style="263" customWidth="1"/>
    <col min="4" max="4" width="3.109375" style="263" customWidth="1"/>
    <col min="5" max="5" width="14.88671875" style="263" customWidth="1"/>
    <col min="6" max="6" width="15.33203125" style="263" customWidth="1"/>
    <col min="7" max="8" width="13.88671875" style="263" customWidth="1"/>
    <col min="9" max="9" width="13.5546875" style="263" customWidth="1"/>
    <col min="10" max="10" width="16.5546875" style="263" customWidth="1"/>
    <col min="11" max="11" width="15.33203125" style="263" customWidth="1"/>
    <col min="12" max="12" width="12.88671875" style="263" customWidth="1"/>
    <col min="13" max="13" width="15.33203125" style="263" customWidth="1"/>
    <col min="14" max="16384" width="8.88671875" style="263"/>
  </cols>
  <sheetData>
    <row r="1" spans="1:13" ht="15.75">
      <c r="M1" s="3" t="str">
        <f>'Attachment H-11A '!K1&amp;""&amp;", Attachment 5b"</f>
        <v>Attachment H -11A, Attachment 5b</v>
      </c>
    </row>
    <row r="2" spans="1:13" ht="15.75">
      <c r="M2" s="3" t="s">
        <v>168</v>
      </c>
    </row>
    <row r="3" spans="1:13" ht="15.75">
      <c r="M3" s="3" t="str">
        <f>'Attachment 1 - Sched 1A'!$J$3</f>
        <v>For the 12 months ended 12/31/2022</v>
      </c>
    </row>
    <row r="4" spans="1:13" ht="15.75">
      <c r="C4" s="41"/>
    </row>
    <row r="5" spans="1:13" ht="15.75" thickBot="1">
      <c r="C5" s="622" t="s">
        <v>101</v>
      </c>
      <c r="D5" s="268"/>
      <c r="E5" s="622" t="s">
        <v>102</v>
      </c>
      <c r="F5" s="622" t="s">
        <v>103</v>
      </c>
      <c r="G5" s="622" t="s">
        <v>104</v>
      </c>
      <c r="H5" s="622" t="s">
        <v>105</v>
      </c>
      <c r="I5" s="622" t="s">
        <v>106</v>
      </c>
      <c r="J5" s="622" t="s">
        <v>107</v>
      </c>
      <c r="K5" s="622" t="s">
        <v>109</v>
      </c>
      <c r="L5" s="622" t="s">
        <v>110</v>
      </c>
    </row>
    <row r="6" spans="1:13" ht="15.75" thickBot="1">
      <c r="A6" s="623" t="s">
        <v>5</v>
      </c>
      <c r="B6" s="623"/>
      <c r="C6" s="624"/>
      <c r="D6" s="625"/>
      <c r="E6" s="1124" t="str">
        <f>MID(M3:M3,31,10)&amp;" "&amp;"Quarterly Activity and Balances"</f>
        <v>2022 Quarterly Activity and Balances</v>
      </c>
      <c r="F6" s="1124"/>
      <c r="G6" s="1124"/>
      <c r="H6" s="1124"/>
      <c r="I6" s="1124"/>
      <c r="J6" s="1124"/>
      <c r="K6" s="1124"/>
      <c r="L6" s="1125"/>
    </row>
    <row r="7" spans="1:13">
      <c r="C7" s="265"/>
      <c r="E7" s="266"/>
      <c r="F7" s="266"/>
      <c r="G7" s="266"/>
      <c r="H7" s="266"/>
      <c r="I7" s="266"/>
      <c r="J7" s="266"/>
      <c r="K7" s="266"/>
      <c r="L7" s="267"/>
    </row>
    <row r="8" spans="1:13" ht="30">
      <c r="C8" s="626" t="s">
        <v>613</v>
      </c>
      <c r="D8" s="627"/>
      <c r="E8" s="628" t="s">
        <v>556</v>
      </c>
      <c r="F8" s="629" t="s">
        <v>557</v>
      </c>
      <c r="G8" s="628" t="s">
        <v>558</v>
      </c>
      <c r="H8" s="629" t="s">
        <v>559</v>
      </c>
      <c r="I8" s="628" t="s">
        <v>560</v>
      </c>
      <c r="J8" s="629" t="s">
        <v>561</v>
      </c>
      <c r="K8" s="628" t="s">
        <v>562</v>
      </c>
      <c r="L8" s="630" t="s">
        <v>563</v>
      </c>
    </row>
    <row r="9" spans="1:13">
      <c r="A9" s="631">
        <v>1</v>
      </c>
      <c r="B9" s="622" t="s">
        <v>583</v>
      </c>
      <c r="C9" s="632"/>
      <c r="D9" s="268"/>
      <c r="E9" s="633"/>
      <c r="F9" s="268">
        <f>SUM(C9:E9)</f>
        <v>0</v>
      </c>
      <c r="G9" s="633"/>
      <c r="H9" s="268">
        <f>SUM(F9:G9)</f>
        <v>0</v>
      </c>
      <c r="I9" s="633"/>
      <c r="J9" s="268">
        <f>SUM(H9:I9)</f>
        <v>0</v>
      </c>
      <c r="K9" s="633"/>
      <c r="L9" s="271">
        <f>SUM(J9:K9)</f>
        <v>0</v>
      </c>
    </row>
    <row r="10" spans="1:13">
      <c r="C10" s="272"/>
      <c r="D10" s="268"/>
      <c r="E10" s="268"/>
      <c r="F10" s="268"/>
      <c r="G10" s="268"/>
      <c r="H10" s="268"/>
      <c r="I10" s="268"/>
      <c r="J10" s="268"/>
      <c r="K10" s="268"/>
      <c r="L10" s="271"/>
    </row>
    <row r="11" spans="1:13" ht="30">
      <c r="C11" s="634" t="str">
        <f>C8</f>
        <v>Beginning 190 (including adjustments)</v>
      </c>
      <c r="D11" s="268"/>
      <c r="E11" s="269" t="s">
        <v>425</v>
      </c>
      <c r="F11" s="268"/>
      <c r="G11" s="269" t="s">
        <v>426</v>
      </c>
      <c r="H11" s="268"/>
      <c r="I11" s="269" t="s">
        <v>427</v>
      </c>
      <c r="J11" s="268"/>
      <c r="K11" s="269" t="s">
        <v>428</v>
      </c>
      <c r="L11" s="271"/>
    </row>
    <row r="12" spans="1:13">
      <c r="A12" s="631">
        <v>2</v>
      </c>
      <c r="B12" s="622" t="s">
        <v>583</v>
      </c>
      <c r="C12" s="270">
        <f>C9</f>
        <v>0</v>
      </c>
      <c r="D12" s="268"/>
      <c r="E12" s="269">
        <f>(276/365)*E9</f>
        <v>0</v>
      </c>
      <c r="F12" s="268"/>
      <c r="G12" s="269">
        <f>(185/365)*G9</f>
        <v>0</v>
      </c>
      <c r="H12" s="268"/>
      <c r="I12" s="269">
        <f>(93/365)*I9</f>
        <v>0</v>
      </c>
      <c r="J12" s="268"/>
      <c r="K12" s="269">
        <f>(1/365)*K9</f>
        <v>0</v>
      </c>
      <c r="L12" s="271"/>
      <c r="M12" s="635"/>
    </row>
    <row r="13" spans="1:13">
      <c r="C13" s="270"/>
      <c r="D13" s="268"/>
      <c r="E13" s="269"/>
      <c r="F13" s="268"/>
      <c r="G13" s="269"/>
      <c r="H13" s="268"/>
      <c r="I13" s="269"/>
      <c r="J13" s="268"/>
      <c r="K13" s="269"/>
      <c r="L13" s="271"/>
      <c r="M13" s="635"/>
    </row>
    <row r="14" spans="1:13" ht="30">
      <c r="C14" s="634" t="s">
        <v>614</v>
      </c>
      <c r="D14" s="268"/>
      <c r="E14" s="628" t="s">
        <v>556</v>
      </c>
      <c r="F14" s="629" t="s">
        <v>557</v>
      </c>
      <c r="G14" s="628" t="s">
        <v>558</v>
      </c>
      <c r="H14" s="629" t="s">
        <v>559</v>
      </c>
      <c r="I14" s="628" t="s">
        <v>560</v>
      </c>
      <c r="J14" s="629" t="s">
        <v>561</v>
      </c>
      <c r="K14" s="628" t="s">
        <v>562</v>
      </c>
      <c r="L14" s="630" t="s">
        <v>563</v>
      </c>
      <c r="M14" s="635"/>
    </row>
    <row r="15" spans="1:13">
      <c r="A15" s="631">
        <v>3</v>
      </c>
      <c r="B15" s="622" t="s">
        <v>583</v>
      </c>
      <c r="C15" s="632"/>
      <c r="D15" s="268"/>
      <c r="E15" s="633"/>
      <c r="F15" s="268">
        <f>SUM(C15:E15)</f>
        <v>0</v>
      </c>
      <c r="G15" s="633"/>
      <c r="H15" s="268">
        <f>SUM(F15:G15)</f>
        <v>0</v>
      </c>
      <c r="I15" s="633"/>
      <c r="J15" s="268">
        <f>SUM(H15:I15)</f>
        <v>0</v>
      </c>
      <c r="K15" s="633"/>
      <c r="L15" s="271">
        <f>SUM(J15:K15)</f>
        <v>0</v>
      </c>
      <c r="M15" s="635"/>
    </row>
    <row r="16" spans="1:13">
      <c r="C16" s="272"/>
      <c r="D16" s="268"/>
      <c r="E16" s="268"/>
      <c r="F16" s="268"/>
      <c r="G16" s="268"/>
      <c r="H16" s="268"/>
      <c r="I16" s="268"/>
      <c r="J16" s="268"/>
      <c r="K16" s="268"/>
      <c r="L16" s="271"/>
      <c r="M16" s="635"/>
    </row>
    <row r="17" spans="1:13" ht="30">
      <c r="C17" s="634" t="str">
        <f>C14</f>
        <v xml:space="preserve">Beginning 282 (including adjustments) </v>
      </c>
      <c r="D17" s="268"/>
      <c r="E17" s="269" t="s">
        <v>425</v>
      </c>
      <c r="F17" s="268"/>
      <c r="G17" s="269" t="s">
        <v>426</v>
      </c>
      <c r="H17" s="268"/>
      <c r="I17" s="269" t="s">
        <v>427</v>
      </c>
      <c r="J17" s="268"/>
      <c r="K17" s="269" t="s">
        <v>428</v>
      </c>
      <c r="L17" s="271"/>
      <c r="M17" s="635"/>
    </row>
    <row r="18" spans="1:13">
      <c r="A18" s="631">
        <v>4</v>
      </c>
      <c r="B18" s="622" t="s">
        <v>583</v>
      </c>
      <c r="C18" s="270">
        <f>C15</f>
        <v>0</v>
      </c>
      <c r="D18" s="268"/>
      <c r="E18" s="269">
        <f>(276/365)*E15</f>
        <v>0</v>
      </c>
      <c r="F18" s="268"/>
      <c r="G18" s="269">
        <f>(185/365)*G15</f>
        <v>0</v>
      </c>
      <c r="H18" s="268"/>
      <c r="I18" s="269">
        <f>(93/365)*I15</f>
        <v>0</v>
      </c>
      <c r="J18" s="268"/>
      <c r="K18" s="269">
        <f>(1/365)*K15</f>
        <v>0</v>
      </c>
      <c r="L18" s="271"/>
      <c r="M18" s="635"/>
    </row>
    <row r="19" spans="1:13">
      <c r="C19" s="270"/>
      <c r="D19" s="268"/>
      <c r="E19" s="269"/>
      <c r="F19" s="268"/>
      <c r="G19" s="269"/>
      <c r="H19" s="268"/>
      <c r="I19" s="269"/>
      <c r="J19" s="268"/>
      <c r="K19" s="269"/>
      <c r="L19" s="271"/>
      <c r="M19" s="635"/>
    </row>
    <row r="20" spans="1:13" ht="30">
      <c r="C20" s="634" t="s">
        <v>615</v>
      </c>
      <c r="D20" s="268"/>
      <c r="E20" s="628" t="s">
        <v>556</v>
      </c>
      <c r="F20" s="629" t="s">
        <v>557</v>
      </c>
      <c r="G20" s="628" t="s">
        <v>558</v>
      </c>
      <c r="H20" s="629" t="s">
        <v>559</v>
      </c>
      <c r="I20" s="628" t="s">
        <v>560</v>
      </c>
      <c r="J20" s="629" t="s">
        <v>561</v>
      </c>
      <c r="K20" s="628" t="s">
        <v>562</v>
      </c>
      <c r="L20" s="630" t="s">
        <v>563</v>
      </c>
      <c r="M20" s="635"/>
    </row>
    <row r="21" spans="1:13">
      <c r="A21" s="631">
        <v>5</v>
      </c>
      <c r="B21" s="622" t="s">
        <v>583</v>
      </c>
      <c r="C21" s="632"/>
      <c r="D21" s="268"/>
      <c r="E21" s="633"/>
      <c r="F21" s="268">
        <f>SUM(C21:E21)</f>
        <v>0</v>
      </c>
      <c r="G21" s="633"/>
      <c r="H21" s="268">
        <f>SUM(F21:G21)</f>
        <v>0</v>
      </c>
      <c r="I21" s="633"/>
      <c r="J21" s="268">
        <f>SUM(H21:I21)</f>
        <v>0</v>
      </c>
      <c r="K21" s="633"/>
      <c r="L21" s="271">
        <f>SUM(J21:K21)</f>
        <v>0</v>
      </c>
      <c r="M21" s="635"/>
    </row>
    <row r="22" spans="1:13">
      <c r="C22" s="272"/>
      <c r="D22" s="268"/>
      <c r="E22" s="268"/>
      <c r="F22" s="268"/>
      <c r="G22" s="268"/>
      <c r="H22" s="268"/>
      <c r="I22" s="268"/>
      <c r="J22" s="268"/>
      <c r="K22" s="268"/>
      <c r="L22" s="271"/>
      <c r="M22" s="635"/>
    </row>
    <row r="23" spans="1:13" ht="30">
      <c r="B23" s="636"/>
      <c r="C23" s="634" t="s">
        <v>555</v>
      </c>
      <c r="D23" s="268"/>
      <c r="E23" s="269" t="s">
        <v>425</v>
      </c>
      <c r="F23" s="268"/>
      <c r="G23" s="269" t="s">
        <v>426</v>
      </c>
      <c r="H23" s="268"/>
      <c r="I23" s="269" t="s">
        <v>427</v>
      </c>
      <c r="J23" s="268"/>
      <c r="K23" s="269" t="s">
        <v>428</v>
      </c>
      <c r="L23" s="271"/>
      <c r="M23" s="635"/>
    </row>
    <row r="24" spans="1:13" ht="15.75" thickBot="1">
      <c r="A24" s="631">
        <v>6</v>
      </c>
      <c r="B24" s="622" t="s">
        <v>583</v>
      </c>
      <c r="C24" s="401">
        <f>C21</f>
        <v>0</v>
      </c>
      <c r="D24" s="376"/>
      <c r="E24" s="492">
        <f>(276/365)*E21</f>
        <v>0</v>
      </c>
      <c r="F24" s="376"/>
      <c r="G24" s="492">
        <f>(185/365)*G21</f>
        <v>0</v>
      </c>
      <c r="H24" s="376"/>
      <c r="I24" s="492">
        <f>(93/365)*I21</f>
        <v>0</v>
      </c>
      <c r="J24" s="376"/>
      <c r="K24" s="492">
        <f>(1/365)*K21</f>
        <v>0</v>
      </c>
      <c r="L24" s="402"/>
      <c r="M24" s="635"/>
    </row>
    <row r="31" spans="1:13" ht="15.75">
      <c r="M31" s="3"/>
    </row>
    <row r="32" spans="1:13" ht="15.75">
      <c r="M32" s="3"/>
    </row>
    <row r="33" spans="1:13" ht="15.75">
      <c r="G33" s="1126" t="str">
        <f>MID(M3:M3,31,10)&amp;" "&amp;"PTRR"</f>
        <v>2022 PTRR</v>
      </c>
      <c r="H33" s="1127"/>
      <c r="M33" s="3"/>
    </row>
    <row r="35" spans="1:13">
      <c r="E35" s="652" t="s">
        <v>111</v>
      </c>
      <c r="F35" s="652" t="s">
        <v>112</v>
      </c>
      <c r="G35" s="652" t="s">
        <v>116</v>
      </c>
      <c r="H35" s="652" t="s">
        <v>117</v>
      </c>
      <c r="I35" s="652" t="s">
        <v>118</v>
      </c>
      <c r="J35" s="652" t="s">
        <v>119</v>
      </c>
      <c r="K35" s="652" t="s">
        <v>121</v>
      </c>
      <c r="L35" s="622"/>
      <c r="M35" s="622"/>
    </row>
    <row r="36" spans="1:13" ht="51" customHeight="1">
      <c r="E36" s="1044" t="s">
        <v>1193</v>
      </c>
      <c r="F36" s="628" t="s">
        <v>584</v>
      </c>
      <c r="G36" s="653" t="s">
        <v>609</v>
      </c>
      <c r="H36" s="652" t="s">
        <v>610</v>
      </c>
      <c r="I36" s="1044" t="s">
        <v>1194</v>
      </c>
      <c r="J36" s="652" t="s">
        <v>611</v>
      </c>
      <c r="K36" s="653" t="s">
        <v>612</v>
      </c>
      <c r="L36" s="622"/>
      <c r="M36" s="622"/>
    </row>
    <row r="37" spans="1:13" ht="61.5" customHeight="1">
      <c r="A37" s="623" t="s">
        <v>5</v>
      </c>
      <c r="B37" s="623"/>
      <c r="C37" s="637" t="s">
        <v>588</v>
      </c>
      <c r="E37" s="899" t="s">
        <v>953</v>
      </c>
      <c r="F37" s="638" t="s">
        <v>589</v>
      </c>
      <c r="G37" s="639" t="s">
        <v>590</v>
      </c>
      <c r="H37" s="639" t="s">
        <v>591</v>
      </c>
      <c r="I37" s="639" t="s">
        <v>592</v>
      </c>
      <c r="J37" s="639" t="s">
        <v>684</v>
      </c>
      <c r="K37" s="639" t="s">
        <v>683</v>
      </c>
    </row>
    <row r="39" spans="1:13">
      <c r="A39" s="631">
        <v>7</v>
      </c>
      <c r="B39" s="631" t="s">
        <v>583</v>
      </c>
      <c r="C39" s="640" t="s">
        <v>593</v>
      </c>
      <c r="E39" s="646">
        <f>'Attachment 5 - ADIT Summary'!H15</f>
        <v>16045986.448667523</v>
      </c>
      <c r="F39" s="268">
        <f>E9+G9+I9+K9</f>
        <v>0</v>
      </c>
      <c r="G39" s="268">
        <f>C12+E12+G12+I12+K12</f>
        <v>0</v>
      </c>
      <c r="H39" s="380">
        <f>E39-G39</f>
        <v>16045986.448667523</v>
      </c>
      <c r="I39" s="646">
        <f>SUM('Attachment 5 - ADIT Summary'!F32:J32)</f>
        <v>11793916.799038086</v>
      </c>
      <c r="J39" s="642">
        <f>H39-I39</f>
        <v>4252069.6496294364</v>
      </c>
      <c r="K39" s="642">
        <f>E39-I39-J39</f>
        <v>0</v>
      </c>
    </row>
    <row r="40" spans="1:13">
      <c r="H40" s="380"/>
      <c r="I40" s="643"/>
      <c r="J40" s="380"/>
      <c r="K40" s="380"/>
    </row>
    <row r="41" spans="1:13">
      <c r="A41" s="631">
        <v>8</v>
      </c>
      <c r="B41" s="631" t="s">
        <v>583</v>
      </c>
      <c r="C41" s="640" t="s">
        <v>594</v>
      </c>
      <c r="E41" s="646">
        <f>'Attachment 5 - ADIT Summary'!F15</f>
        <v>61436875.973107211</v>
      </c>
      <c r="F41" s="268">
        <f>E15+G15+I15+K15</f>
        <v>0</v>
      </c>
      <c r="G41" s="268">
        <f>C18+E18+G18+I18+K18</f>
        <v>0</v>
      </c>
      <c r="H41" s="380">
        <f>E41-G41</f>
        <v>61436875.973107211</v>
      </c>
      <c r="I41" s="646">
        <f>SUM('Attachment 5 - ADIT Summary'!F24:J24)</f>
        <v>-7005994.3173572049</v>
      </c>
      <c r="J41" s="642">
        <f>H41-I41</f>
        <v>68442870.290464416</v>
      </c>
      <c r="K41" s="642">
        <f>-E41+I41+J41</f>
        <v>0</v>
      </c>
    </row>
    <row r="42" spans="1:13">
      <c r="A42" s="631"/>
      <c r="B42" s="631"/>
      <c r="H42" s="380"/>
      <c r="I42" s="643"/>
      <c r="J42" s="380"/>
      <c r="K42" s="380"/>
    </row>
    <row r="43" spans="1:13">
      <c r="A43" s="631">
        <v>9</v>
      </c>
      <c r="B43" s="631" t="s">
        <v>583</v>
      </c>
      <c r="C43" s="640" t="s">
        <v>595</v>
      </c>
      <c r="E43" s="646">
        <f>'Attachment 5 - ADIT Summary'!G15</f>
        <v>4281853.8224075474</v>
      </c>
      <c r="F43" s="268">
        <f>E21+G21+I21+K21</f>
        <v>0</v>
      </c>
      <c r="G43" s="268">
        <f>C24+E24+G24+I24+K24</f>
        <v>0</v>
      </c>
      <c r="H43" s="380">
        <f>E43-G43</f>
        <v>4281853.8224075474</v>
      </c>
      <c r="I43" s="646">
        <f>SUM('Attachment 5 - ADIT Summary'!F28:J28)</f>
        <v>-1204042.9116861662</v>
      </c>
      <c r="J43" s="642">
        <f>H43-I43</f>
        <v>5485896.7340937136</v>
      </c>
      <c r="K43" s="642">
        <f>-E43+I43+J43</f>
        <v>0</v>
      </c>
    </row>
    <row r="44" spans="1:13">
      <c r="A44" s="631"/>
      <c r="B44" s="631"/>
      <c r="H44" s="380"/>
      <c r="I44" s="643"/>
      <c r="J44" s="380"/>
      <c r="K44" s="380"/>
    </row>
    <row r="45" spans="1:13">
      <c r="A45" s="631">
        <v>10</v>
      </c>
      <c r="B45" s="631" t="s">
        <v>583</v>
      </c>
      <c r="C45" s="640" t="s">
        <v>596</v>
      </c>
      <c r="E45" s="380">
        <f>E39-E41-E43</f>
        <v>-49672743.346847236</v>
      </c>
      <c r="F45" s="380">
        <f>F39-F41-F43</f>
        <v>0</v>
      </c>
      <c r="G45" s="380">
        <f>G39-G41-G43</f>
        <v>0</v>
      </c>
      <c r="H45" s="380">
        <f>H39-H41-H43</f>
        <v>-49672743.346847236</v>
      </c>
      <c r="I45" s="380">
        <f>I39+I41+I43</f>
        <v>3583879.569994715</v>
      </c>
      <c r="J45" s="380">
        <f>J39+J41+J43</f>
        <v>78180836.674187556</v>
      </c>
      <c r="K45" s="380">
        <f>K39+K41+K43</f>
        <v>0</v>
      </c>
    </row>
    <row r="46" spans="1:13">
      <c r="A46" s="631"/>
      <c r="B46" s="631"/>
    </row>
    <row r="47" spans="1:13">
      <c r="A47" s="631"/>
      <c r="B47" s="631"/>
    </row>
    <row r="48" spans="1:13">
      <c r="A48" s="631"/>
      <c r="B48" s="631"/>
    </row>
    <row r="49" spans="1:13">
      <c r="A49" s="631"/>
      <c r="B49" s="631"/>
      <c r="K49" s="380"/>
      <c r="M49" s="380"/>
    </row>
    <row r="50" spans="1:13">
      <c r="A50" s="631"/>
      <c r="B50" s="264" t="s">
        <v>597</v>
      </c>
    </row>
    <row r="51" spans="1:13">
      <c r="A51" s="631"/>
      <c r="B51" s="1129" t="s">
        <v>628</v>
      </c>
      <c r="C51" s="1129"/>
      <c r="D51" s="1129"/>
      <c r="E51" s="1129"/>
      <c r="F51" s="1129"/>
      <c r="G51" s="1129"/>
    </row>
    <row r="52" spans="1:13">
      <c r="A52" s="631"/>
      <c r="B52" s="1128"/>
      <c r="C52" s="1128"/>
      <c r="D52" s="1128"/>
      <c r="E52" s="1128"/>
      <c r="F52" s="1128"/>
      <c r="G52" s="1128"/>
    </row>
    <row r="53" spans="1:13">
      <c r="A53" s="631"/>
    </row>
    <row r="54" spans="1:13">
      <c r="A54" s="631"/>
    </row>
    <row r="55" spans="1:13">
      <c r="A55" s="631"/>
    </row>
  </sheetData>
  <mergeCells count="4">
    <mergeCell ref="E6:L6"/>
    <mergeCell ref="G33:H33"/>
    <mergeCell ref="B52:G52"/>
    <mergeCell ref="B51:G51"/>
  </mergeCells>
  <pageMargins left="0.7" right="0.7" top="0.75" bottom="0.75" header="0.3" footer="0.3"/>
  <pageSetup scale="53" orientation="landscape" r:id="rId1"/>
  <colBreaks count="1" manualBreakCount="1">
    <brk id="13"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sheetPr codeName="Sheet14"/>
  <dimension ref="A1:M77"/>
  <sheetViews>
    <sheetView view="pageBreakPreview" zoomScale="80" zoomScaleNormal="100" zoomScaleSheetLayoutView="80" workbookViewId="0"/>
  </sheetViews>
  <sheetFormatPr defaultColWidth="8.88671875" defaultRowHeight="15"/>
  <cols>
    <col min="1" max="1" width="9.5546875" style="263" customWidth="1"/>
    <col min="2" max="2" width="9" style="263" customWidth="1"/>
    <col min="3" max="3" width="27.109375" style="263" customWidth="1"/>
    <col min="4" max="4" width="3.109375" style="263" customWidth="1"/>
    <col min="5" max="5" width="14.88671875" style="263" customWidth="1"/>
    <col min="6" max="6" width="15.33203125" style="263" customWidth="1"/>
    <col min="7" max="8" width="13.88671875" style="263" customWidth="1"/>
    <col min="9" max="9" width="13.5546875" style="263" customWidth="1"/>
    <col min="10" max="10" width="16.5546875" style="263" customWidth="1"/>
    <col min="11" max="11" width="15.33203125" style="263" customWidth="1"/>
    <col min="12" max="12" width="12.88671875" style="263" customWidth="1"/>
    <col min="13" max="13" width="17.109375" style="263" customWidth="1"/>
    <col min="14" max="16384" width="8.88671875" style="263"/>
  </cols>
  <sheetData>
    <row r="1" spans="1:13" ht="15.75">
      <c r="M1" s="3" t="str">
        <f>'Attachment H-11A '!K1&amp;""&amp;", Attachment 5c"</f>
        <v>Attachment H -11A, Attachment 5c</v>
      </c>
    </row>
    <row r="2" spans="1:13" ht="15.75">
      <c r="M2" s="3" t="s">
        <v>171</v>
      </c>
    </row>
    <row r="3" spans="1:13" ht="15.75">
      <c r="M3" s="3" t="str">
        <f>'Attachment H-11A '!K4</f>
        <v>For the 12 months ended 12/31/2022</v>
      </c>
    </row>
    <row r="4" spans="1:13" ht="15.75">
      <c r="C4" s="41"/>
    </row>
    <row r="5" spans="1:13" ht="15.75" thickBot="1">
      <c r="C5" s="622" t="s">
        <v>101</v>
      </c>
      <c r="D5" s="268"/>
      <c r="E5" s="622" t="s">
        <v>102</v>
      </c>
      <c r="F5" s="622" t="s">
        <v>103</v>
      </c>
      <c r="G5" s="622" t="s">
        <v>104</v>
      </c>
      <c r="H5" s="622" t="s">
        <v>105</v>
      </c>
      <c r="I5" s="622" t="s">
        <v>106</v>
      </c>
      <c r="J5" s="622" t="s">
        <v>107</v>
      </c>
      <c r="K5" s="622" t="s">
        <v>109</v>
      </c>
      <c r="L5" s="622" t="s">
        <v>110</v>
      </c>
    </row>
    <row r="6" spans="1:13" ht="15.75" thickBot="1">
      <c r="A6" s="623" t="s">
        <v>5</v>
      </c>
      <c r="B6" s="623"/>
      <c r="C6" s="624"/>
      <c r="D6" s="625"/>
      <c r="E6" s="1124" t="str">
        <f>MID(M3:M3,31,10)&amp;" "&amp;"Quarterly Activity and Balances"</f>
        <v>2022 Quarterly Activity and Balances</v>
      </c>
      <c r="F6" s="1124"/>
      <c r="G6" s="1124"/>
      <c r="H6" s="1124"/>
      <c r="I6" s="1124"/>
      <c r="J6" s="1124"/>
      <c r="K6" s="1124"/>
      <c r="L6" s="1125"/>
    </row>
    <row r="7" spans="1:13">
      <c r="C7" s="265"/>
      <c r="E7" s="266"/>
      <c r="F7" s="266"/>
      <c r="G7" s="266"/>
      <c r="H7" s="266"/>
      <c r="I7" s="266"/>
      <c r="J7" s="266"/>
      <c r="K7" s="266"/>
      <c r="L7" s="267"/>
    </row>
    <row r="8" spans="1:13" ht="30">
      <c r="C8" s="626" t="s">
        <v>616</v>
      </c>
      <c r="D8" s="627"/>
      <c r="E8" s="628" t="s">
        <v>556</v>
      </c>
      <c r="F8" s="629" t="s">
        <v>557</v>
      </c>
      <c r="G8" s="628" t="s">
        <v>558</v>
      </c>
      <c r="H8" s="629" t="s">
        <v>559</v>
      </c>
      <c r="I8" s="628" t="s">
        <v>560</v>
      </c>
      <c r="J8" s="629" t="s">
        <v>561</v>
      </c>
      <c r="K8" s="628" t="s">
        <v>562</v>
      </c>
      <c r="L8" s="630" t="s">
        <v>563</v>
      </c>
    </row>
    <row r="9" spans="1:13">
      <c r="A9" s="631">
        <v>1</v>
      </c>
      <c r="B9" s="622" t="s">
        <v>583</v>
      </c>
      <c r="C9" s="632">
        <v>6442581.5943592591</v>
      </c>
      <c r="D9" s="268"/>
      <c r="E9" s="633">
        <v>-816221.99068781256</v>
      </c>
      <c r="F9" s="268">
        <f>SUM(C9:E9)</f>
        <v>5626359.6036714464</v>
      </c>
      <c r="G9" s="633">
        <v>248509.717140683</v>
      </c>
      <c r="H9" s="268">
        <f>SUM(F9:G9)</f>
        <v>5874869.3208121294</v>
      </c>
      <c r="I9" s="633">
        <v>-198986.56336784048</v>
      </c>
      <c r="J9" s="268">
        <f>SUM(H9:I9)</f>
        <v>5675882.7574442886</v>
      </c>
      <c r="K9" s="633">
        <v>77991.741938911888</v>
      </c>
      <c r="L9" s="271">
        <f>SUM(J9:K9)</f>
        <v>5753874.4993832009</v>
      </c>
    </row>
    <row r="10" spans="1:13">
      <c r="A10" s="631">
        <v>2</v>
      </c>
      <c r="B10" s="622" t="s">
        <v>598</v>
      </c>
      <c r="C10" s="632">
        <v>4830814.0170474369</v>
      </c>
      <c r="D10" s="268"/>
      <c r="E10" s="633">
        <v>84419.531999238912</v>
      </c>
      <c r="F10" s="268">
        <f>SUM(C10:E10)</f>
        <v>4915233.5490466757</v>
      </c>
      <c r="G10" s="633">
        <v>34761.397278286378</v>
      </c>
      <c r="H10" s="268">
        <f>SUM(F10:G10)</f>
        <v>4949994.9463249622</v>
      </c>
      <c r="I10" s="633">
        <v>-6059.2526152178052</v>
      </c>
      <c r="J10" s="268">
        <f>SUM(H10:I10)</f>
        <v>4943935.6937097441</v>
      </c>
      <c r="K10" s="633">
        <v>-691866.04408030701</v>
      </c>
      <c r="L10" s="271">
        <f>SUM(J10:K10)</f>
        <v>4252069.6496294374</v>
      </c>
      <c r="M10" s="675"/>
    </row>
    <row r="11" spans="1:13">
      <c r="C11" s="272"/>
      <c r="D11" s="268"/>
      <c r="E11" s="268"/>
      <c r="F11" s="268"/>
      <c r="G11" s="268"/>
      <c r="H11" s="268"/>
      <c r="I11" s="268"/>
      <c r="J11" s="268"/>
      <c r="K11" s="268"/>
      <c r="L11" s="271"/>
    </row>
    <row r="12" spans="1:13" ht="30">
      <c r="C12" s="634" t="str">
        <f>C8</f>
        <v xml:space="preserve">Beginning 190 (including adjustments) </v>
      </c>
      <c r="D12" s="268"/>
      <c r="E12" s="269" t="s">
        <v>425</v>
      </c>
      <c r="F12" s="268"/>
      <c r="G12" s="269" t="s">
        <v>426</v>
      </c>
      <c r="H12" s="268"/>
      <c r="I12" s="269" t="s">
        <v>427</v>
      </c>
      <c r="J12" s="268"/>
      <c r="K12" s="269" t="s">
        <v>428</v>
      </c>
      <c r="L12" s="271"/>
    </row>
    <row r="13" spans="1:13">
      <c r="A13" s="631">
        <v>3</v>
      </c>
      <c r="B13" s="622" t="s">
        <v>583</v>
      </c>
      <c r="C13" s="270">
        <f>C9</f>
        <v>6442581.5943592591</v>
      </c>
      <c r="D13" s="268"/>
      <c r="E13" s="269">
        <f>(276/365)*E9</f>
        <v>-617197.99843790755</v>
      </c>
      <c r="F13" s="268"/>
      <c r="G13" s="269">
        <f>(185/365)*G9</f>
        <v>125956.97992062016</v>
      </c>
      <c r="H13" s="268"/>
      <c r="I13" s="269">
        <f>(93/365)*I9</f>
        <v>-50700.686008792232</v>
      </c>
      <c r="J13" s="268"/>
      <c r="K13" s="269">
        <f>(1/365)*K9</f>
        <v>213.67600531208737</v>
      </c>
      <c r="L13" s="271"/>
      <c r="M13" s="676"/>
    </row>
    <row r="14" spans="1:13">
      <c r="A14" s="631">
        <v>4</v>
      </c>
      <c r="B14" s="622" t="s">
        <v>598</v>
      </c>
      <c r="C14" s="270">
        <f>C10</f>
        <v>4830814.0170474369</v>
      </c>
      <c r="D14" s="268"/>
      <c r="E14" s="269">
        <f>(276/365)*E10</f>
        <v>63835.043374766959</v>
      </c>
      <c r="F14" s="268"/>
      <c r="G14" s="269">
        <f>(185/365)*G10</f>
        <v>17618.790401323233</v>
      </c>
      <c r="H14" s="268"/>
      <c r="I14" s="269">
        <f>(93/365)*I10</f>
        <v>-1543.8643649733037</v>
      </c>
      <c r="J14" s="268"/>
      <c r="K14" s="269">
        <f>(1/365)*K10</f>
        <v>-1895.5234084391973</v>
      </c>
      <c r="L14" s="271"/>
      <c r="M14" s="676"/>
    </row>
    <row r="15" spans="1:13">
      <c r="C15" s="270"/>
      <c r="D15" s="268"/>
      <c r="E15" s="269"/>
      <c r="F15" s="268"/>
      <c r="G15" s="269"/>
      <c r="H15" s="268"/>
      <c r="I15" s="269"/>
      <c r="J15" s="268"/>
      <c r="K15" s="269"/>
      <c r="L15" s="271"/>
      <c r="M15" s="676"/>
    </row>
    <row r="16" spans="1:13" ht="30">
      <c r="C16" s="634" t="s">
        <v>614</v>
      </c>
      <c r="D16" s="268"/>
      <c r="E16" s="628" t="s">
        <v>556</v>
      </c>
      <c r="F16" s="629" t="s">
        <v>557</v>
      </c>
      <c r="G16" s="628" t="s">
        <v>558</v>
      </c>
      <c r="H16" s="629" t="s">
        <v>559</v>
      </c>
      <c r="I16" s="628" t="s">
        <v>560</v>
      </c>
      <c r="J16" s="629" t="s">
        <v>561</v>
      </c>
      <c r="K16" s="628" t="s">
        <v>562</v>
      </c>
      <c r="L16" s="630" t="s">
        <v>563</v>
      </c>
      <c r="M16" s="676"/>
    </row>
    <row r="17" spans="1:13">
      <c r="A17" s="631">
        <v>5</v>
      </c>
      <c r="B17" s="622" t="s">
        <v>583</v>
      </c>
      <c r="C17" s="632">
        <v>73025442.053854153</v>
      </c>
      <c r="D17" s="268"/>
      <c r="E17" s="633">
        <v>1339240.4290708238</v>
      </c>
      <c r="F17" s="268">
        <f>SUM(C17:E17)</f>
        <v>74364682.482924983</v>
      </c>
      <c r="G17" s="633">
        <v>1473532.5817352862</v>
      </c>
      <c r="H17" s="268">
        <f>SUM(F17:G17)</f>
        <v>75838215.064660266</v>
      </c>
      <c r="I17" s="633">
        <v>1424215.2022787358</v>
      </c>
      <c r="J17" s="268">
        <f>SUM(H17:I17)</f>
        <v>77262430.266938999</v>
      </c>
      <c r="K17" s="633">
        <v>1390831.9012482469</v>
      </c>
      <c r="L17" s="271">
        <f>SUM(J17:K17)</f>
        <v>78653262.168187246</v>
      </c>
      <c r="M17" s="676"/>
    </row>
    <row r="18" spans="1:13">
      <c r="A18" s="631">
        <v>6</v>
      </c>
      <c r="B18" s="622" t="s">
        <v>598</v>
      </c>
      <c r="C18" s="632">
        <v>66516051.942138672</v>
      </c>
      <c r="D18" s="268"/>
      <c r="E18" s="633">
        <v>-800514.32933518616</v>
      </c>
      <c r="F18" s="268">
        <f>SUM(C18:E18)</f>
        <v>65715537.612803489</v>
      </c>
      <c r="G18" s="633">
        <v>-753654.98296247958</v>
      </c>
      <c r="H18" s="268">
        <f>SUM(F18:G18)</f>
        <v>64961882.629841007</v>
      </c>
      <c r="I18" s="633">
        <v>678162.6494377472</v>
      </c>
      <c r="J18" s="268">
        <f>SUM(H18:I18)</f>
        <v>65640045.279278755</v>
      </c>
      <c r="K18" s="633">
        <v>2802825.0111856628</v>
      </c>
      <c r="L18" s="271">
        <f>SUM(J18:K18)</f>
        <v>68442870.290464416</v>
      </c>
      <c r="M18" s="675"/>
    </row>
    <row r="19" spans="1:13">
      <c r="C19" s="272"/>
      <c r="D19" s="268"/>
      <c r="E19" s="268"/>
      <c r="F19" s="268"/>
      <c r="G19" s="268"/>
      <c r="H19" s="268"/>
      <c r="I19" s="268"/>
      <c r="J19" s="268"/>
      <c r="K19" s="268"/>
      <c r="L19" s="271"/>
      <c r="M19" s="676"/>
    </row>
    <row r="20" spans="1:13" ht="30">
      <c r="C20" s="634" t="str">
        <f>C16</f>
        <v xml:space="preserve">Beginning 282 (including adjustments) </v>
      </c>
      <c r="D20" s="268"/>
      <c r="E20" s="269" t="s">
        <v>425</v>
      </c>
      <c r="F20" s="268"/>
      <c r="G20" s="269" t="s">
        <v>426</v>
      </c>
      <c r="H20" s="268"/>
      <c r="I20" s="269" t="s">
        <v>427</v>
      </c>
      <c r="J20" s="268"/>
      <c r="K20" s="269" t="s">
        <v>428</v>
      </c>
      <c r="L20" s="271"/>
      <c r="M20" s="676"/>
    </row>
    <row r="21" spans="1:13">
      <c r="A21" s="631">
        <v>7</v>
      </c>
      <c r="B21" s="622" t="s">
        <v>583</v>
      </c>
      <c r="C21" s="270">
        <f>C17</f>
        <v>73025442.053854153</v>
      </c>
      <c r="D21" s="268"/>
      <c r="E21" s="269">
        <f>(276/365)*E17</f>
        <v>1012685.9134891708</v>
      </c>
      <c r="F21" s="268"/>
      <c r="G21" s="269">
        <f>(185/365)*G17</f>
        <v>746858.97978363826</v>
      </c>
      <c r="H21" s="268"/>
      <c r="I21" s="269">
        <f>(93/365)*I17</f>
        <v>362882.22962170531</v>
      </c>
      <c r="J21" s="268"/>
      <c r="K21" s="269">
        <f>(1/365)*K17</f>
        <v>3810.4983595842382</v>
      </c>
      <c r="L21" s="271"/>
      <c r="M21" s="676"/>
    </row>
    <row r="22" spans="1:13">
      <c r="A22" s="631">
        <v>8</v>
      </c>
      <c r="B22" s="622" t="s">
        <v>598</v>
      </c>
      <c r="C22" s="270">
        <f>C18</f>
        <v>66516051.942138672</v>
      </c>
      <c r="D22" s="268"/>
      <c r="E22" s="269">
        <f>(276/365)*E18</f>
        <v>-605320.42437400378</v>
      </c>
      <c r="F22" s="268"/>
      <c r="G22" s="269">
        <f>(185/365)*G18</f>
        <v>-381989.51191248966</v>
      </c>
      <c r="H22" s="268"/>
      <c r="I22" s="269">
        <f>(93/365)*I18</f>
        <v>172792.12711701504</v>
      </c>
      <c r="J22" s="268"/>
      <c r="K22" s="269">
        <f>(1/365)*K18</f>
        <v>7678.9726333853778</v>
      </c>
      <c r="L22" s="271"/>
      <c r="M22" s="676"/>
    </row>
    <row r="23" spans="1:13">
      <c r="C23" s="270"/>
      <c r="D23" s="268"/>
      <c r="E23" s="269"/>
      <c r="F23" s="268"/>
      <c r="G23" s="269"/>
      <c r="H23" s="268"/>
      <c r="I23" s="269"/>
      <c r="J23" s="268"/>
      <c r="K23" s="269"/>
      <c r="L23" s="271"/>
      <c r="M23" s="676"/>
    </row>
    <row r="24" spans="1:13">
      <c r="C24" s="634" t="s">
        <v>615</v>
      </c>
      <c r="D24" s="268"/>
      <c r="E24" s="628" t="s">
        <v>556</v>
      </c>
      <c r="F24" s="629" t="s">
        <v>557</v>
      </c>
      <c r="G24" s="628" t="s">
        <v>558</v>
      </c>
      <c r="H24" s="629" t="s">
        <v>559</v>
      </c>
      <c r="I24" s="628" t="s">
        <v>560</v>
      </c>
      <c r="J24" s="629" t="s">
        <v>561</v>
      </c>
      <c r="K24" s="628" t="s">
        <v>562</v>
      </c>
      <c r="L24" s="630" t="s">
        <v>563</v>
      </c>
      <c r="M24" s="676"/>
    </row>
    <row r="25" spans="1:13">
      <c r="A25" s="631">
        <v>9</v>
      </c>
      <c r="B25" s="622" t="s">
        <v>583</v>
      </c>
      <c r="C25" s="632">
        <v>3616455.9242764981</v>
      </c>
      <c r="D25" s="268"/>
      <c r="E25" s="633">
        <v>207591.35390834749</v>
      </c>
      <c r="F25" s="268">
        <f>SUM(C25:E25)</f>
        <v>3824047.2781848456</v>
      </c>
      <c r="G25" s="633">
        <v>123567.78257445642</v>
      </c>
      <c r="H25" s="268">
        <f>SUM(F25:G25)</f>
        <v>3947615.0607593022</v>
      </c>
      <c r="I25" s="633">
        <v>85367.553212967992</v>
      </c>
      <c r="J25" s="268">
        <f>SUM(H25:I25)</f>
        <v>4032982.6139722704</v>
      </c>
      <c r="K25" s="633">
        <v>106221.75668698072</v>
      </c>
      <c r="L25" s="271">
        <f>SUM(J25:K25)</f>
        <v>4139204.3706592512</v>
      </c>
      <c r="M25" s="676"/>
    </row>
    <row r="26" spans="1:13">
      <c r="A26" s="631">
        <v>10</v>
      </c>
      <c r="B26" s="622" t="s">
        <v>598</v>
      </c>
      <c r="C26" s="632">
        <v>3699580.6385914809</v>
      </c>
      <c r="D26" s="268"/>
      <c r="E26" s="633">
        <v>-104746.59329154658</v>
      </c>
      <c r="F26" s="268">
        <f>SUM(C26:E26)</f>
        <v>3594834.0452999342</v>
      </c>
      <c r="G26" s="644">
        <v>274755.98036484543</v>
      </c>
      <c r="H26" s="268">
        <f>SUM(F26:G26)</f>
        <v>3869590.0256647798</v>
      </c>
      <c r="I26" s="633">
        <v>-8470347.2379071284</v>
      </c>
      <c r="J26" s="268">
        <f>SUM(H26:I26)</f>
        <v>-4600757.2122423481</v>
      </c>
      <c r="K26" s="633">
        <v>9460739.8498703614</v>
      </c>
      <c r="L26" s="271">
        <f>SUM(J26:K26)</f>
        <v>4859982.6376280133</v>
      </c>
      <c r="M26" s="675"/>
    </row>
    <row r="27" spans="1:13">
      <c r="C27" s="272"/>
      <c r="D27" s="268"/>
      <c r="E27" s="268"/>
      <c r="F27" s="268"/>
      <c r="G27" s="268"/>
      <c r="H27" s="268"/>
      <c r="I27" s="268"/>
      <c r="J27" s="268"/>
      <c r="K27" s="268"/>
      <c r="L27" s="271"/>
      <c r="M27" s="676"/>
    </row>
    <row r="28" spans="1:13">
      <c r="B28" s="636"/>
      <c r="C28" s="634" t="s">
        <v>555</v>
      </c>
      <c r="D28" s="268"/>
      <c r="E28" s="269" t="s">
        <v>425</v>
      </c>
      <c r="F28" s="268"/>
      <c r="G28" s="269" t="s">
        <v>426</v>
      </c>
      <c r="H28" s="268"/>
      <c r="I28" s="269" t="s">
        <v>427</v>
      </c>
      <c r="J28" s="268"/>
      <c r="K28" s="269" t="s">
        <v>428</v>
      </c>
      <c r="L28" s="271"/>
      <c r="M28" s="676"/>
    </row>
    <row r="29" spans="1:13">
      <c r="A29" s="631">
        <v>11</v>
      </c>
      <c r="B29" s="622" t="s">
        <v>583</v>
      </c>
      <c r="C29" s="270">
        <f>C25</f>
        <v>3616455.9242764981</v>
      </c>
      <c r="D29" s="268"/>
      <c r="E29" s="269">
        <f>(276/365)*E25</f>
        <v>156973.18816083262</v>
      </c>
      <c r="F29" s="268"/>
      <c r="G29" s="269">
        <f>(185/365)*G25</f>
        <v>62630.245962395726</v>
      </c>
      <c r="H29" s="268"/>
      <c r="I29" s="269">
        <f>(93/365)*I25</f>
        <v>21751.184791249379</v>
      </c>
      <c r="J29" s="268"/>
      <c r="K29" s="269">
        <f>(1/365)*K25</f>
        <v>291.01851147118003</v>
      </c>
      <c r="L29" s="271"/>
      <c r="M29" s="676"/>
    </row>
    <row r="30" spans="1:13" ht="15.75" thickBot="1">
      <c r="A30" s="631">
        <v>12</v>
      </c>
      <c r="B30" s="622" t="s">
        <v>598</v>
      </c>
      <c r="C30" s="401">
        <f>C26</f>
        <v>3699580.6385914809</v>
      </c>
      <c r="D30" s="376"/>
      <c r="E30" s="492">
        <f>(276/365)*E26</f>
        <v>-79205.643146484537</v>
      </c>
      <c r="F30" s="376"/>
      <c r="G30" s="492">
        <f>(185/365)*G26</f>
        <v>139259.88045889427</v>
      </c>
      <c r="H30" s="376"/>
      <c r="I30" s="492">
        <f>(93/365)*I26</f>
        <v>-2158198.063357159</v>
      </c>
      <c r="J30" s="376"/>
      <c r="K30" s="492">
        <f>(1/365)*K26</f>
        <v>25919.835205124276</v>
      </c>
      <c r="L30" s="645"/>
    </row>
    <row r="35" spans="1:13" ht="15.75">
      <c r="M35" s="3" t="str">
        <f>'Attachment H-11A '!K1&amp;""&amp;", Attachment 5c"</f>
        <v>Attachment H -11A, Attachment 5c</v>
      </c>
    </row>
    <row r="36" spans="1:13" ht="15.75">
      <c r="M36" s="3" t="s">
        <v>174</v>
      </c>
    </row>
    <row r="37" spans="1:13" ht="15.75">
      <c r="M37" s="3" t="str">
        <f>'Attachment H-11A '!K4</f>
        <v>For the 12 months ended 12/31/2022</v>
      </c>
    </row>
    <row r="40" spans="1:13" ht="15.75">
      <c r="M40" s="3"/>
    </row>
    <row r="41" spans="1:13" ht="15.75">
      <c r="M41" s="3"/>
    </row>
    <row r="42" spans="1:13" ht="15.75">
      <c r="G42" s="1130" t="str">
        <f>'Attachment 5b - ADIT Norm PTRR'!G33:H33</f>
        <v>2022 PTRR</v>
      </c>
      <c r="H42" s="1127"/>
      <c r="M42" s="3"/>
    </row>
    <row r="44" spans="1:13">
      <c r="E44" s="622" t="s">
        <v>101</v>
      </c>
      <c r="F44" s="622" t="s">
        <v>102</v>
      </c>
      <c r="G44" s="622" t="s">
        <v>103</v>
      </c>
      <c r="H44" s="622" t="s">
        <v>104</v>
      </c>
      <c r="I44" s="622" t="s">
        <v>105</v>
      </c>
      <c r="J44" s="622" t="s">
        <v>106</v>
      </c>
      <c r="K44" s="622" t="s">
        <v>107</v>
      </c>
      <c r="L44" s="622"/>
      <c r="M44" s="622"/>
    </row>
    <row r="45" spans="1:13" ht="42.95" customHeight="1">
      <c r="E45" s="622"/>
      <c r="F45" s="628" t="s">
        <v>584</v>
      </c>
      <c r="G45" s="628" t="s">
        <v>585</v>
      </c>
      <c r="H45" s="622" t="s">
        <v>586</v>
      </c>
      <c r="I45" s="622"/>
      <c r="J45" s="622" t="s">
        <v>587</v>
      </c>
      <c r="K45" s="684" t="s">
        <v>639</v>
      </c>
      <c r="L45" s="622"/>
      <c r="M45" s="622"/>
    </row>
    <row r="46" spans="1:13" ht="61.5" customHeight="1">
      <c r="A46" s="623" t="s">
        <v>5</v>
      </c>
      <c r="B46" s="623"/>
      <c r="C46" s="637" t="s">
        <v>588</v>
      </c>
      <c r="E46" s="899" t="s">
        <v>953</v>
      </c>
      <c r="F46" s="638" t="s">
        <v>589</v>
      </c>
      <c r="G46" s="639" t="s">
        <v>590</v>
      </c>
      <c r="H46" s="639" t="s">
        <v>591</v>
      </c>
      <c r="I46" s="639" t="s">
        <v>592</v>
      </c>
      <c r="J46" s="639" t="s">
        <v>684</v>
      </c>
      <c r="K46" s="639" t="s">
        <v>683</v>
      </c>
    </row>
    <row r="48" spans="1:13">
      <c r="A48" s="631">
        <v>1</v>
      </c>
      <c r="B48" s="631" t="s">
        <v>583</v>
      </c>
      <c r="C48" s="640" t="s">
        <v>593</v>
      </c>
      <c r="E48" s="641">
        <v>16227429.76546092</v>
      </c>
      <c r="F48" s="268">
        <f>E9+G9+I9+K9</f>
        <v>-688707.09497605823</v>
      </c>
      <c r="G48" s="268">
        <f>C13+E13+G13+I13+K13</f>
        <v>5900853.5658384915</v>
      </c>
      <c r="H48" s="380">
        <f>E48-G48</f>
        <v>10326576.199622428</v>
      </c>
      <c r="I48" s="641">
        <v>10473555.266077718</v>
      </c>
      <c r="J48" s="642">
        <f>H48-I48</f>
        <v>-146979.06645528972</v>
      </c>
      <c r="K48" s="642">
        <f>E48-I48-J48</f>
        <v>5900853.5658384915</v>
      </c>
    </row>
    <row r="49" spans="1:13">
      <c r="H49" s="380"/>
      <c r="I49" s="643"/>
      <c r="J49" s="380"/>
      <c r="K49" s="380"/>
    </row>
    <row r="50" spans="1:13">
      <c r="A50" s="631">
        <v>2</v>
      </c>
      <c r="B50" s="631" t="s">
        <v>583</v>
      </c>
      <c r="C50" s="640" t="s">
        <v>594</v>
      </c>
      <c r="E50" s="641">
        <v>82412590.278806478</v>
      </c>
      <c r="F50" s="268">
        <f>E17+G17+I17+K17</f>
        <v>5627820.1143330932</v>
      </c>
      <c r="G50" s="268">
        <f>C21+E21+G21+I21+K21</f>
        <v>75151679.675108269</v>
      </c>
      <c r="H50" s="380">
        <f>E50-G50</f>
        <v>7260910.6036982089</v>
      </c>
      <c r="I50" s="641">
        <v>3759328.1106192186</v>
      </c>
      <c r="J50" s="642">
        <f>H50-I50</f>
        <v>3501582.4930789904</v>
      </c>
      <c r="K50" s="642">
        <f>-E50+I50+J50</f>
        <v>-75151679.675108269</v>
      </c>
    </row>
    <row r="51" spans="1:13">
      <c r="A51" s="631"/>
      <c r="B51" s="631"/>
      <c r="H51" s="380"/>
      <c r="I51" s="643"/>
      <c r="J51" s="380"/>
      <c r="K51" s="380"/>
    </row>
    <row r="52" spans="1:13">
      <c r="A52" s="631">
        <v>3</v>
      </c>
      <c r="B52" s="631" t="s">
        <v>583</v>
      </c>
      <c r="C52" s="640" t="s">
        <v>595</v>
      </c>
      <c r="E52" s="641">
        <v>5751876.1100739734</v>
      </c>
      <c r="F52" s="268">
        <f>E25+G25+I25+K25</f>
        <v>522748.44638275262</v>
      </c>
      <c r="G52" s="268">
        <f>C29+E29+G29+I29+K29</f>
        <v>3858101.561702447</v>
      </c>
      <c r="H52" s="380">
        <f>E52-G52</f>
        <v>1893774.5483715264</v>
      </c>
      <c r="I52" s="641">
        <v>1612671.7400137212</v>
      </c>
      <c r="J52" s="642">
        <f>H52-I52</f>
        <v>281102.80835780525</v>
      </c>
      <c r="K52" s="642">
        <f>-E52+I52+J52</f>
        <v>-3858101.561702447</v>
      </c>
    </row>
    <row r="53" spans="1:13">
      <c r="A53" s="631"/>
      <c r="B53" s="631"/>
      <c r="H53" s="380"/>
      <c r="I53" s="643"/>
      <c r="J53" s="380"/>
      <c r="K53" s="380"/>
    </row>
    <row r="54" spans="1:13">
      <c r="A54" s="631">
        <v>4</v>
      </c>
      <c r="B54" s="631" t="s">
        <v>583</v>
      </c>
      <c r="C54" s="640" t="s">
        <v>596</v>
      </c>
      <c r="E54" s="380">
        <f>E48-E50-E52</f>
        <v>-71937036.623419523</v>
      </c>
      <c r="F54" s="380">
        <f>F48-F50-F52</f>
        <v>-6839275.655691904</v>
      </c>
      <c r="G54" s="380">
        <f>G48-G50-G52</f>
        <v>-73108927.670972228</v>
      </c>
      <c r="H54" s="380">
        <f>H48-H50-H52</f>
        <v>1171891.0475526927</v>
      </c>
      <c r="I54" s="380">
        <f>I48+I50+I52</f>
        <v>15845555.116710657</v>
      </c>
      <c r="J54" s="380">
        <f>J48+J50+J52</f>
        <v>3635706.2349815061</v>
      </c>
      <c r="K54" s="380">
        <f>K48+K50+K52</f>
        <v>-73108927.670972228</v>
      </c>
    </row>
    <row r="55" spans="1:13">
      <c r="A55" s="631"/>
      <c r="B55" s="631"/>
    </row>
    <row r="56" spans="1:13">
      <c r="A56" s="631"/>
      <c r="B56" s="631"/>
    </row>
    <row r="57" spans="1:13">
      <c r="A57" s="631"/>
      <c r="B57" s="631"/>
    </row>
    <row r="58" spans="1:13">
      <c r="A58" s="631"/>
      <c r="B58" s="631"/>
      <c r="K58" s="380"/>
      <c r="M58" s="380"/>
    </row>
    <row r="59" spans="1:13">
      <c r="A59" s="631"/>
      <c r="B59" s="631"/>
      <c r="G59" s="1130" t="str">
        <f>MID(M3:M3,31,10)&amp;" "&amp;"ATRR"</f>
        <v>2022 ATRR</v>
      </c>
      <c r="H59" s="1127"/>
    </row>
    <row r="60" spans="1:13">
      <c r="A60" s="631"/>
      <c r="B60" s="631"/>
    </row>
    <row r="61" spans="1:13">
      <c r="A61" s="631"/>
      <c r="B61" s="631"/>
      <c r="E61" s="622" t="s">
        <v>109</v>
      </c>
      <c r="F61" s="622" t="s">
        <v>110</v>
      </c>
      <c r="G61" s="622" t="s">
        <v>111</v>
      </c>
      <c r="H61" s="622" t="s">
        <v>112</v>
      </c>
      <c r="I61" s="622" t="s">
        <v>116</v>
      </c>
      <c r="J61" s="622" t="s">
        <v>117</v>
      </c>
      <c r="K61" s="622" t="s">
        <v>118</v>
      </c>
      <c r="L61" s="622" t="s">
        <v>119</v>
      </c>
      <c r="M61" s="622" t="s">
        <v>121</v>
      </c>
    </row>
    <row r="62" spans="1:13" ht="45" customHeight="1">
      <c r="A62" s="631"/>
      <c r="B62" s="631"/>
      <c r="E62" s="628" t="s">
        <v>1193</v>
      </c>
      <c r="F62" s="628" t="s">
        <v>584</v>
      </c>
      <c r="G62" s="628" t="s">
        <v>599</v>
      </c>
      <c r="H62" s="622" t="s">
        <v>600</v>
      </c>
      <c r="I62" s="628" t="s">
        <v>601</v>
      </c>
      <c r="J62" s="628" t="s">
        <v>1194</v>
      </c>
      <c r="K62" s="622" t="s">
        <v>602</v>
      </c>
      <c r="L62" s="622" t="s">
        <v>603</v>
      </c>
      <c r="M62" s="684" t="s">
        <v>640</v>
      </c>
    </row>
    <row r="63" spans="1:13" ht="59.45" customHeight="1">
      <c r="A63" s="631"/>
      <c r="B63" s="631"/>
      <c r="C63" s="637" t="s">
        <v>588</v>
      </c>
      <c r="E63" s="899" t="s">
        <v>954</v>
      </c>
      <c r="F63" s="639" t="s">
        <v>604</v>
      </c>
      <c r="G63" s="639" t="s">
        <v>590</v>
      </c>
      <c r="H63" s="639" t="s">
        <v>605</v>
      </c>
      <c r="I63" s="639" t="s">
        <v>606</v>
      </c>
      <c r="J63" s="639" t="s">
        <v>592</v>
      </c>
      <c r="K63" s="639" t="s">
        <v>607</v>
      </c>
      <c r="L63" s="639" t="s">
        <v>684</v>
      </c>
      <c r="M63" s="639" t="s">
        <v>683</v>
      </c>
    </row>
    <row r="64" spans="1:13">
      <c r="A64" s="631"/>
      <c r="B64" s="631"/>
    </row>
    <row r="65" spans="1:13">
      <c r="A65" s="631">
        <v>5</v>
      </c>
      <c r="B65" s="631" t="s">
        <v>598</v>
      </c>
      <c r="C65" s="640" t="s">
        <v>593</v>
      </c>
      <c r="E65" s="646">
        <f>'Attachment 5 - ADIT Summary'!H15</f>
        <v>16045986.448667523</v>
      </c>
      <c r="F65" s="268">
        <f>E10+G10+I10+K10</f>
        <v>-578744.36741799954</v>
      </c>
      <c r="G65" s="268">
        <f>C14+E14+G14+I14+K14</f>
        <v>4908828.4630501149</v>
      </c>
      <c r="H65" s="380">
        <f>E65-G65</f>
        <v>11137157.985617407</v>
      </c>
      <c r="I65" s="646">
        <f>H48-H65</f>
        <v>-810581.78599497862</v>
      </c>
      <c r="J65" s="646">
        <f>SUM('Attachment 5 - ADIT Summary'!F32:J32)</f>
        <v>11793916.799038086</v>
      </c>
      <c r="K65" s="380">
        <f>I48-J65</f>
        <v>-1320361.5329603683</v>
      </c>
      <c r="L65" s="642">
        <f>H65+I65-J65-K65</f>
        <v>-146979.06645528972</v>
      </c>
      <c r="M65" s="642">
        <f>E65-J65-L65</f>
        <v>4399048.7160847262</v>
      </c>
    </row>
    <row r="66" spans="1:13">
      <c r="A66" s="631"/>
      <c r="B66" s="631"/>
      <c r="H66" s="380"/>
      <c r="I66" s="643"/>
      <c r="J66" s="643"/>
      <c r="L66" s="380"/>
      <c r="M66" s="642"/>
    </row>
    <row r="67" spans="1:13">
      <c r="A67" s="631">
        <v>6</v>
      </c>
      <c r="B67" s="631" t="s">
        <v>598</v>
      </c>
      <c r="C67" s="640" t="s">
        <v>594</v>
      </c>
      <c r="E67" s="646">
        <f>'Attachment 5 - ADIT Summary'!F15</f>
        <v>61436875.973107211</v>
      </c>
      <c r="F67" s="268">
        <f>E18+G18+I18+K18</f>
        <v>1926818.3483257443</v>
      </c>
      <c r="G67" s="268">
        <f>C22+E22+G22+I22+K22</f>
        <v>65709213.105602577</v>
      </c>
      <c r="H67" s="380">
        <f>E67-G67</f>
        <v>-4272337.132495366</v>
      </c>
      <c r="I67" s="646">
        <f>H50-H67</f>
        <v>11533247.736193575</v>
      </c>
      <c r="J67" s="646">
        <f>SUM('Attachment 5 - ADIT Summary'!F24:J24)</f>
        <v>-7005994.3173572049</v>
      </c>
      <c r="K67" s="380">
        <f>I50-J67</f>
        <v>10765322.427976424</v>
      </c>
      <c r="L67" s="642">
        <f>H67+I67-J67-K67</f>
        <v>3501582.4930789899</v>
      </c>
      <c r="M67" s="642">
        <f>-E67+J67+L67</f>
        <v>-64941287.797385424</v>
      </c>
    </row>
    <row r="68" spans="1:13">
      <c r="A68" s="631"/>
      <c r="B68" s="631"/>
      <c r="H68" s="380"/>
      <c r="I68" s="643"/>
      <c r="J68" s="643"/>
      <c r="L68" s="380"/>
      <c r="M68" s="642"/>
    </row>
    <row r="69" spans="1:13">
      <c r="A69" s="631">
        <v>7</v>
      </c>
      <c r="B69" s="631" t="s">
        <v>598</v>
      </c>
      <c r="C69" s="640" t="s">
        <v>595</v>
      </c>
      <c r="E69" s="646">
        <f>'Attachment 5 - ADIT Summary'!G15</f>
        <v>4281853.8224075474</v>
      </c>
      <c r="F69" s="268">
        <f>E26+G26+I26+K26</f>
        <v>1160401.9990365319</v>
      </c>
      <c r="G69" s="268">
        <f>C30+E30+G30+I30+K30</f>
        <v>1627356.6477518557</v>
      </c>
      <c r="H69" s="380">
        <f>E69-G69</f>
        <v>2654497.1746556917</v>
      </c>
      <c r="I69" s="646">
        <f>H52-H69</f>
        <v>-760722.62628416531</v>
      </c>
      <c r="J69" s="646">
        <f>SUM('Attachment 5 - ADIT Summary'!F28:J28)</f>
        <v>-1204042.9116861662</v>
      </c>
      <c r="K69" s="380">
        <f>I52-J69</f>
        <v>2816714.6516998876</v>
      </c>
      <c r="L69" s="642">
        <f>H69+I69-J69-K69</f>
        <v>281102.80835780501</v>
      </c>
      <c r="M69" s="642">
        <f>-E69+J69+L69</f>
        <v>-5204793.9257359086</v>
      </c>
    </row>
    <row r="70" spans="1:13">
      <c r="A70" s="631"/>
      <c r="B70" s="631"/>
      <c r="H70" s="380"/>
      <c r="I70" s="643"/>
      <c r="J70" s="643"/>
      <c r="L70" s="380"/>
      <c r="M70" s="380"/>
    </row>
    <row r="71" spans="1:13">
      <c r="A71" s="631">
        <v>8</v>
      </c>
      <c r="B71" s="631" t="s">
        <v>598</v>
      </c>
      <c r="C71" s="640" t="s">
        <v>596</v>
      </c>
      <c r="E71" s="380">
        <f>E65-E67-E69</f>
        <v>-49672743.346847236</v>
      </c>
      <c r="F71" s="380">
        <f>F65-F67-F69</f>
        <v>-3665964.7147802757</v>
      </c>
      <c r="G71" s="380">
        <f>G65-G67-G69</f>
        <v>-62427741.290304318</v>
      </c>
      <c r="H71" s="380">
        <f>H65-H67-H69</f>
        <v>12754997.943457082</v>
      </c>
      <c r="I71" s="380">
        <f>I65+I67+I69</f>
        <v>9961943.323914431</v>
      </c>
      <c r="J71" s="380">
        <f>J65+J67+J69</f>
        <v>3583879.569994715</v>
      </c>
      <c r="K71" s="380">
        <f>K65+K67+K69</f>
        <v>12261675.546715943</v>
      </c>
      <c r="L71" s="380">
        <f>L65+L67+L69</f>
        <v>3635706.2349815052</v>
      </c>
      <c r="M71" s="380">
        <f>M65+M67+M69</f>
        <v>-65747033.007036604</v>
      </c>
    </row>
    <row r="72" spans="1:13">
      <c r="A72" s="631"/>
      <c r="B72" s="631"/>
    </row>
    <row r="73" spans="1:13">
      <c r="A73" s="631"/>
      <c r="B73" s="631"/>
    </row>
    <row r="74" spans="1:13">
      <c r="A74" s="631"/>
      <c r="B74" s="631"/>
    </row>
    <row r="75" spans="1:13">
      <c r="A75" s="631"/>
      <c r="B75" s="264" t="s">
        <v>597</v>
      </c>
    </row>
    <row r="76" spans="1:13" ht="14.45" customHeight="1">
      <c r="A76" s="631"/>
      <c r="B76" s="1128" t="s">
        <v>608</v>
      </c>
      <c r="C76" s="1128"/>
      <c r="D76" s="1128"/>
      <c r="E76" s="1128"/>
      <c r="F76" s="1128"/>
      <c r="G76" s="1128"/>
      <c r="K76" s="647"/>
    </row>
    <row r="77" spans="1:13">
      <c r="B77" s="1128"/>
      <c r="C77" s="1128"/>
      <c r="D77" s="1128"/>
      <c r="E77" s="1128"/>
      <c r="F77" s="1128"/>
      <c r="G77" s="1128"/>
    </row>
  </sheetData>
  <mergeCells count="5">
    <mergeCell ref="E6:L6"/>
    <mergeCell ref="G42:H42"/>
    <mergeCell ref="G59:H59"/>
    <mergeCell ref="B76:G76"/>
    <mergeCell ref="B77:G77"/>
  </mergeCells>
  <pageMargins left="0.7" right="0.7" top="0.75" bottom="0.75" header="0.3" footer="0.3"/>
  <pageSetup scale="39" orientation="portrait" horizontalDpi="1200" verticalDpi="1200"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23"/>
  <sheetViews>
    <sheetView view="pageBreakPreview" zoomScale="110" zoomScaleNormal="100" zoomScaleSheetLayoutView="110" workbookViewId="0"/>
  </sheetViews>
  <sheetFormatPr defaultRowHeight="15"/>
  <cols>
    <col min="1" max="1" width="3" customWidth="1"/>
    <col min="2" max="2" width="1.88671875" customWidth="1"/>
    <col min="3" max="3" width="47.88671875" customWidth="1"/>
    <col min="5" max="7" width="14" customWidth="1"/>
    <col min="8" max="8" width="5.109375" customWidth="1"/>
  </cols>
  <sheetData>
    <row r="1" spans="1:10" ht="15.75">
      <c r="H1" s="3" t="str">
        <f>'Attachment H-11A '!K1&amp;""&amp;", Attachment 6"</f>
        <v>Attachment H -11A, Attachment 6</v>
      </c>
    </row>
    <row r="2" spans="1:10" ht="15.75">
      <c r="H2" s="3" t="s">
        <v>168</v>
      </c>
    </row>
    <row r="3" spans="1:10" ht="15.75">
      <c r="A3" s="41"/>
      <c r="B3" s="93"/>
      <c r="F3" s="93"/>
      <c r="G3" s="93"/>
      <c r="H3" s="3" t="str">
        <f>'Attachment H-11A '!K4</f>
        <v>For the 12 months ended 12/31/2022</v>
      </c>
    </row>
    <row r="4" spans="1:10" ht="15.75">
      <c r="A4" s="41"/>
      <c r="B4" s="93"/>
      <c r="D4" s="93"/>
      <c r="E4" s="93"/>
      <c r="F4" s="93"/>
      <c r="G4" s="93"/>
    </row>
    <row r="5" spans="1:10">
      <c r="A5" s="185">
        <v>1</v>
      </c>
      <c r="B5" s="183"/>
      <c r="C5" s="184" t="s">
        <v>292</v>
      </c>
      <c r="D5" s="183"/>
      <c r="E5" s="185"/>
      <c r="F5" s="185"/>
      <c r="G5" s="185"/>
    </row>
    <row r="6" spans="1:10">
      <c r="A6" s="185"/>
      <c r="B6" s="183"/>
      <c r="C6" s="184"/>
      <c r="D6" s="183"/>
      <c r="E6" s="185"/>
      <c r="F6" s="185"/>
      <c r="G6" s="185"/>
    </row>
    <row r="7" spans="1:10">
      <c r="A7" s="185">
        <f>+A5+1</f>
        <v>2</v>
      </c>
      <c r="B7" s="183"/>
      <c r="C7" s="901"/>
      <c r="D7" s="186"/>
      <c r="E7" s="620" t="s">
        <v>8</v>
      </c>
      <c r="F7" s="619" t="s">
        <v>280</v>
      </c>
    </row>
    <row r="8" spans="1:10">
      <c r="A8" s="185">
        <f>+A7+1</f>
        <v>3</v>
      </c>
      <c r="B8" s="183"/>
      <c r="C8" s="187" t="s">
        <v>623</v>
      </c>
      <c r="D8" s="187"/>
      <c r="E8" s="276">
        <f>'Attach 9 - Stated-value Inputs'!C17</f>
        <v>-15646300</v>
      </c>
      <c r="F8" s="187" t="s">
        <v>796</v>
      </c>
    </row>
    <row r="9" spans="1:10">
      <c r="A9" s="185">
        <f>+A8+1</f>
        <v>4</v>
      </c>
      <c r="B9" s="183"/>
      <c r="C9" s="187" t="s">
        <v>546</v>
      </c>
      <c r="D9" s="187"/>
      <c r="E9" s="276">
        <f>'Attach 9 - Stated-value Inputs'!C18</f>
        <v>2161999525</v>
      </c>
      <c r="F9" s="187" t="s">
        <v>797</v>
      </c>
    </row>
    <row r="10" spans="1:10">
      <c r="A10" s="185">
        <f t="shared" ref="A10:A12" si="0">+A9+1</f>
        <v>5</v>
      </c>
      <c r="B10" s="185"/>
      <c r="C10" s="187" t="s">
        <v>529</v>
      </c>
      <c r="D10" s="187"/>
      <c r="E10" s="192">
        <f>'Attach 9 - Stated-value Inputs'!C19</f>
        <v>-7.2369581117276149E-3</v>
      </c>
      <c r="F10" s="187"/>
    </row>
    <row r="11" spans="1:10">
      <c r="A11" s="185">
        <f t="shared" si="0"/>
        <v>6</v>
      </c>
      <c r="B11" s="185"/>
      <c r="C11" s="187" t="s">
        <v>622</v>
      </c>
      <c r="D11" s="187"/>
      <c r="E11" s="277">
        <v>4942662</v>
      </c>
      <c r="F11" s="852" t="s">
        <v>1299</v>
      </c>
      <c r="G11" s="852"/>
      <c r="H11" s="852"/>
      <c r="I11" s="852"/>
    </row>
    <row r="12" spans="1:10">
      <c r="A12" s="185">
        <f t="shared" si="0"/>
        <v>7</v>
      </c>
      <c r="B12" s="185"/>
      <c r="C12" s="187" t="s">
        <v>530</v>
      </c>
      <c r="D12" s="188"/>
      <c r="E12" s="189">
        <f>E10*E11</f>
        <v>-35769.837854427838</v>
      </c>
    </row>
    <row r="14" spans="1:10">
      <c r="A14" s="185">
        <f>+A12+1</f>
        <v>8</v>
      </c>
      <c r="B14" s="185"/>
      <c r="C14" s="187" t="s">
        <v>624</v>
      </c>
      <c r="D14" s="187"/>
      <c r="E14" s="277">
        <v>-4138659</v>
      </c>
      <c r="F14" s="852" t="s">
        <v>1300</v>
      </c>
      <c r="G14" s="852"/>
      <c r="H14" s="852"/>
      <c r="I14" s="852"/>
      <c r="J14" s="852"/>
    </row>
    <row r="15" spans="1:10">
      <c r="A15" s="185">
        <f>+A14+1</f>
        <v>9</v>
      </c>
      <c r="B15" s="185"/>
      <c r="C15" s="187" t="s">
        <v>625</v>
      </c>
      <c r="D15" s="187"/>
      <c r="E15" s="677">
        <f>'Attachment H-11A '!I213</f>
        <v>9.333164788672195E-2</v>
      </c>
    </row>
    <row r="16" spans="1:10">
      <c r="A16" s="185">
        <v>10</v>
      </c>
      <c r="B16" s="185"/>
      <c r="C16" s="187" t="s">
        <v>626</v>
      </c>
      <c r="D16" s="187"/>
      <c r="E16" s="191">
        <f>E14*E15</f>
        <v>-386267.8645112128</v>
      </c>
    </row>
    <row r="17" spans="1:7">
      <c r="D17" s="187"/>
      <c r="E17" s="191"/>
    </row>
    <row r="18" spans="1:7">
      <c r="A18" s="185">
        <v>11</v>
      </c>
      <c r="B18" s="185"/>
      <c r="C18" s="187" t="s">
        <v>1137</v>
      </c>
      <c r="D18" s="187"/>
      <c r="E18" s="191">
        <f>E12-E16</f>
        <v>350498.02665678493</v>
      </c>
    </row>
    <row r="19" spans="1:7">
      <c r="A19" s="185"/>
      <c r="B19" s="185"/>
      <c r="D19" s="187"/>
      <c r="E19" s="191"/>
    </row>
    <row r="20" spans="1:7">
      <c r="A20" s="185"/>
      <c r="B20" s="185"/>
      <c r="C20" s="187"/>
      <c r="D20" s="187"/>
      <c r="E20" s="191"/>
    </row>
    <row r="21" spans="1:7">
      <c r="A21" s="185"/>
      <c r="B21" s="185"/>
      <c r="C21" s="187"/>
      <c r="D21" s="187"/>
      <c r="E21" s="193"/>
      <c r="F21" s="193"/>
      <c r="G21" s="193"/>
    </row>
    <row r="22" spans="1:7">
      <c r="A22" s="185"/>
      <c r="B22" s="185"/>
      <c r="C22" s="187"/>
      <c r="D22" s="187"/>
      <c r="E22" s="191"/>
      <c r="F22" s="191"/>
      <c r="G22" s="191"/>
    </row>
    <row r="23" spans="1:7">
      <c r="A23" s="185">
        <v>12</v>
      </c>
      <c r="B23" s="185"/>
      <c r="C23" s="187" t="s">
        <v>573</v>
      </c>
      <c r="D23" s="187"/>
      <c r="E23" s="187"/>
    </row>
  </sheetData>
  <pageMargins left="0.7" right="0.7" top="0.75" bottom="0.7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D47"/>
  <sheetViews>
    <sheetView view="pageBreakPreview" zoomScale="80" zoomScaleNormal="100" zoomScaleSheetLayoutView="80" workbookViewId="0"/>
  </sheetViews>
  <sheetFormatPr defaultColWidth="8.88671875" defaultRowHeight="20.100000000000001" customHeight="1"/>
  <cols>
    <col min="1" max="1" width="3.88671875" style="38" customWidth="1"/>
    <col min="2" max="2" width="71.44140625" style="834" customWidth="1"/>
    <col min="3" max="3" width="10.88671875" style="37" customWidth="1"/>
    <col min="4" max="4" width="16.109375" style="46" customWidth="1"/>
    <col min="5" max="16384" width="8.88671875" style="33"/>
  </cols>
  <sheetData>
    <row r="1" spans="1:4" ht="20.100000000000001" customHeight="1">
      <c r="D1" s="3" t="str">
        <f>'Attachment H-11A '!K1&amp;""&amp;", Attachment 7"</f>
        <v>Attachment H -11A, Attachment 7</v>
      </c>
    </row>
    <row r="2" spans="1:4" ht="20.100000000000001" customHeight="1">
      <c r="B2" s="686"/>
      <c r="D2" s="3" t="s">
        <v>168</v>
      </c>
    </row>
    <row r="3" spans="1:4" ht="20.100000000000001" customHeight="1">
      <c r="D3" s="3" t="str">
        <f>'Attachment H-11A '!K4</f>
        <v>For the 12 months ended 12/31/2022</v>
      </c>
    </row>
    <row r="4" spans="1:4" ht="20.100000000000001" customHeight="1">
      <c r="A4" s="41"/>
      <c r="B4" s="861" t="s">
        <v>498</v>
      </c>
    </row>
    <row r="6" spans="1:4" ht="20.100000000000001" customHeight="1">
      <c r="B6" s="862"/>
      <c r="C6" s="39" t="s">
        <v>205</v>
      </c>
      <c r="D6" s="853" t="str">
        <f>MID(D3:D3,25,10)</f>
        <v>12/31/2022</v>
      </c>
    </row>
    <row r="7" spans="1:4" ht="20.100000000000001" customHeight="1">
      <c r="A7" s="49">
        <v>1</v>
      </c>
      <c r="B7" s="863" t="s">
        <v>221</v>
      </c>
      <c r="C7" s="46"/>
      <c r="D7" s="40"/>
    </row>
    <row r="8" spans="1:4" ht="20.100000000000001" customHeight="1">
      <c r="A8" s="833" t="s">
        <v>464</v>
      </c>
      <c r="B8" s="864" t="s">
        <v>1304</v>
      </c>
      <c r="C8" s="46" t="s">
        <v>55</v>
      </c>
      <c r="D8" s="84">
        <v>2200819</v>
      </c>
    </row>
    <row r="9" spans="1:4" ht="20.100000000000001" customHeight="1">
      <c r="A9" s="833" t="s">
        <v>465</v>
      </c>
      <c r="B9" s="864" t="s">
        <v>1305</v>
      </c>
      <c r="C9" s="46" t="s">
        <v>55</v>
      </c>
      <c r="D9" s="84">
        <v>32518</v>
      </c>
    </row>
    <row r="10" spans="1:4" ht="20.100000000000001" customHeight="1">
      <c r="A10" s="833" t="s">
        <v>466</v>
      </c>
      <c r="B10" s="864" t="s">
        <v>1306</v>
      </c>
      <c r="C10" s="46" t="s">
        <v>55</v>
      </c>
      <c r="D10" s="84">
        <v>127927</v>
      </c>
    </row>
    <row r="11" spans="1:4" ht="20.100000000000001" customHeight="1" thickBot="1">
      <c r="A11" s="833" t="s">
        <v>509</v>
      </c>
      <c r="B11" s="864"/>
      <c r="C11" s="46" t="s">
        <v>55</v>
      </c>
      <c r="D11" s="90"/>
    </row>
    <row r="12" spans="1:4" ht="20.100000000000001" customHeight="1">
      <c r="A12" s="49" t="s">
        <v>473</v>
      </c>
      <c r="B12" s="865" t="s">
        <v>223</v>
      </c>
      <c r="C12" s="46"/>
      <c r="D12" s="91">
        <f>SUM(D8:D11)</f>
        <v>2361264</v>
      </c>
    </row>
    <row r="13" spans="1:4" ht="20.100000000000001" customHeight="1">
      <c r="A13" s="49"/>
      <c r="B13" s="863"/>
      <c r="C13" s="46"/>
      <c r="D13" s="91"/>
    </row>
    <row r="14" spans="1:4" ht="20.100000000000001" customHeight="1">
      <c r="A14" s="49" t="s">
        <v>467</v>
      </c>
      <c r="B14" s="863" t="s">
        <v>220</v>
      </c>
      <c r="C14" s="46"/>
      <c r="D14" s="91"/>
    </row>
    <row r="15" spans="1:4" ht="20.100000000000001" customHeight="1">
      <c r="A15" s="833" t="s">
        <v>433</v>
      </c>
      <c r="B15" s="864" t="s">
        <v>1307</v>
      </c>
      <c r="C15" s="46" t="s">
        <v>55</v>
      </c>
      <c r="D15" s="84">
        <v>6976</v>
      </c>
    </row>
    <row r="16" spans="1:4" ht="20.100000000000001" customHeight="1" thickBot="1">
      <c r="A16" s="833" t="s">
        <v>434</v>
      </c>
      <c r="B16" s="864"/>
      <c r="C16" s="46" t="s">
        <v>55</v>
      </c>
      <c r="D16" s="90"/>
    </row>
    <row r="17" spans="1:4" ht="20.100000000000001" customHeight="1">
      <c r="A17" s="49" t="s">
        <v>474</v>
      </c>
      <c r="B17" s="866" t="s">
        <v>220</v>
      </c>
      <c r="C17" s="46"/>
      <c r="D17" s="91">
        <f>SUM(D15:D16)</f>
        <v>6976</v>
      </c>
    </row>
    <row r="18" spans="1:4" ht="20.100000000000001" customHeight="1">
      <c r="A18" s="49"/>
      <c r="B18" s="863"/>
      <c r="C18" s="46"/>
      <c r="D18" s="91"/>
    </row>
    <row r="19" spans="1:4" ht="20.100000000000001" customHeight="1">
      <c r="A19" s="49" t="s">
        <v>191</v>
      </c>
      <c r="B19" s="863" t="s">
        <v>219</v>
      </c>
      <c r="C19" s="46"/>
      <c r="D19" s="91"/>
    </row>
    <row r="20" spans="1:4" ht="20.100000000000001" customHeight="1">
      <c r="A20" s="833" t="s">
        <v>507</v>
      </c>
      <c r="B20" s="864" t="s">
        <v>1308</v>
      </c>
      <c r="C20" s="46" t="s">
        <v>55</v>
      </c>
      <c r="D20" s="375">
        <v>210555</v>
      </c>
    </row>
    <row r="21" spans="1:4" ht="20.100000000000001" customHeight="1">
      <c r="A21" s="833" t="s">
        <v>468</v>
      </c>
      <c r="B21" s="864" t="s">
        <v>1309</v>
      </c>
      <c r="C21" s="46" t="s">
        <v>55</v>
      </c>
      <c r="D21" s="84">
        <v>12488</v>
      </c>
    </row>
    <row r="22" spans="1:4" ht="20.100000000000001" customHeight="1" thickBot="1">
      <c r="A22" s="833" t="s">
        <v>469</v>
      </c>
      <c r="B22" s="864"/>
      <c r="C22" s="46" t="s">
        <v>55</v>
      </c>
      <c r="D22" s="90"/>
    </row>
    <row r="23" spans="1:4" ht="20.100000000000001" customHeight="1">
      <c r="A23" s="49" t="s">
        <v>475</v>
      </c>
      <c r="B23" s="866" t="s">
        <v>219</v>
      </c>
      <c r="C23" s="46"/>
      <c r="D23" s="91">
        <f>SUM(D20:D22)</f>
        <v>223043</v>
      </c>
    </row>
    <row r="24" spans="1:4" ht="20.100000000000001" customHeight="1">
      <c r="A24" s="49"/>
      <c r="B24" s="863"/>
      <c r="C24" s="46"/>
      <c r="D24" s="91"/>
    </row>
    <row r="25" spans="1:4" ht="30.75" customHeight="1">
      <c r="A25" s="49" t="s">
        <v>192</v>
      </c>
      <c r="B25" s="863" t="s">
        <v>867</v>
      </c>
      <c r="C25" s="33"/>
      <c r="D25" s="91"/>
    </row>
    <row r="26" spans="1:4" ht="20.100000000000001" customHeight="1">
      <c r="A26" s="49"/>
      <c r="B26" s="863" t="s">
        <v>862</v>
      </c>
      <c r="C26" s="33"/>
      <c r="D26" s="91"/>
    </row>
    <row r="27" spans="1:4" ht="20.100000000000001" customHeight="1">
      <c r="A27" s="833" t="s">
        <v>439</v>
      </c>
      <c r="B27" s="864" t="s">
        <v>1310</v>
      </c>
      <c r="C27" s="46" t="s">
        <v>55</v>
      </c>
      <c r="D27" s="385">
        <v>66253281</v>
      </c>
    </row>
    <row r="28" spans="1:4" ht="20.100000000000001" customHeight="1">
      <c r="A28" s="42"/>
      <c r="B28" s="863" t="s">
        <v>865</v>
      </c>
      <c r="C28" s="46"/>
      <c r="D28" s="860"/>
    </row>
    <row r="29" spans="1:4" ht="20.100000000000001" customHeight="1">
      <c r="A29" s="833" t="s">
        <v>863</v>
      </c>
      <c r="B29" s="864"/>
      <c r="C29" s="46" t="s">
        <v>55</v>
      </c>
      <c r="D29" s="87"/>
    </row>
    <row r="30" spans="1:4" ht="20.100000000000001" customHeight="1" thickBot="1">
      <c r="A30" s="833" t="s">
        <v>864</v>
      </c>
      <c r="B30" s="864"/>
      <c r="C30" s="46" t="s">
        <v>55</v>
      </c>
      <c r="D30" s="90"/>
    </row>
    <row r="31" spans="1:4" ht="20.100000000000001" customHeight="1">
      <c r="A31" s="42" t="s">
        <v>476</v>
      </c>
      <c r="B31" s="866" t="s">
        <v>867</v>
      </c>
      <c r="C31" s="33"/>
      <c r="D31" s="85">
        <f>SUM(D27:D27,D29:D30)</f>
        <v>66253281</v>
      </c>
    </row>
    <row r="32" spans="1:4" ht="20.100000000000001" customHeight="1">
      <c r="A32" s="49"/>
      <c r="B32" s="863"/>
      <c r="C32" s="46"/>
      <c r="D32" s="91"/>
    </row>
    <row r="33" spans="1:4" ht="20.100000000000001" customHeight="1">
      <c r="A33" s="49" t="s">
        <v>144</v>
      </c>
      <c r="B33" s="863" t="s">
        <v>222</v>
      </c>
      <c r="C33" s="46"/>
      <c r="D33" s="91"/>
    </row>
    <row r="34" spans="1:4" ht="20.100000000000001" customHeight="1">
      <c r="A34" s="833" t="s">
        <v>470</v>
      </c>
      <c r="B34" s="867" t="s">
        <v>1311</v>
      </c>
      <c r="C34" s="46" t="s">
        <v>55</v>
      </c>
      <c r="D34" s="84">
        <v>50000</v>
      </c>
    </row>
    <row r="35" spans="1:4" ht="20.100000000000001" customHeight="1">
      <c r="A35" s="833" t="s">
        <v>471</v>
      </c>
      <c r="B35" s="867" t="s">
        <v>1312</v>
      </c>
      <c r="C35" s="46" t="s">
        <v>55</v>
      </c>
      <c r="D35" s="84">
        <v>2255425</v>
      </c>
    </row>
    <row r="36" spans="1:4" ht="20.100000000000001" customHeight="1" thickBot="1">
      <c r="A36" s="833" t="s">
        <v>472</v>
      </c>
      <c r="B36" s="867"/>
      <c r="C36" s="46" t="s">
        <v>55</v>
      </c>
      <c r="D36" s="90"/>
    </row>
    <row r="37" spans="1:4" ht="20.100000000000001" customHeight="1">
      <c r="A37" s="49" t="s">
        <v>477</v>
      </c>
      <c r="B37" s="866" t="s">
        <v>222</v>
      </c>
      <c r="C37" s="46"/>
      <c r="D37" s="91">
        <f>SUM(D34:D36)</f>
        <v>2305425</v>
      </c>
    </row>
    <row r="38" spans="1:4" ht="20.100000000000001" customHeight="1">
      <c r="A38" s="49"/>
      <c r="B38" s="862"/>
      <c r="C38" s="46"/>
      <c r="D38" s="91"/>
    </row>
    <row r="39" spans="1:4" ht="20.100000000000001" customHeight="1">
      <c r="A39" s="49" t="s">
        <v>478</v>
      </c>
      <c r="B39" s="863" t="s">
        <v>224</v>
      </c>
      <c r="C39" s="46"/>
      <c r="D39" s="84"/>
    </row>
    <row r="40" spans="1:4" ht="33.75" customHeight="1"/>
    <row r="41" spans="1:4" ht="31.5" customHeight="1">
      <c r="A41" s="49" t="s">
        <v>147</v>
      </c>
      <c r="B41" s="1131" t="s">
        <v>479</v>
      </c>
      <c r="C41" s="1131"/>
      <c r="D41" s="36">
        <f>D12+D17+D23+D31+D37+D39</f>
        <v>71149989</v>
      </c>
    </row>
    <row r="45" spans="1:4" ht="20.100000000000001" customHeight="1">
      <c r="A45" s="33" t="s">
        <v>206</v>
      </c>
      <c r="B45" s="862"/>
    </row>
    <row r="46" spans="1:4" s="46" customFormat="1" ht="20.100000000000001" customHeight="1">
      <c r="A46" s="38" t="s">
        <v>205</v>
      </c>
      <c r="B46" s="834" t="s">
        <v>207</v>
      </c>
    </row>
    <row r="47" spans="1:4" ht="20.100000000000001" customHeight="1">
      <c r="A47" s="38" t="s">
        <v>218</v>
      </c>
      <c r="B47" s="834" t="s">
        <v>866</v>
      </c>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41:C41"/>
  </mergeCells>
  <pageMargins left="0.7" right="0.7" top="0.75" bottom="0.75" header="0.3" footer="0.3"/>
  <pageSetup scale="60" orientation="portrait" r:id="rId2"/>
  <headerFooter alignWithMargins="0"/>
  <ignoredErrors>
    <ignoredError sqref="A2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O29"/>
  <sheetViews>
    <sheetView view="pageBreakPreview" zoomScaleNormal="100" zoomScaleSheetLayoutView="100" workbookViewId="0"/>
  </sheetViews>
  <sheetFormatPr defaultColWidth="8.88671875" defaultRowHeight="20.100000000000001" customHeight="1"/>
  <cols>
    <col min="1" max="1" width="2.88671875" style="38" customWidth="1"/>
    <col min="2" max="2" width="11.33203125" style="33" customWidth="1"/>
    <col min="3" max="3" width="6.44140625" style="33" customWidth="1"/>
    <col min="4" max="4" width="2.88671875" style="33" customWidth="1"/>
    <col min="5" max="5" width="12.88671875" style="38" customWidth="1"/>
    <col min="6" max="6" width="17.33203125" style="38" customWidth="1"/>
    <col min="7" max="7" width="17.6640625" style="38" customWidth="1"/>
    <col min="8" max="8" width="16.5546875" style="38" bestFit="1" customWidth="1"/>
    <col min="9" max="9" width="16.5546875" style="38" customWidth="1"/>
    <col min="10" max="10" width="14.88671875" style="38" customWidth="1"/>
    <col min="11" max="11" width="11.44140625" style="38" customWidth="1"/>
    <col min="12" max="12" width="21.88671875" style="38" customWidth="1"/>
    <col min="13" max="13" width="17.6640625" style="38" customWidth="1"/>
    <col min="14" max="14" width="16.88671875" style="33" bestFit="1" customWidth="1"/>
    <col min="15" max="15" width="8.88671875" style="33"/>
    <col min="16" max="17" width="13.5546875" style="33" bestFit="1" customWidth="1"/>
    <col min="18" max="16384" width="8.88671875" style="33"/>
  </cols>
  <sheetData>
    <row r="1" spans="1:15" ht="20.100000000000001" customHeight="1">
      <c r="O1" s="3" t="str">
        <f>'Attachment H-11A '!K1&amp;""&amp;", Attachment 8"</f>
        <v>Attachment H -11A, Attachment 8</v>
      </c>
    </row>
    <row r="2" spans="1:15" ht="20.100000000000001" customHeight="1">
      <c r="O2" s="3" t="s">
        <v>168</v>
      </c>
    </row>
    <row r="3" spans="1:15" ht="20.100000000000001" customHeight="1">
      <c r="I3" s="40" t="s">
        <v>499</v>
      </c>
      <c r="O3" s="3" t="str">
        <f>'Attachment H-11A '!K4</f>
        <v>For the 12 months ended 12/31/2022</v>
      </c>
    </row>
    <row r="4" spans="1:15" ht="20.100000000000001" customHeight="1">
      <c r="A4" s="41"/>
    </row>
    <row r="5" spans="1:15" ht="20.100000000000001" customHeight="1">
      <c r="E5" s="48" t="s">
        <v>457</v>
      </c>
      <c r="F5" s="48" t="s">
        <v>458</v>
      </c>
      <c r="G5" s="48" t="s">
        <v>459</v>
      </c>
      <c r="H5" s="48" t="s">
        <v>460</v>
      </c>
      <c r="I5" s="48" t="s">
        <v>461</v>
      </c>
      <c r="J5" s="48" t="s">
        <v>462</v>
      </c>
      <c r="K5" s="48" t="s">
        <v>463</v>
      </c>
      <c r="L5" s="48" t="s">
        <v>760</v>
      </c>
      <c r="M5" s="48" t="s">
        <v>920</v>
      </c>
    </row>
    <row r="6" spans="1:15" ht="24" customHeight="1">
      <c r="E6" s="40" t="s">
        <v>225</v>
      </c>
      <c r="F6" s="40" t="s">
        <v>919</v>
      </c>
      <c r="G6" s="40" t="s">
        <v>227</v>
      </c>
      <c r="H6" s="40" t="s">
        <v>228</v>
      </c>
      <c r="I6" s="40" t="s">
        <v>228</v>
      </c>
      <c r="J6" s="40" t="s">
        <v>420</v>
      </c>
      <c r="K6" s="40" t="s">
        <v>445</v>
      </c>
      <c r="L6" s="40" t="s">
        <v>88</v>
      </c>
      <c r="M6" s="40" t="s">
        <v>229</v>
      </c>
    </row>
    <row r="7" spans="1:15" ht="20.100000000000001" customHeight="1">
      <c r="E7" s="40" t="s">
        <v>226</v>
      </c>
      <c r="F7" s="40" t="s">
        <v>921</v>
      </c>
      <c r="G7" s="40"/>
      <c r="H7" s="40"/>
      <c r="I7" s="40" t="s">
        <v>922</v>
      </c>
      <c r="J7" s="40"/>
      <c r="K7" s="40"/>
      <c r="L7" s="40"/>
      <c r="M7" s="40"/>
    </row>
    <row r="8" spans="1:15" ht="20.100000000000001" customHeight="1">
      <c r="D8" s="36" t="s">
        <v>205</v>
      </c>
      <c r="E8" s="39" t="s">
        <v>230</v>
      </c>
      <c r="F8" s="39" t="s">
        <v>547</v>
      </c>
      <c r="G8" s="39" t="s">
        <v>510</v>
      </c>
      <c r="H8" s="39" t="s">
        <v>231</v>
      </c>
      <c r="I8" s="39" t="s">
        <v>547</v>
      </c>
      <c r="J8" s="39" t="s">
        <v>419</v>
      </c>
      <c r="K8" s="39" t="s">
        <v>446</v>
      </c>
      <c r="L8" s="39" t="s">
        <v>923</v>
      </c>
      <c r="M8" s="42" t="s">
        <v>1258</v>
      </c>
    </row>
    <row r="9" spans="1:15" ht="20.100000000000001" customHeight="1">
      <c r="A9" s="42">
        <v>1</v>
      </c>
      <c r="B9" s="33" t="str">
        <f>'Attachment 3 - Gross Plant'!B8</f>
        <v>December</v>
      </c>
      <c r="C9" s="34">
        <f>'Attachment 3 - Gross Plant'!C8</f>
        <v>2021</v>
      </c>
      <c r="D9" s="36"/>
      <c r="E9" s="84">
        <v>951546148</v>
      </c>
      <c r="F9" s="84"/>
      <c r="G9" s="84"/>
      <c r="H9" s="84">
        <v>1196302</v>
      </c>
      <c r="I9" s="84"/>
      <c r="J9" s="84">
        <v>3327696.76</v>
      </c>
      <c r="K9" s="84"/>
      <c r="L9" s="91">
        <f>E9-G9-H9-J9-K9-F9-I9</f>
        <v>947022149.24000001</v>
      </c>
      <c r="M9" s="84">
        <v>975000000</v>
      </c>
      <c r="N9" s="504"/>
    </row>
    <row r="10" spans="1:15" ht="20.100000000000001" customHeight="1">
      <c r="A10" s="42">
        <v>2</v>
      </c>
      <c r="B10" s="33" t="str">
        <f>'Attachment 3 - Gross Plant'!B9</f>
        <v>January</v>
      </c>
      <c r="C10" s="34">
        <f>C9+1</f>
        <v>2022</v>
      </c>
      <c r="E10" s="84">
        <v>967211380.66000009</v>
      </c>
      <c r="F10" s="84"/>
      <c r="G10" s="84"/>
      <c r="H10" s="84">
        <v>1196302</v>
      </c>
      <c r="I10" s="84"/>
      <c r="J10" s="84">
        <v>3132935.76</v>
      </c>
      <c r="K10" s="84"/>
      <c r="L10" s="91">
        <f t="shared" ref="L10:L21" si="0">E10-G10-H10-J10-K10-F10-I10</f>
        <v>962882142.9000001</v>
      </c>
      <c r="M10" s="84">
        <v>975000000</v>
      </c>
      <c r="N10" s="504"/>
    </row>
    <row r="11" spans="1:15" ht="20.100000000000001" customHeight="1">
      <c r="A11" s="42">
        <v>3</v>
      </c>
      <c r="B11" s="33" t="str">
        <f>'Attachment 3 - Gross Plant'!B10</f>
        <v>February</v>
      </c>
      <c r="C11" s="34">
        <f>C10</f>
        <v>2022</v>
      </c>
      <c r="E11" s="84">
        <v>980133578.25999999</v>
      </c>
      <c r="F11" s="84"/>
      <c r="G11" s="84"/>
      <c r="H11" s="84">
        <v>1196302</v>
      </c>
      <c r="I11" s="84"/>
      <c r="J11" s="84">
        <v>3050715.8399999901</v>
      </c>
      <c r="K11" s="84"/>
      <c r="L11" s="91">
        <f t="shared" si="0"/>
        <v>975886560.41999996</v>
      </c>
      <c r="M11" s="84">
        <v>975000000</v>
      </c>
      <c r="N11" s="504"/>
    </row>
    <row r="12" spans="1:15" ht="20.100000000000001" customHeight="1">
      <c r="A12" s="42">
        <v>4</v>
      </c>
      <c r="B12" s="33" t="str">
        <f>'Attachment 3 - Gross Plant'!B11</f>
        <v>March</v>
      </c>
      <c r="C12" s="34">
        <f t="shared" ref="C12:C21" si="1">C11</f>
        <v>2022</v>
      </c>
      <c r="E12" s="84">
        <v>1114485434</v>
      </c>
      <c r="F12" s="84"/>
      <c r="G12" s="84"/>
      <c r="H12" s="84">
        <v>1192328</v>
      </c>
      <c r="I12" s="84"/>
      <c r="J12" s="84">
        <v>2912225.3799999901</v>
      </c>
      <c r="K12" s="84"/>
      <c r="L12" s="91">
        <f t="shared" si="0"/>
        <v>1110380880.6200001</v>
      </c>
      <c r="M12" s="84">
        <v>975000000</v>
      </c>
      <c r="N12" s="504"/>
    </row>
    <row r="13" spans="1:15" ht="20.100000000000001" customHeight="1">
      <c r="A13" s="42">
        <v>5</v>
      </c>
      <c r="B13" s="33" t="str">
        <f>'Attachment 3 - Gross Plant'!B12</f>
        <v>April</v>
      </c>
      <c r="C13" s="34">
        <f t="shared" si="1"/>
        <v>2022</v>
      </c>
      <c r="E13" s="84">
        <v>1122943223.6900001</v>
      </c>
      <c r="F13" s="84"/>
      <c r="G13" s="84"/>
      <c r="H13" s="84">
        <v>1192328</v>
      </c>
      <c r="I13" s="84"/>
      <c r="J13" s="84">
        <v>2773734.92</v>
      </c>
      <c r="K13" s="84"/>
      <c r="L13" s="91">
        <f t="shared" si="0"/>
        <v>1118977160.77</v>
      </c>
      <c r="M13" s="84">
        <v>875000000</v>
      </c>
      <c r="N13" s="504"/>
    </row>
    <row r="14" spans="1:15" ht="20.100000000000001" customHeight="1">
      <c r="A14" s="42">
        <v>6</v>
      </c>
      <c r="B14" s="33" t="str">
        <f>'Attachment 3 - Gross Plant'!B13</f>
        <v>May</v>
      </c>
      <c r="C14" s="34">
        <f t="shared" si="1"/>
        <v>2022</v>
      </c>
      <c r="E14" s="84">
        <v>1129518932.5600002</v>
      </c>
      <c r="F14" s="84"/>
      <c r="G14" s="84"/>
      <c r="H14" s="84">
        <v>1192328</v>
      </c>
      <c r="I14" s="84"/>
      <c r="J14" s="84">
        <v>2635244.4700000002</v>
      </c>
      <c r="K14" s="84"/>
      <c r="L14" s="91">
        <f t="shared" si="0"/>
        <v>1125691360.0900002</v>
      </c>
      <c r="M14" s="84">
        <v>875000000</v>
      </c>
      <c r="N14" s="504"/>
    </row>
    <row r="15" spans="1:15" ht="20.100000000000001" customHeight="1">
      <c r="A15" s="42">
        <v>7</v>
      </c>
      <c r="B15" s="33" t="str">
        <f>'Attachment 3 - Gross Plant'!B14</f>
        <v>June</v>
      </c>
      <c r="C15" s="34">
        <f t="shared" si="1"/>
        <v>2022</v>
      </c>
      <c r="E15" s="84">
        <v>1140604977</v>
      </c>
      <c r="F15" s="84"/>
      <c r="G15" s="84"/>
      <c r="H15" s="84">
        <v>1188436</v>
      </c>
      <c r="I15" s="84"/>
      <c r="J15" s="84">
        <v>2496754.0099999998</v>
      </c>
      <c r="K15" s="84"/>
      <c r="L15" s="91">
        <f t="shared" si="0"/>
        <v>1136919786.99</v>
      </c>
      <c r="M15" s="84">
        <v>875000000</v>
      </c>
      <c r="N15" s="504"/>
    </row>
    <row r="16" spans="1:15" ht="20.100000000000001" customHeight="1">
      <c r="A16" s="42">
        <v>8</v>
      </c>
      <c r="B16" s="33" t="str">
        <f>'Attachment 3 - Gross Plant'!B15</f>
        <v>July</v>
      </c>
      <c r="C16" s="34">
        <f t="shared" si="1"/>
        <v>2022</v>
      </c>
      <c r="E16" s="84">
        <v>1151120774.73</v>
      </c>
      <c r="F16" s="84"/>
      <c r="G16" s="84"/>
      <c r="H16" s="84">
        <v>1188436</v>
      </c>
      <c r="I16" s="84"/>
      <c r="J16" s="84">
        <v>2358263.5499999998</v>
      </c>
      <c r="K16" s="84"/>
      <c r="L16" s="91">
        <f t="shared" si="0"/>
        <v>1147574075.1800001</v>
      </c>
      <c r="M16" s="84">
        <v>875000000</v>
      </c>
      <c r="N16" s="504"/>
    </row>
    <row r="17" spans="1:14" ht="20.100000000000001" customHeight="1">
      <c r="A17" s="42">
        <v>9</v>
      </c>
      <c r="B17" s="33" t="str">
        <f>'Attachment 3 - Gross Plant'!B16</f>
        <v>August</v>
      </c>
      <c r="C17" s="34">
        <f t="shared" si="1"/>
        <v>2022</v>
      </c>
      <c r="E17" s="84">
        <v>1162663569.47</v>
      </c>
      <c r="F17" s="84"/>
      <c r="G17" s="84"/>
      <c r="H17" s="84">
        <v>1188436</v>
      </c>
      <c r="I17" s="84"/>
      <c r="J17" s="84">
        <v>2219773.1</v>
      </c>
      <c r="K17" s="84"/>
      <c r="L17" s="91">
        <f t="shared" si="0"/>
        <v>1159255360.3700001</v>
      </c>
      <c r="M17" s="84">
        <v>875000000</v>
      </c>
      <c r="N17" s="504"/>
    </row>
    <row r="18" spans="1:14" ht="20.100000000000001" customHeight="1">
      <c r="A18" s="42">
        <v>10</v>
      </c>
      <c r="B18" s="33" t="str">
        <f>'Attachment 3 - Gross Plant'!B17</f>
        <v>September</v>
      </c>
      <c r="C18" s="34">
        <f t="shared" si="1"/>
        <v>2022</v>
      </c>
      <c r="E18" s="84">
        <v>1161755953</v>
      </c>
      <c r="F18" s="84"/>
      <c r="G18" s="84"/>
      <c r="H18" s="84">
        <v>1178037</v>
      </c>
      <c r="I18" s="84"/>
      <c r="J18" s="84">
        <v>2081282.6499999899</v>
      </c>
      <c r="K18" s="84"/>
      <c r="L18" s="91">
        <f t="shared" si="0"/>
        <v>1158496633.3499999</v>
      </c>
      <c r="M18" s="84">
        <v>875000000</v>
      </c>
      <c r="N18" s="504"/>
    </row>
    <row r="19" spans="1:14" ht="20.100000000000001" customHeight="1">
      <c r="A19" s="42">
        <v>11</v>
      </c>
      <c r="B19" s="33" t="str">
        <f>'Attachment 3 - Gross Plant'!B18</f>
        <v>October</v>
      </c>
      <c r="C19" s="34">
        <f t="shared" si="1"/>
        <v>2022</v>
      </c>
      <c r="E19" s="84">
        <v>1168901003.03</v>
      </c>
      <c r="F19" s="84"/>
      <c r="G19" s="84"/>
      <c r="H19" s="84">
        <v>1178037</v>
      </c>
      <c r="I19" s="84"/>
      <c r="J19" s="84">
        <v>1942792.1899999899</v>
      </c>
      <c r="K19" s="84"/>
      <c r="L19" s="91">
        <f t="shared" si="0"/>
        <v>1165780173.8399999</v>
      </c>
      <c r="M19" s="84">
        <v>875000000</v>
      </c>
      <c r="N19" s="504"/>
    </row>
    <row r="20" spans="1:14" ht="20.100000000000001" customHeight="1">
      <c r="A20" s="42">
        <v>12</v>
      </c>
      <c r="B20" s="33" t="str">
        <f>'Attachment 3 - Gross Plant'!B19</f>
        <v>November</v>
      </c>
      <c r="C20" s="34">
        <f t="shared" si="1"/>
        <v>2022</v>
      </c>
      <c r="E20" s="84">
        <v>1175884251.1500001</v>
      </c>
      <c r="F20" s="84"/>
      <c r="G20" s="84"/>
      <c r="H20" s="84">
        <v>1178037</v>
      </c>
      <c r="I20" s="84"/>
      <c r="J20" s="84">
        <v>1804301.74</v>
      </c>
      <c r="K20" s="84"/>
      <c r="L20" s="91">
        <f t="shared" si="0"/>
        <v>1172901912.4100001</v>
      </c>
      <c r="M20" s="84">
        <v>875000000</v>
      </c>
      <c r="N20" s="504"/>
    </row>
    <row r="21" spans="1:14" ht="20.100000000000001" customHeight="1">
      <c r="A21" s="42">
        <v>13</v>
      </c>
      <c r="B21" s="33" t="str">
        <f>'Attachment 3 - Gross Plant'!B20</f>
        <v>December</v>
      </c>
      <c r="C21" s="34">
        <f t="shared" si="1"/>
        <v>2022</v>
      </c>
      <c r="E21" s="84">
        <v>1072196009</v>
      </c>
      <c r="F21" s="84"/>
      <c r="G21" s="84"/>
      <c r="H21" s="84">
        <v>1104427</v>
      </c>
      <c r="I21" s="84"/>
      <c r="J21" s="84">
        <v>1648264.6199999901</v>
      </c>
      <c r="K21" s="84"/>
      <c r="L21" s="91">
        <f t="shared" si="0"/>
        <v>1069443317.38</v>
      </c>
      <c r="M21" s="84">
        <v>1125000000</v>
      </c>
      <c r="N21" s="504"/>
    </row>
    <row r="22" spans="1:14" ht="20.100000000000001" customHeight="1">
      <c r="A22" s="33"/>
      <c r="E22" s="86"/>
      <c r="F22" s="91"/>
      <c r="G22" s="86"/>
      <c r="H22" s="86"/>
      <c r="I22" s="91"/>
      <c r="J22" s="86"/>
      <c r="K22" s="86"/>
      <c r="L22" s="86"/>
      <c r="M22" s="86"/>
    </row>
    <row r="23" spans="1:14" ht="20.100000000000001" customHeight="1">
      <c r="A23" s="42">
        <v>14</v>
      </c>
      <c r="B23" s="33" t="s">
        <v>204</v>
      </c>
      <c r="E23" s="86">
        <f t="shared" ref="E23:M23" si="2">SUM(E9:E21)/13</f>
        <v>1099920402.6576924</v>
      </c>
      <c r="F23" s="91">
        <f t="shared" si="2"/>
        <v>0</v>
      </c>
      <c r="G23" s="86">
        <f t="shared" si="2"/>
        <v>0</v>
      </c>
      <c r="H23" s="86">
        <f t="shared" si="2"/>
        <v>1182287.3846153845</v>
      </c>
      <c r="I23" s="91">
        <f t="shared" si="2"/>
        <v>0</v>
      </c>
      <c r="J23" s="86">
        <f t="shared" si="2"/>
        <v>2491075.7684615348</v>
      </c>
      <c r="K23" s="86">
        <f t="shared" si="2"/>
        <v>0</v>
      </c>
      <c r="L23" s="86">
        <f t="shared" si="2"/>
        <v>1096247039.5046155</v>
      </c>
      <c r="M23" s="86">
        <f t="shared" si="2"/>
        <v>925000000</v>
      </c>
    </row>
    <row r="24" spans="1:14" ht="20.100000000000001" customHeight="1">
      <c r="A24" s="42"/>
    </row>
    <row r="25" spans="1:14" ht="20.100000000000001" customHeight="1">
      <c r="K25" s="91"/>
    </row>
    <row r="26" spans="1:14" ht="20.100000000000001" customHeight="1">
      <c r="A26" s="33" t="s">
        <v>206</v>
      </c>
    </row>
    <row r="27" spans="1:14" ht="20.100000000000001" customHeight="1">
      <c r="A27" s="38" t="s">
        <v>205</v>
      </c>
      <c r="B27" s="33" t="s">
        <v>207</v>
      </c>
      <c r="L27" s="50"/>
    </row>
    <row r="28" spans="1:14" ht="20.100000000000001" customHeight="1">
      <c r="A28" s="38" t="s">
        <v>218</v>
      </c>
      <c r="B28" s="33" t="s">
        <v>924</v>
      </c>
      <c r="E28" s="33"/>
      <c r="F28" s="33"/>
      <c r="G28" s="33"/>
    </row>
    <row r="29" spans="1:14" ht="35.25" customHeight="1">
      <c r="A29" s="38" t="s">
        <v>257</v>
      </c>
      <c r="B29" s="1131" t="s">
        <v>1301</v>
      </c>
      <c r="C29" s="1131"/>
      <c r="D29" s="1131"/>
      <c r="E29" s="1131"/>
      <c r="F29" s="1131"/>
      <c r="G29" s="1131"/>
      <c r="H29" s="1131"/>
      <c r="I29" s="1131"/>
      <c r="J29" s="1131"/>
      <c r="K29" s="1131"/>
      <c r="L29" s="1131"/>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29:L29"/>
  </mergeCells>
  <pageMargins left="0.7" right="0.7" top="0.75" bottom="0.75" header="0.3" footer="0.3"/>
  <pageSetup scale="37"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90"/>
  <sheetViews>
    <sheetView view="pageBreakPreview" zoomScale="70" zoomScaleNormal="80" zoomScaleSheetLayoutView="70" workbookViewId="0">
      <selection activeCell="A2" sqref="A2"/>
    </sheetView>
  </sheetViews>
  <sheetFormatPr defaultColWidth="8.88671875" defaultRowHeight="12.75"/>
  <cols>
    <col min="1" max="1" width="8.88671875" style="93"/>
    <col min="2" max="2" width="36.88671875" style="93" customWidth="1"/>
    <col min="3" max="3" width="11.88671875" style="93" customWidth="1"/>
    <col min="4" max="4" width="10.5546875" style="93" customWidth="1"/>
    <col min="5" max="5" width="10.88671875" style="93" customWidth="1"/>
    <col min="6" max="6" width="11.88671875" style="93" customWidth="1"/>
    <col min="7" max="7" width="13.109375" style="93" customWidth="1"/>
    <col min="8" max="16384" width="8.88671875" style="93"/>
  </cols>
  <sheetData>
    <row r="1" spans="1:9" ht="15.75">
      <c r="A1" s="41"/>
      <c r="I1" s="3" t="str">
        <f>'Attachment H-11A '!K1&amp;""&amp;", Attachment 9"</f>
        <v>Attachment H -11A, Attachment 9</v>
      </c>
    </row>
    <row r="2" spans="1:9" ht="15.75">
      <c r="A2" s="41"/>
      <c r="I2" s="3" t="s">
        <v>168</v>
      </c>
    </row>
    <row r="3" spans="1:9" ht="15.75">
      <c r="A3" s="41"/>
      <c r="D3" s="94" t="s">
        <v>500</v>
      </c>
      <c r="I3" s="3" t="str">
        <f>'Attachment H-11A '!K4</f>
        <v>For the 12 months ended 12/31/2022</v>
      </c>
    </row>
    <row r="4" spans="1:9" ht="15.75">
      <c r="A4" s="41"/>
    </row>
    <row r="5" spans="1:9">
      <c r="A5" s="94"/>
    </row>
    <row r="6" spans="1:9">
      <c r="A6" s="94" t="s">
        <v>258</v>
      </c>
    </row>
    <row r="7" spans="1:9">
      <c r="A7" s="103" t="s">
        <v>270</v>
      </c>
    </row>
    <row r="8" spans="1:9">
      <c r="A8" s="94"/>
    </row>
    <row r="10" spans="1:9">
      <c r="A10" s="94" t="s">
        <v>259</v>
      </c>
    </row>
    <row r="12" spans="1:9" ht="18" customHeight="1">
      <c r="A12" s="1132" t="s">
        <v>937</v>
      </c>
      <c r="B12" s="1132"/>
      <c r="C12" s="1132"/>
      <c r="D12" s="893">
        <f>'Attachment H-11A '!G247</f>
        <v>0.1045</v>
      </c>
      <c r="E12" s="894"/>
      <c r="F12" s="894"/>
      <c r="G12" s="894"/>
      <c r="H12" s="894"/>
      <c r="I12" s="894"/>
    </row>
    <row r="15" spans="1:9">
      <c r="A15" s="94" t="s">
        <v>260</v>
      </c>
    </row>
    <row r="16" spans="1:9">
      <c r="A16" s="94"/>
      <c r="B16" s="400" t="s">
        <v>955</v>
      </c>
    </row>
    <row r="17" spans="1:15" s="95" customFormat="1" ht="15" customHeight="1">
      <c r="A17" s="187" t="s">
        <v>545</v>
      </c>
      <c r="B17" s="187"/>
      <c r="C17" s="276">
        <v>-15646300</v>
      </c>
      <c r="D17" s="187"/>
      <c r="E17" s="187"/>
      <c r="F17" s="276"/>
      <c r="G17" s="187"/>
      <c r="H17" s="187"/>
      <c r="I17" s="276"/>
      <c r="J17" s="96"/>
      <c r="K17" s="96"/>
      <c r="L17" s="112"/>
      <c r="M17" s="96"/>
      <c r="N17" s="96"/>
      <c r="O17" s="96"/>
    </row>
    <row r="18" spans="1:15">
      <c r="A18" s="187" t="s">
        <v>546</v>
      </c>
      <c r="B18" s="187"/>
      <c r="C18" s="276">
        <v>2161999525</v>
      </c>
      <c r="D18" s="187"/>
      <c r="E18" s="187"/>
      <c r="F18" s="276"/>
      <c r="G18" s="187"/>
      <c r="H18" s="187"/>
      <c r="I18" s="276"/>
    </row>
    <row r="19" spans="1:15">
      <c r="A19" s="187" t="s">
        <v>682</v>
      </c>
      <c r="B19" s="187"/>
      <c r="C19" s="869">
        <f>C17/C18</f>
        <v>-7.2369581117276149E-3</v>
      </c>
      <c r="D19" s="187"/>
      <c r="E19" s="187"/>
      <c r="F19" s="276"/>
      <c r="G19" s="187"/>
      <c r="H19" s="187"/>
      <c r="I19" s="276"/>
    </row>
    <row r="21" spans="1:15">
      <c r="A21" s="94" t="s">
        <v>932</v>
      </c>
    </row>
    <row r="22" spans="1:15">
      <c r="A22" s="94"/>
    </row>
    <row r="23" spans="1:15" ht="25.5">
      <c r="A23" s="93" t="s">
        <v>261</v>
      </c>
      <c r="C23" s="896" t="s">
        <v>1260</v>
      </c>
    </row>
    <row r="24" spans="1:15" ht="15">
      <c r="A24" s="371">
        <v>350.2</v>
      </c>
      <c r="B24" s="93" t="s">
        <v>1244</v>
      </c>
      <c r="C24" s="897">
        <v>1.54E-2</v>
      </c>
      <c r="F24" s="369"/>
      <c r="G24" s="383"/>
      <c r="H24" s="370"/>
    </row>
    <row r="25" spans="1:15" ht="15">
      <c r="A25" s="371">
        <v>352</v>
      </c>
      <c r="B25" s="93" t="s">
        <v>1223</v>
      </c>
      <c r="C25" s="897">
        <v>1.6E-2</v>
      </c>
      <c r="F25" s="369"/>
      <c r="G25" s="383"/>
      <c r="H25" s="370"/>
    </row>
    <row r="26" spans="1:15" ht="15">
      <c r="A26" s="371">
        <v>353.1</v>
      </c>
      <c r="B26" s="93" t="s">
        <v>1224</v>
      </c>
      <c r="C26" s="897">
        <v>1.5299999999999999E-2</v>
      </c>
      <c r="F26" s="369"/>
      <c r="G26" s="383"/>
      <c r="H26" s="370"/>
    </row>
    <row r="27" spans="1:15" ht="15">
      <c r="A27" s="371">
        <v>353.4</v>
      </c>
      <c r="B27" s="93" t="s">
        <v>1225</v>
      </c>
      <c r="C27" s="897">
        <v>8.9999999999999998E-4</v>
      </c>
      <c r="F27" s="369"/>
      <c r="G27" s="383"/>
      <c r="H27" s="370"/>
    </row>
    <row r="28" spans="1:15" ht="15">
      <c r="A28" s="371">
        <v>354</v>
      </c>
      <c r="B28" s="93" t="s">
        <v>1226</v>
      </c>
      <c r="C28" s="897">
        <v>1.3100000000000001E-2</v>
      </c>
      <c r="F28" s="369"/>
      <c r="G28" s="383"/>
      <c r="H28" s="370"/>
    </row>
    <row r="29" spans="1:15" ht="15">
      <c r="A29" s="371">
        <v>355</v>
      </c>
      <c r="B29" s="93" t="s">
        <v>1227</v>
      </c>
      <c r="C29" s="897">
        <v>2.4500000000000001E-2</v>
      </c>
      <c r="F29" s="369"/>
      <c r="G29" s="383"/>
      <c r="H29" s="370"/>
    </row>
    <row r="30" spans="1:15" ht="15">
      <c r="A30" s="371">
        <v>356.1</v>
      </c>
      <c r="B30" s="93" t="s">
        <v>1228</v>
      </c>
      <c r="C30" s="897">
        <v>1.5800000000000002E-2</v>
      </c>
      <c r="F30" s="369"/>
      <c r="G30" s="383"/>
      <c r="H30" s="370"/>
    </row>
    <row r="31" spans="1:15" ht="15">
      <c r="A31" s="382">
        <v>356.2</v>
      </c>
      <c r="B31" s="93" t="s">
        <v>1229</v>
      </c>
      <c r="C31" s="897">
        <v>1.17E-2</v>
      </c>
      <c r="F31" s="369"/>
      <c r="G31" s="383"/>
      <c r="H31" s="370"/>
    </row>
    <row r="32" spans="1:15" ht="12.75" customHeight="1">
      <c r="A32" s="382">
        <v>358</v>
      </c>
      <c r="B32" s="93" t="s">
        <v>1253</v>
      </c>
      <c r="C32" s="895">
        <v>2.9600000000000001E-2</v>
      </c>
    </row>
    <row r="33" spans="1:5" ht="12.75" customHeight="1">
      <c r="A33" s="382">
        <v>389.2</v>
      </c>
      <c r="B33" s="93" t="s">
        <v>1254</v>
      </c>
      <c r="C33" s="1051">
        <v>1.26E-2</v>
      </c>
      <c r="D33" s="403"/>
      <c r="E33" s="403"/>
    </row>
    <row r="34" spans="1:5" ht="12.75" customHeight="1">
      <c r="A34" s="382">
        <v>390.1</v>
      </c>
      <c r="B34" s="93" t="s">
        <v>1261</v>
      </c>
      <c r="C34" s="1051"/>
      <c r="D34" s="403"/>
      <c r="E34" s="403"/>
    </row>
    <row r="35" spans="1:5" ht="12.75" customHeight="1">
      <c r="A35" s="382"/>
      <c r="B35" s="93" t="s">
        <v>1262</v>
      </c>
      <c r="C35" s="1051">
        <v>2.5600000000000001E-2</v>
      </c>
      <c r="D35" s="403"/>
      <c r="E35" s="403"/>
    </row>
    <row r="36" spans="1:5" ht="12.75" customHeight="1">
      <c r="A36" s="382"/>
      <c r="B36" s="93" t="s">
        <v>1263</v>
      </c>
      <c r="C36" s="1051">
        <v>3.2800000000000003E-2</v>
      </c>
      <c r="D36" s="403"/>
      <c r="E36" s="403"/>
    </row>
    <row r="37" spans="1:5" ht="12.75" customHeight="1">
      <c r="A37" s="382"/>
      <c r="B37" s="93" t="s">
        <v>1264</v>
      </c>
      <c r="C37" s="1051">
        <v>3.5099999999999999E-2</v>
      </c>
      <c r="D37" s="403"/>
      <c r="E37" s="403"/>
    </row>
    <row r="38" spans="1:5" ht="12.75" customHeight="1">
      <c r="A38" s="382"/>
      <c r="B38" s="93" t="s">
        <v>1265</v>
      </c>
      <c r="C38" s="1051">
        <v>2.3900000000000001E-2</v>
      </c>
      <c r="D38" s="403"/>
      <c r="E38" s="403"/>
    </row>
    <row r="39" spans="1:5" ht="12.75" customHeight="1">
      <c r="A39" s="382"/>
      <c r="B39" s="93" t="s">
        <v>1266</v>
      </c>
      <c r="C39" s="1051">
        <v>2.1000000000000001E-2</v>
      </c>
      <c r="D39" s="403"/>
      <c r="E39" s="403"/>
    </row>
    <row r="40" spans="1:5" ht="12.75" customHeight="1">
      <c r="A40" s="382"/>
      <c r="B40" s="93" t="s">
        <v>1267</v>
      </c>
      <c r="C40" s="1051">
        <v>1.6299999999999999E-2</v>
      </c>
      <c r="D40" s="403"/>
      <c r="E40" s="403"/>
    </row>
    <row r="41" spans="1:5" ht="12.75" customHeight="1">
      <c r="A41" s="382"/>
      <c r="B41" s="93" t="s">
        <v>1268</v>
      </c>
      <c r="C41" s="1051">
        <v>2.8299999999999999E-2</v>
      </c>
      <c r="D41" s="403"/>
      <c r="E41" s="403"/>
    </row>
    <row r="42" spans="1:5" ht="12.75" customHeight="1">
      <c r="A42" s="382"/>
      <c r="B42" s="93" t="s">
        <v>1269</v>
      </c>
      <c r="C42" s="1051">
        <v>1.9E-3</v>
      </c>
      <c r="D42" s="403"/>
      <c r="E42" s="403"/>
    </row>
    <row r="43" spans="1:5" ht="12.75" customHeight="1">
      <c r="A43" s="382"/>
      <c r="B43" s="93" t="s">
        <v>1270</v>
      </c>
      <c r="C43" s="1051">
        <v>3.0300000000000001E-2</v>
      </c>
      <c r="D43" s="403"/>
      <c r="E43" s="403"/>
    </row>
    <row r="44" spans="1:5" ht="12.75" customHeight="1">
      <c r="A44" s="382"/>
      <c r="B44" s="93" t="s">
        <v>1271</v>
      </c>
      <c r="C44" s="1051">
        <v>0</v>
      </c>
      <c r="D44" s="403"/>
      <c r="E44" s="403"/>
    </row>
    <row r="45" spans="1:5" ht="12.75" customHeight="1">
      <c r="A45" s="382"/>
      <c r="B45" s="93" t="s">
        <v>1272</v>
      </c>
      <c r="C45" s="1051">
        <v>3.85E-2</v>
      </c>
      <c r="D45" s="403"/>
      <c r="E45" s="403"/>
    </row>
    <row r="46" spans="1:5" ht="12.75" customHeight="1">
      <c r="A46" s="382"/>
      <c r="B46" s="93" t="s">
        <v>1273</v>
      </c>
      <c r="C46" s="1051">
        <v>0</v>
      </c>
      <c r="D46" s="403"/>
      <c r="E46" s="403"/>
    </row>
    <row r="47" spans="1:5" ht="12.75" customHeight="1">
      <c r="A47" s="382"/>
      <c r="B47" s="93" t="s">
        <v>1274</v>
      </c>
      <c r="C47" s="1051">
        <v>2.7699999999999999E-2</v>
      </c>
      <c r="D47" s="403"/>
      <c r="E47" s="403"/>
    </row>
    <row r="48" spans="1:5" ht="12.75" customHeight="1">
      <c r="A48" s="382"/>
      <c r="B48" s="93" t="s">
        <v>1275</v>
      </c>
      <c r="C48" s="1051">
        <v>2.3E-3</v>
      </c>
      <c r="D48" s="403"/>
      <c r="E48" s="403"/>
    </row>
    <row r="49" spans="1:5" ht="12.75" customHeight="1">
      <c r="A49" s="382"/>
      <c r="B49" s="93" t="s">
        <v>1276</v>
      </c>
      <c r="C49" s="1051">
        <v>4.1099999999999998E-2</v>
      </c>
      <c r="D49" s="403"/>
      <c r="E49" s="403"/>
    </row>
    <row r="50" spans="1:5" ht="12.75" customHeight="1">
      <c r="A50" s="382"/>
      <c r="B50" s="93" t="s">
        <v>1277</v>
      </c>
      <c r="C50" s="1051">
        <v>0.02</v>
      </c>
      <c r="D50" s="403"/>
      <c r="E50" s="403"/>
    </row>
    <row r="51" spans="1:5" ht="12.75" customHeight="1">
      <c r="A51" s="382"/>
      <c r="B51" s="93" t="s">
        <v>1278</v>
      </c>
      <c r="C51" s="1051">
        <v>2.8299999999999999E-2</v>
      </c>
      <c r="D51" s="403"/>
      <c r="E51" s="403"/>
    </row>
    <row r="52" spans="1:5" ht="12.75" customHeight="1">
      <c r="A52" s="382"/>
      <c r="B52" s="93" t="s">
        <v>1279</v>
      </c>
      <c r="C52" s="1051">
        <v>0.03</v>
      </c>
      <c r="D52" s="403"/>
      <c r="E52" s="403"/>
    </row>
    <row r="53" spans="1:5" ht="12.75" customHeight="1">
      <c r="A53" s="382"/>
      <c r="B53" s="93" t="s">
        <v>1280</v>
      </c>
      <c r="C53" s="1051">
        <v>2.4199999999999999E-2</v>
      </c>
      <c r="D53" s="403"/>
      <c r="E53" s="403"/>
    </row>
    <row r="54" spans="1:5" ht="12.75" customHeight="1">
      <c r="A54" s="382"/>
      <c r="B54" s="93" t="s">
        <v>1281</v>
      </c>
      <c r="C54" s="1051">
        <v>0</v>
      </c>
      <c r="D54" s="403"/>
      <c r="E54" s="403"/>
    </row>
    <row r="55" spans="1:5" ht="12.75" customHeight="1">
      <c r="A55" s="382"/>
      <c r="B55" s="93" t="s">
        <v>1282</v>
      </c>
      <c r="C55" s="1051">
        <v>1.5900000000000001E-2</v>
      </c>
      <c r="D55" s="403"/>
      <c r="E55" s="403"/>
    </row>
    <row r="56" spans="1:5" ht="12.75" customHeight="1">
      <c r="A56" s="382"/>
      <c r="B56" s="93" t="s">
        <v>1283</v>
      </c>
      <c r="C56" s="1051">
        <v>2.46E-2</v>
      </c>
      <c r="D56" s="403"/>
      <c r="E56" s="403"/>
    </row>
    <row r="57" spans="1:5" ht="12.75" customHeight="1">
      <c r="A57" s="382"/>
      <c r="B57" s="93" t="s">
        <v>1284</v>
      </c>
      <c r="C57" s="1051">
        <v>2.24E-2</v>
      </c>
      <c r="D57" s="403"/>
      <c r="E57" s="403"/>
    </row>
    <row r="58" spans="1:5" ht="12.75" customHeight="1">
      <c r="A58" s="382"/>
      <c r="B58" s="93" t="s">
        <v>1285</v>
      </c>
      <c r="C58" s="1051">
        <v>3.8199999999999998E-2</v>
      </c>
      <c r="D58" s="403"/>
      <c r="E58" s="403"/>
    </row>
    <row r="59" spans="1:5" ht="12.75" customHeight="1">
      <c r="A59" s="382"/>
      <c r="B59" s="93" t="s">
        <v>1286</v>
      </c>
      <c r="C59" s="1051">
        <v>2.1299999999999999E-2</v>
      </c>
      <c r="D59" s="403"/>
      <c r="E59" s="403"/>
    </row>
    <row r="60" spans="1:5" ht="12.75" customHeight="1">
      <c r="A60" s="382"/>
      <c r="B60" s="93" t="s">
        <v>1287</v>
      </c>
      <c r="C60" s="1051">
        <v>2.2100000000000002E-2</v>
      </c>
      <c r="D60" s="403"/>
      <c r="E60" s="403"/>
    </row>
    <row r="61" spans="1:5" ht="12.75" customHeight="1">
      <c r="A61" s="382"/>
      <c r="B61" s="93" t="s">
        <v>1288</v>
      </c>
      <c r="C61" s="1051">
        <v>3.5900000000000001E-2</v>
      </c>
      <c r="D61" s="403"/>
      <c r="E61" s="403"/>
    </row>
    <row r="62" spans="1:5" ht="12.75" customHeight="1">
      <c r="A62" s="382"/>
      <c r="B62" s="93" t="s">
        <v>1289</v>
      </c>
      <c r="C62" s="1051">
        <v>2.5399999999999999E-2</v>
      </c>
      <c r="D62" s="403"/>
      <c r="E62" s="403"/>
    </row>
    <row r="63" spans="1:5" ht="12.75" customHeight="1">
      <c r="A63" s="382"/>
      <c r="B63" s="93" t="s">
        <v>1290</v>
      </c>
      <c r="C63" s="1051">
        <v>2.8899999999999999E-2</v>
      </c>
      <c r="D63" s="403"/>
      <c r="E63" s="403"/>
    </row>
    <row r="64" spans="1:5" ht="12.75" customHeight="1">
      <c r="A64" s="382"/>
      <c r="B64" s="93" t="s">
        <v>1291</v>
      </c>
      <c r="C64" s="1051">
        <v>3.0700000000000002E-2</v>
      </c>
      <c r="D64" s="403"/>
      <c r="E64" s="403"/>
    </row>
    <row r="65" spans="1:5" ht="12.75" customHeight="1">
      <c r="A65" s="382"/>
      <c r="B65" s="93" t="s">
        <v>1292</v>
      </c>
      <c r="C65" s="1051">
        <v>2.47E-2</v>
      </c>
      <c r="D65" s="403"/>
      <c r="E65" s="403"/>
    </row>
    <row r="66" spans="1:5" ht="12.75" customHeight="1">
      <c r="A66" s="382"/>
      <c r="B66" s="93" t="s">
        <v>1293</v>
      </c>
      <c r="C66" s="1051">
        <v>2.5999999999999999E-2</v>
      </c>
      <c r="D66" s="403"/>
      <c r="E66" s="403"/>
    </row>
    <row r="67" spans="1:5" ht="12.75" customHeight="1">
      <c r="A67" s="382"/>
      <c r="B67" s="93" t="s">
        <v>1294</v>
      </c>
      <c r="C67" s="1051">
        <v>3.7600000000000001E-2</v>
      </c>
      <c r="D67" s="403"/>
      <c r="E67" s="403"/>
    </row>
    <row r="68" spans="1:5" ht="12.75" customHeight="1">
      <c r="A68" s="382"/>
      <c r="B68" s="93" t="s">
        <v>1295</v>
      </c>
      <c r="C68" s="1051">
        <v>2.7900000000000001E-2</v>
      </c>
      <c r="D68" s="403"/>
      <c r="E68" s="403"/>
    </row>
    <row r="69" spans="1:5" ht="12.75" customHeight="1">
      <c r="A69" s="382"/>
      <c r="B69" s="93" t="s">
        <v>1296</v>
      </c>
      <c r="C69" s="1051">
        <v>3.3099999999999997E-2</v>
      </c>
      <c r="D69" s="403"/>
      <c r="E69" s="403"/>
    </row>
    <row r="70" spans="1:5" ht="12.75" customHeight="1">
      <c r="A70" s="1052">
        <v>391.1</v>
      </c>
      <c r="B70" s="93" t="s">
        <v>1230</v>
      </c>
      <c r="C70" s="895">
        <v>5.9499999999999997E-2</v>
      </c>
      <c r="D70" s="403"/>
      <c r="E70" s="403"/>
    </row>
    <row r="71" spans="1:5">
      <c r="A71" s="382">
        <v>391.2</v>
      </c>
      <c r="B71" s="93" t="s">
        <v>1231</v>
      </c>
      <c r="C71" s="895">
        <v>0.15559999999999999</v>
      </c>
    </row>
    <row r="72" spans="1:5">
      <c r="A72" s="382">
        <v>391.3</v>
      </c>
      <c r="B72" s="93" t="s">
        <v>1232</v>
      </c>
      <c r="C72" s="895">
        <v>4.8099999999999997E-2</v>
      </c>
    </row>
    <row r="73" spans="1:5">
      <c r="A73" s="382">
        <v>391.5</v>
      </c>
      <c r="B73" s="93" t="s">
        <v>1255</v>
      </c>
      <c r="C73" s="895">
        <v>0.1103</v>
      </c>
    </row>
    <row r="74" spans="1:5">
      <c r="A74" s="382">
        <v>392.1</v>
      </c>
      <c r="B74" s="93" t="s">
        <v>1233</v>
      </c>
      <c r="C74" s="895">
        <v>0.13370000000000001</v>
      </c>
    </row>
    <row r="75" spans="1:5">
      <c r="A75" s="382">
        <v>392.2</v>
      </c>
      <c r="B75" s="93" t="s">
        <v>1234</v>
      </c>
      <c r="C75" s="895">
        <v>7.8399999999999997E-2</v>
      </c>
    </row>
    <row r="76" spans="1:5">
      <c r="A76" s="382">
        <v>392.3</v>
      </c>
      <c r="B76" s="93" t="s">
        <v>1235</v>
      </c>
      <c r="C76" s="895">
        <v>1.49E-2</v>
      </c>
    </row>
    <row r="77" spans="1:5">
      <c r="A77" s="382">
        <v>392.4</v>
      </c>
      <c r="B77" s="93" t="s">
        <v>1236</v>
      </c>
      <c r="C77" s="895">
        <v>2.0799999999999999E-2</v>
      </c>
    </row>
    <row r="78" spans="1:5">
      <c r="A78" s="382">
        <v>392.5</v>
      </c>
      <c r="B78" s="93" t="s">
        <v>1237</v>
      </c>
      <c r="C78" s="895">
        <v>0</v>
      </c>
    </row>
    <row r="79" spans="1:5">
      <c r="A79" s="382">
        <v>392.6</v>
      </c>
      <c r="B79" s="93" t="s">
        <v>1238</v>
      </c>
      <c r="C79" s="895">
        <v>7.0800000000000002E-2</v>
      </c>
    </row>
    <row r="80" spans="1:5">
      <c r="A80" s="382">
        <v>393</v>
      </c>
      <c r="B80" s="93" t="s">
        <v>1239</v>
      </c>
      <c r="C80" s="895">
        <v>4.6399999999999997E-2</v>
      </c>
    </row>
    <row r="81" spans="1:9">
      <c r="A81" s="382">
        <v>394</v>
      </c>
      <c r="B81" s="93" t="s">
        <v>1240</v>
      </c>
      <c r="C81" s="895">
        <v>6.8199999999999997E-2</v>
      </c>
    </row>
    <row r="82" spans="1:9">
      <c r="A82" s="382">
        <v>395</v>
      </c>
      <c r="B82" s="93" t="s">
        <v>1250</v>
      </c>
      <c r="C82" s="895">
        <v>1.83E-2</v>
      </c>
    </row>
    <row r="83" spans="1:9">
      <c r="A83" s="382">
        <v>396</v>
      </c>
      <c r="B83" s="93" t="s">
        <v>1241</v>
      </c>
      <c r="C83" s="895">
        <v>2.2599999999999999E-2</v>
      </c>
    </row>
    <row r="84" spans="1:9">
      <c r="A84" s="382">
        <v>397</v>
      </c>
      <c r="B84" s="93" t="s">
        <v>1242</v>
      </c>
      <c r="C84" s="895">
        <v>8.3500000000000005E-2</v>
      </c>
    </row>
    <row r="85" spans="1:9">
      <c r="A85" s="382">
        <v>398</v>
      </c>
      <c r="B85" s="93" t="s">
        <v>1243</v>
      </c>
      <c r="C85" s="895">
        <v>7.5600000000000001E-2</v>
      </c>
    </row>
    <row r="86" spans="1:9">
      <c r="A86" s="382"/>
      <c r="C86" s="895"/>
    </row>
    <row r="87" spans="1:9">
      <c r="A87" s="382"/>
      <c r="C87" s="895"/>
    </row>
    <row r="88" spans="1:9" ht="25.15" customHeight="1">
      <c r="A88" s="1055" t="s">
        <v>681</v>
      </c>
      <c r="B88" s="1133" t="s">
        <v>1302</v>
      </c>
      <c r="C88" s="1133"/>
      <c r="D88" s="1133"/>
      <c r="E88" s="1133"/>
      <c r="F88" s="1133"/>
      <c r="G88" s="1133"/>
      <c r="H88" s="1133"/>
      <c r="I88" s="1133"/>
    </row>
    <row r="89" spans="1:9" ht="13.5" customHeight="1">
      <c r="A89" s="898"/>
    </row>
    <row r="90" spans="1:9">
      <c r="A90" s="898"/>
    </row>
  </sheetData>
  <mergeCells count="2">
    <mergeCell ref="A12:C12"/>
    <mergeCell ref="B88:I88"/>
  </mergeCells>
  <pageMargins left="0.7" right="0.7" top="0.75" bottom="0.75" header="0.3" footer="0.3"/>
  <pageSetup scale="5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U139"/>
  <sheetViews>
    <sheetView zoomScale="80" zoomScaleNormal="80" workbookViewId="0"/>
  </sheetViews>
  <sheetFormatPr defaultColWidth="13.33203125" defaultRowHeight="15"/>
  <cols>
    <col min="1" max="1" width="3.109375" style="404" customWidth="1"/>
    <col min="2" max="2" width="35.88671875" style="404" customWidth="1"/>
    <col min="3" max="3" width="12.33203125" style="404" bestFit="1" customWidth="1"/>
    <col min="4" max="4" width="16.44140625" style="404" customWidth="1"/>
    <col min="5" max="6" width="3.109375" style="404" customWidth="1"/>
    <col min="7" max="7" width="13.5546875" style="404" bestFit="1" customWidth="1"/>
    <col min="8" max="8" width="1.109375" style="404" customWidth="1"/>
    <col min="9" max="9" width="20.33203125" style="404" customWidth="1"/>
    <col min="10" max="10" width="1.44140625" style="404" customWidth="1"/>
    <col min="11" max="11" width="20.88671875" style="404" customWidth="1"/>
    <col min="12" max="12" width="1.88671875" style="404" customWidth="1"/>
    <col min="13" max="13" width="19.88671875" style="404" customWidth="1"/>
    <col min="14" max="14" width="1.88671875" style="404" customWidth="1"/>
    <col min="15" max="15" width="13.5546875" style="404" bestFit="1" customWidth="1"/>
    <col min="16" max="16" width="1.88671875" style="404" customWidth="1"/>
    <col min="17" max="17" width="21.88671875" style="404" customWidth="1"/>
    <col min="18" max="18" width="1.5546875" style="404" customWidth="1"/>
    <col min="19" max="19" width="20.88671875" style="404" customWidth="1"/>
    <col min="20" max="20" width="1.88671875" style="404" customWidth="1"/>
    <col min="21" max="21" width="14.88671875" style="404" customWidth="1"/>
    <col min="22" max="22" width="1.88671875" style="404" customWidth="1"/>
    <col min="23" max="23" width="15.109375" style="404" customWidth="1"/>
    <col min="24" max="24" width="1.44140625" style="404" customWidth="1"/>
    <col min="25" max="25" width="20.109375" style="404" customWidth="1"/>
    <col min="26" max="26" width="4.44140625" style="404" customWidth="1"/>
    <col min="27" max="27" width="19.33203125" style="404" customWidth="1"/>
    <col min="28" max="257" width="13.33203125" style="404"/>
    <col min="258" max="258" width="14.44140625" style="404" customWidth="1"/>
    <col min="259" max="259" width="13.44140625" style="404" bestFit="1" customWidth="1"/>
    <col min="260" max="260" width="14.33203125" style="404" bestFit="1" customWidth="1"/>
    <col min="261" max="262" width="13.33203125" style="404"/>
    <col min="263" max="263" width="13.44140625" style="404" bestFit="1" customWidth="1"/>
    <col min="264" max="264" width="13.33203125" style="404"/>
    <col min="265" max="265" width="13.44140625" style="404" bestFit="1" customWidth="1"/>
    <col min="266" max="266" width="13.33203125" style="404"/>
    <col min="267" max="269" width="13.44140625" style="404" bestFit="1" customWidth="1"/>
    <col min="270" max="270" width="13.33203125" style="404"/>
    <col min="271" max="271" width="13.44140625" style="404" bestFit="1" customWidth="1"/>
    <col min="272" max="272" width="13.33203125" style="404"/>
    <col min="273" max="273" width="14.109375" style="404" bestFit="1" customWidth="1"/>
    <col min="274" max="274" width="13.33203125" style="404"/>
    <col min="275" max="275" width="13.44140625" style="404" bestFit="1" customWidth="1"/>
    <col min="276" max="513" width="13.33203125" style="404"/>
    <col min="514" max="514" width="14.44140625" style="404" customWidth="1"/>
    <col min="515" max="515" width="13.44140625" style="404" bestFit="1" customWidth="1"/>
    <col min="516" max="516" width="14.33203125" style="404" bestFit="1" customWidth="1"/>
    <col min="517" max="518" width="13.33203125" style="404"/>
    <col min="519" max="519" width="13.44140625" style="404" bestFit="1" customWidth="1"/>
    <col min="520" max="520" width="13.33203125" style="404"/>
    <col min="521" max="521" width="13.44140625" style="404" bestFit="1" customWidth="1"/>
    <col min="522" max="522" width="13.33203125" style="404"/>
    <col min="523" max="525" width="13.44140625" style="404" bestFit="1" customWidth="1"/>
    <col min="526" max="526" width="13.33203125" style="404"/>
    <col min="527" max="527" width="13.44140625" style="404" bestFit="1" customWidth="1"/>
    <col min="528" max="528" width="13.33203125" style="404"/>
    <col min="529" max="529" width="14.109375" style="404" bestFit="1" customWidth="1"/>
    <col min="530" max="530" width="13.33203125" style="404"/>
    <col min="531" max="531" width="13.44140625" style="404" bestFit="1" customWidth="1"/>
    <col min="532" max="769" width="13.33203125" style="404"/>
    <col min="770" max="770" width="14.44140625" style="404" customWidth="1"/>
    <col min="771" max="771" width="13.44140625" style="404" bestFit="1" customWidth="1"/>
    <col min="772" max="772" width="14.33203125" style="404" bestFit="1" customWidth="1"/>
    <col min="773" max="774" width="13.33203125" style="404"/>
    <col min="775" max="775" width="13.44140625" style="404" bestFit="1" customWidth="1"/>
    <col min="776" max="776" width="13.33203125" style="404"/>
    <col min="777" max="777" width="13.44140625" style="404" bestFit="1" customWidth="1"/>
    <col min="778" max="778" width="13.33203125" style="404"/>
    <col min="779" max="781" width="13.44140625" style="404" bestFit="1" customWidth="1"/>
    <col min="782" max="782" width="13.33203125" style="404"/>
    <col min="783" max="783" width="13.44140625" style="404" bestFit="1" customWidth="1"/>
    <col min="784" max="784" width="13.33203125" style="404"/>
    <col min="785" max="785" width="14.109375" style="404" bestFit="1" customWidth="1"/>
    <col min="786" max="786" width="13.33203125" style="404"/>
    <col min="787" max="787" width="13.44140625" style="404" bestFit="1" customWidth="1"/>
    <col min="788" max="1025" width="13.33203125" style="404"/>
    <col min="1026" max="1026" width="14.44140625" style="404" customWidth="1"/>
    <col min="1027" max="1027" width="13.44140625" style="404" bestFit="1" customWidth="1"/>
    <col min="1028" max="1028" width="14.33203125" style="404" bestFit="1" customWidth="1"/>
    <col min="1029" max="1030" width="13.33203125" style="404"/>
    <col min="1031" max="1031" width="13.44140625" style="404" bestFit="1" customWidth="1"/>
    <col min="1032" max="1032" width="13.33203125" style="404"/>
    <col min="1033" max="1033" width="13.44140625" style="404" bestFit="1" customWidth="1"/>
    <col min="1034" max="1034" width="13.33203125" style="404"/>
    <col min="1035" max="1037" width="13.44140625" style="404" bestFit="1" customWidth="1"/>
    <col min="1038" max="1038" width="13.33203125" style="404"/>
    <col min="1039" max="1039" width="13.44140625" style="404" bestFit="1" customWidth="1"/>
    <col min="1040" max="1040" width="13.33203125" style="404"/>
    <col min="1041" max="1041" width="14.109375" style="404" bestFit="1" customWidth="1"/>
    <col min="1042" max="1042" width="13.33203125" style="404"/>
    <col min="1043" max="1043" width="13.44140625" style="404" bestFit="1" customWidth="1"/>
    <col min="1044" max="1281" width="13.33203125" style="404"/>
    <col min="1282" max="1282" width="14.44140625" style="404" customWidth="1"/>
    <col min="1283" max="1283" width="13.44140625" style="404" bestFit="1" customWidth="1"/>
    <col min="1284" max="1284" width="14.33203125" style="404" bestFit="1" customWidth="1"/>
    <col min="1285" max="1286" width="13.33203125" style="404"/>
    <col min="1287" max="1287" width="13.44140625" style="404" bestFit="1" customWidth="1"/>
    <col min="1288" max="1288" width="13.33203125" style="404"/>
    <col min="1289" max="1289" width="13.44140625" style="404" bestFit="1" customWidth="1"/>
    <col min="1290" max="1290" width="13.33203125" style="404"/>
    <col min="1291" max="1293" width="13.44140625" style="404" bestFit="1" customWidth="1"/>
    <col min="1294" max="1294" width="13.33203125" style="404"/>
    <col min="1295" max="1295" width="13.44140625" style="404" bestFit="1" customWidth="1"/>
    <col min="1296" max="1296" width="13.33203125" style="404"/>
    <col min="1297" max="1297" width="14.109375" style="404" bestFit="1" customWidth="1"/>
    <col min="1298" max="1298" width="13.33203125" style="404"/>
    <col min="1299" max="1299" width="13.44140625" style="404" bestFit="1" customWidth="1"/>
    <col min="1300" max="1537" width="13.33203125" style="404"/>
    <col min="1538" max="1538" width="14.44140625" style="404" customWidth="1"/>
    <col min="1539" max="1539" width="13.44140625" style="404" bestFit="1" customWidth="1"/>
    <col min="1540" max="1540" width="14.33203125" style="404" bestFit="1" customWidth="1"/>
    <col min="1541" max="1542" width="13.33203125" style="404"/>
    <col min="1543" max="1543" width="13.44140625" style="404" bestFit="1" customWidth="1"/>
    <col min="1544" max="1544" width="13.33203125" style="404"/>
    <col min="1545" max="1545" width="13.44140625" style="404" bestFit="1" customWidth="1"/>
    <col min="1546" max="1546" width="13.33203125" style="404"/>
    <col min="1547" max="1549" width="13.44140625" style="404" bestFit="1" customWidth="1"/>
    <col min="1550" max="1550" width="13.33203125" style="404"/>
    <col min="1551" max="1551" width="13.44140625" style="404" bestFit="1" customWidth="1"/>
    <col min="1552" max="1552" width="13.33203125" style="404"/>
    <col min="1553" max="1553" width="14.109375" style="404" bestFit="1" customWidth="1"/>
    <col min="1554" max="1554" width="13.33203125" style="404"/>
    <col min="1555" max="1555" width="13.44140625" style="404" bestFit="1" customWidth="1"/>
    <col min="1556" max="1793" width="13.33203125" style="404"/>
    <col min="1794" max="1794" width="14.44140625" style="404" customWidth="1"/>
    <col min="1795" max="1795" width="13.44140625" style="404" bestFit="1" customWidth="1"/>
    <col min="1796" max="1796" width="14.33203125" style="404" bestFit="1" customWidth="1"/>
    <col min="1797" max="1798" width="13.33203125" style="404"/>
    <col min="1799" max="1799" width="13.44140625" style="404" bestFit="1" customWidth="1"/>
    <col min="1800" max="1800" width="13.33203125" style="404"/>
    <col min="1801" max="1801" width="13.44140625" style="404" bestFit="1" customWidth="1"/>
    <col min="1802" max="1802" width="13.33203125" style="404"/>
    <col min="1803" max="1805" width="13.44140625" style="404" bestFit="1" customWidth="1"/>
    <col min="1806" max="1806" width="13.33203125" style="404"/>
    <col min="1807" max="1807" width="13.44140625" style="404" bestFit="1" customWidth="1"/>
    <col min="1808" max="1808" width="13.33203125" style="404"/>
    <col min="1809" max="1809" width="14.109375" style="404" bestFit="1" customWidth="1"/>
    <col min="1810" max="1810" width="13.33203125" style="404"/>
    <col min="1811" max="1811" width="13.44140625" style="404" bestFit="1" customWidth="1"/>
    <col min="1812" max="2049" width="13.33203125" style="404"/>
    <col min="2050" max="2050" width="14.44140625" style="404" customWidth="1"/>
    <col min="2051" max="2051" width="13.44140625" style="404" bestFit="1" customWidth="1"/>
    <col min="2052" max="2052" width="14.33203125" style="404" bestFit="1" customWidth="1"/>
    <col min="2053" max="2054" width="13.33203125" style="404"/>
    <col min="2055" max="2055" width="13.44140625" style="404" bestFit="1" customWidth="1"/>
    <col min="2056" max="2056" width="13.33203125" style="404"/>
    <col min="2057" max="2057" width="13.44140625" style="404" bestFit="1" customWidth="1"/>
    <col min="2058" max="2058" width="13.33203125" style="404"/>
    <col min="2059" max="2061" width="13.44140625" style="404" bestFit="1" customWidth="1"/>
    <col min="2062" max="2062" width="13.33203125" style="404"/>
    <col min="2063" max="2063" width="13.44140625" style="404" bestFit="1" customWidth="1"/>
    <col min="2064" max="2064" width="13.33203125" style="404"/>
    <col min="2065" max="2065" width="14.109375" style="404" bestFit="1" customWidth="1"/>
    <col min="2066" max="2066" width="13.33203125" style="404"/>
    <col min="2067" max="2067" width="13.44140625" style="404" bestFit="1" customWidth="1"/>
    <col min="2068" max="2305" width="13.33203125" style="404"/>
    <col min="2306" max="2306" width="14.44140625" style="404" customWidth="1"/>
    <col min="2307" max="2307" width="13.44140625" style="404" bestFit="1" customWidth="1"/>
    <col min="2308" max="2308" width="14.33203125" style="404" bestFit="1" customWidth="1"/>
    <col min="2309" max="2310" width="13.33203125" style="404"/>
    <col min="2311" max="2311" width="13.44140625" style="404" bestFit="1" customWidth="1"/>
    <col min="2312" max="2312" width="13.33203125" style="404"/>
    <col min="2313" max="2313" width="13.44140625" style="404" bestFit="1" customWidth="1"/>
    <col min="2314" max="2314" width="13.33203125" style="404"/>
    <col min="2315" max="2317" width="13.44140625" style="404" bestFit="1" customWidth="1"/>
    <col min="2318" max="2318" width="13.33203125" style="404"/>
    <col min="2319" max="2319" width="13.44140625" style="404" bestFit="1" customWidth="1"/>
    <col min="2320" max="2320" width="13.33203125" style="404"/>
    <col min="2321" max="2321" width="14.109375" style="404" bestFit="1" customWidth="1"/>
    <col min="2322" max="2322" width="13.33203125" style="404"/>
    <col min="2323" max="2323" width="13.44140625" style="404" bestFit="1" customWidth="1"/>
    <col min="2324" max="2561" width="13.33203125" style="404"/>
    <col min="2562" max="2562" width="14.44140625" style="404" customWidth="1"/>
    <col min="2563" max="2563" width="13.44140625" style="404" bestFit="1" customWidth="1"/>
    <col min="2564" max="2564" width="14.33203125" style="404" bestFit="1" customWidth="1"/>
    <col min="2565" max="2566" width="13.33203125" style="404"/>
    <col min="2567" max="2567" width="13.44140625" style="404" bestFit="1" customWidth="1"/>
    <col min="2568" max="2568" width="13.33203125" style="404"/>
    <col min="2569" max="2569" width="13.44140625" style="404" bestFit="1" customWidth="1"/>
    <col min="2570" max="2570" width="13.33203125" style="404"/>
    <col min="2571" max="2573" width="13.44140625" style="404" bestFit="1" customWidth="1"/>
    <col min="2574" max="2574" width="13.33203125" style="404"/>
    <col min="2575" max="2575" width="13.44140625" style="404" bestFit="1" customWidth="1"/>
    <col min="2576" max="2576" width="13.33203125" style="404"/>
    <col min="2577" max="2577" width="14.109375" style="404" bestFit="1" customWidth="1"/>
    <col min="2578" max="2578" width="13.33203125" style="404"/>
    <col min="2579" max="2579" width="13.44140625" style="404" bestFit="1" customWidth="1"/>
    <col min="2580" max="2817" width="13.33203125" style="404"/>
    <col min="2818" max="2818" width="14.44140625" style="404" customWidth="1"/>
    <col min="2819" max="2819" width="13.44140625" style="404" bestFit="1" customWidth="1"/>
    <col min="2820" max="2820" width="14.33203125" style="404" bestFit="1" customWidth="1"/>
    <col min="2821" max="2822" width="13.33203125" style="404"/>
    <col min="2823" max="2823" width="13.44140625" style="404" bestFit="1" customWidth="1"/>
    <col min="2824" max="2824" width="13.33203125" style="404"/>
    <col min="2825" max="2825" width="13.44140625" style="404" bestFit="1" customWidth="1"/>
    <col min="2826" max="2826" width="13.33203125" style="404"/>
    <col min="2827" max="2829" width="13.44140625" style="404" bestFit="1" customWidth="1"/>
    <col min="2830" max="2830" width="13.33203125" style="404"/>
    <col min="2831" max="2831" width="13.44140625" style="404" bestFit="1" customWidth="1"/>
    <col min="2832" max="2832" width="13.33203125" style="404"/>
    <col min="2833" max="2833" width="14.109375" style="404" bestFit="1" customWidth="1"/>
    <col min="2834" max="2834" width="13.33203125" style="404"/>
    <col min="2835" max="2835" width="13.44140625" style="404" bestFit="1" customWidth="1"/>
    <col min="2836" max="3073" width="13.33203125" style="404"/>
    <col min="3074" max="3074" width="14.44140625" style="404" customWidth="1"/>
    <col min="3075" max="3075" width="13.44140625" style="404" bestFit="1" customWidth="1"/>
    <col min="3076" max="3076" width="14.33203125" style="404" bestFit="1" customWidth="1"/>
    <col min="3077" max="3078" width="13.33203125" style="404"/>
    <col min="3079" max="3079" width="13.44140625" style="404" bestFit="1" customWidth="1"/>
    <col min="3080" max="3080" width="13.33203125" style="404"/>
    <col min="3081" max="3081" width="13.44140625" style="404" bestFit="1" customWidth="1"/>
    <col min="3082" max="3082" width="13.33203125" style="404"/>
    <col min="3083" max="3085" width="13.44140625" style="404" bestFit="1" customWidth="1"/>
    <col min="3086" max="3086" width="13.33203125" style="404"/>
    <col min="3087" max="3087" width="13.44140625" style="404" bestFit="1" customWidth="1"/>
    <col min="3088" max="3088" width="13.33203125" style="404"/>
    <col min="3089" max="3089" width="14.109375" style="404" bestFit="1" customWidth="1"/>
    <col min="3090" max="3090" width="13.33203125" style="404"/>
    <col min="3091" max="3091" width="13.44140625" style="404" bestFit="1" customWidth="1"/>
    <col min="3092" max="3329" width="13.33203125" style="404"/>
    <col min="3330" max="3330" width="14.44140625" style="404" customWidth="1"/>
    <col min="3331" max="3331" width="13.44140625" style="404" bestFit="1" customWidth="1"/>
    <col min="3332" max="3332" width="14.33203125" style="404" bestFit="1" customWidth="1"/>
    <col min="3333" max="3334" width="13.33203125" style="404"/>
    <col min="3335" max="3335" width="13.44140625" style="404" bestFit="1" customWidth="1"/>
    <col min="3336" max="3336" width="13.33203125" style="404"/>
    <col min="3337" max="3337" width="13.44140625" style="404" bestFit="1" customWidth="1"/>
    <col min="3338" max="3338" width="13.33203125" style="404"/>
    <col min="3339" max="3341" width="13.44140625" style="404" bestFit="1" customWidth="1"/>
    <col min="3342" max="3342" width="13.33203125" style="404"/>
    <col min="3343" max="3343" width="13.44140625" style="404" bestFit="1" customWidth="1"/>
    <col min="3344" max="3344" width="13.33203125" style="404"/>
    <col min="3345" max="3345" width="14.109375" style="404" bestFit="1" customWidth="1"/>
    <col min="3346" max="3346" width="13.33203125" style="404"/>
    <col min="3347" max="3347" width="13.44140625" style="404" bestFit="1" customWidth="1"/>
    <col min="3348" max="3585" width="13.33203125" style="404"/>
    <col min="3586" max="3586" width="14.44140625" style="404" customWidth="1"/>
    <col min="3587" max="3587" width="13.44140625" style="404" bestFit="1" customWidth="1"/>
    <col min="3588" max="3588" width="14.33203125" style="404" bestFit="1" customWidth="1"/>
    <col min="3589" max="3590" width="13.33203125" style="404"/>
    <col min="3591" max="3591" width="13.44140625" style="404" bestFit="1" customWidth="1"/>
    <col min="3592" max="3592" width="13.33203125" style="404"/>
    <col min="3593" max="3593" width="13.44140625" style="404" bestFit="1" customWidth="1"/>
    <col min="3594" max="3594" width="13.33203125" style="404"/>
    <col min="3595" max="3597" width="13.44140625" style="404" bestFit="1" customWidth="1"/>
    <col min="3598" max="3598" width="13.33203125" style="404"/>
    <col min="3599" max="3599" width="13.44140625" style="404" bestFit="1" customWidth="1"/>
    <col min="3600" max="3600" width="13.33203125" style="404"/>
    <col min="3601" max="3601" width="14.109375" style="404" bestFit="1" customWidth="1"/>
    <col min="3602" max="3602" width="13.33203125" style="404"/>
    <col min="3603" max="3603" width="13.44140625" style="404" bestFit="1" customWidth="1"/>
    <col min="3604" max="3841" width="13.33203125" style="404"/>
    <col min="3842" max="3842" width="14.44140625" style="404" customWidth="1"/>
    <col min="3843" max="3843" width="13.44140625" style="404" bestFit="1" customWidth="1"/>
    <col min="3844" max="3844" width="14.33203125" style="404" bestFit="1" customWidth="1"/>
    <col min="3845" max="3846" width="13.33203125" style="404"/>
    <col min="3847" max="3847" width="13.44140625" style="404" bestFit="1" customWidth="1"/>
    <col min="3848" max="3848" width="13.33203125" style="404"/>
    <col min="3849" max="3849" width="13.44140625" style="404" bestFit="1" customWidth="1"/>
    <col min="3850" max="3850" width="13.33203125" style="404"/>
    <col min="3851" max="3853" width="13.44140625" style="404" bestFit="1" customWidth="1"/>
    <col min="3854" max="3854" width="13.33203125" style="404"/>
    <col min="3855" max="3855" width="13.44140625" style="404" bestFit="1" customWidth="1"/>
    <col min="3856" max="3856" width="13.33203125" style="404"/>
    <col min="3857" max="3857" width="14.109375" style="404" bestFit="1" customWidth="1"/>
    <col min="3858" max="3858" width="13.33203125" style="404"/>
    <col min="3859" max="3859" width="13.44140625" style="404" bestFit="1" customWidth="1"/>
    <col min="3860" max="4097" width="13.33203125" style="404"/>
    <col min="4098" max="4098" width="14.44140625" style="404" customWidth="1"/>
    <col min="4099" max="4099" width="13.44140625" style="404" bestFit="1" customWidth="1"/>
    <col min="4100" max="4100" width="14.33203125" style="404" bestFit="1" customWidth="1"/>
    <col min="4101" max="4102" width="13.33203125" style="404"/>
    <col min="4103" max="4103" width="13.44140625" style="404" bestFit="1" customWidth="1"/>
    <col min="4104" max="4104" width="13.33203125" style="404"/>
    <col min="4105" max="4105" width="13.44140625" style="404" bestFit="1" customWidth="1"/>
    <col min="4106" max="4106" width="13.33203125" style="404"/>
    <col min="4107" max="4109" width="13.44140625" style="404" bestFit="1" customWidth="1"/>
    <col min="4110" max="4110" width="13.33203125" style="404"/>
    <col min="4111" max="4111" width="13.44140625" style="404" bestFit="1" customWidth="1"/>
    <col min="4112" max="4112" width="13.33203125" style="404"/>
    <col min="4113" max="4113" width="14.109375" style="404" bestFit="1" customWidth="1"/>
    <col min="4114" max="4114" width="13.33203125" style="404"/>
    <col min="4115" max="4115" width="13.44140625" style="404" bestFit="1" customWidth="1"/>
    <col min="4116" max="4353" width="13.33203125" style="404"/>
    <col min="4354" max="4354" width="14.44140625" style="404" customWidth="1"/>
    <col min="4355" max="4355" width="13.44140625" style="404" bestFit="1" customWidth="1"/>
    <col min="4356" max="4356" width="14.33203125" style="404" bestFit="1" customWidth="1"/>
    <col min="4357" max="4358" width="13.33203125" style="404"/>
    <col min="4359" max="4359" width="13.44140625" style="404" bestFit="1" customWidth="1"/>
    <col min="4360" max="4360" width="13.33203125" style="404"/>
    <col min="4361" max="4361" width="13.44140625" style="404" bestFit="1" customWidth="1"/>
    <col min="4362" max="4362" width="13.33203125" style="404"/>
    <col min="4363" max="4365" width="13.44140625" style="404" bestFit="1" customWidth="1"/>
    <col min="4366" max="4366" width="13.33203125" style="404"/>
    <col min="4367" max="4367" width="13.44140625" style="404" bestFit="1" customWidth="1"/>
    <col min="4368" max="4368" width="13.33203125" style="404"/>
    <col min="4369" max="4369" width="14.109375" style="404" bestFit="1" customWidth="1"/>
    <col min="4370" max="4370" width="13.33203125" style="404"/>
    <col min="4371" max="4371" width="13.44140625" style="404" bestFit="1" customWidth="1"/>
    <col min="4372" max="4609" width="13.33203125" style="404"/>
    <col min="4610" max="4610" width="14.44140625" style="404" customWidth="1"/>
    <col min="4611" max="4611" width="13.44140625" style="404" bestFit="1" customWidth="1"/>
    <col min="4612" max="4612" width="14.33203125" style="404" bestFit="1" customWidth="1"/>
    <col min="4613" max="4614" width="13.33203125" style="404"/>
    <col min="4615" max="4615" width="13.44140625" style="404" bestFit="1" customWidth="1"/>
    <col min="4616" max="4616" width="13.33203125" style="404"/>
    <col min="4617" max="4617" width="13.44140625" style="404" bestFit="1" customWidth="1"/>
    <col min="4618" max="4618" width="13.33203125" style="404"/>
    <col min="4619" max="4621" width="13.44140625" style="404" bestFit="1" customWidth="1"/>
    <col min="4622" max="4622" width="13.33203125" style="404"/>
    <col min="4623" max="4623" width="13.44140625" style="404" bestFit="1" customWidth="1"/>
    <col min="4624" max="4624" width="13.33203125" style="404"/>
    <col min="4625" max="4625" width="14.109375" style="404" bestFit="1" customWidth="1"/>
    <col min="4626" max="4626" width="13.33203125" style="404"/>
    <col min="4627" max="4627" width="13.44140625" style="404" bestFit="1" customWidth="1"/>
    <col min="4628" max="4865" width="13.33203125" style="404"/>
    <col min="4866" max="4866" width="14.44140625" style="404" customWidth="1"/>
    <col min="4867" max="4867" width="13.44140625" style="404" bestFit="1" customWidth="1"/>
    <col min="4868" max="4868" width="14.33203125" style="404" bestFit="1" customWidth="1"/>
    <col min="4869" max="4870" width="13.33203125" style="404"/>
    <col min="4871" max="4871" width="13.44140625" style="404" bestFit="1" customWidth="1"/>
    <col min="4872" max="4872" width="13.33203125" style="404"/>
    <col min="4873" max="4873" width="13.44140625" style="404" bestFit="1" customWidth="1"/>
    <col min="4874" max="4874" width="13.33203125" style="404"/>
    <col min="4875" max="4877" width="13.44140625" style="404" bestFit="1" customWidth="1"/>
    <col min="4878" max="4878" width="13.33203125" style="404"/>
    <col min="4879" max="4879" width="13.44140625" style="404" bestFit="1" customWidth="1"/>
    <col min="4880" max="4880" width="13.33203125" style="404"/>
    <col min="4881" max="4881" width="14.109375" style="404" bestFit="1" customWidth="1"/>
    <col min="4882" max="4882" width="13.33203125" style="404"/>
    <col min="4883" max="4883" width="13.44140625" style="404" bestFit="1" customWidth="1"/>
    <col min="4884" max="5121" width="13.33203125" style="404"/>
    <col min="5122" max="5122" width="14.44140625" style="404" customWidth="1"/>
    <col min="5123" max="5123" width="13.44140625" style="404" bestFit="1" customWidth="1"/>
    <col min="5124" max="5124" width="14.33203125" style="404" bestFit="1" customWidth="1"/>
    <col min="5125" max="5126" width="13.33203125" style="404"/>
    <col min="5127" max="5127" width="13.44140625" style="404" bestFit="1" customWidth="1"/>
    <col min="5128" max="5128" width="13.33203125" style="404"/>
    <col min="5129" max="5129" width="13.44140625" style="404" bestFit="1" customWidth="1"/>
    <col min="5130" max="5130" width="13.33203125" style="404"/>
    <col min="5131" max="5133" width="13.44140625" style="404" bestFit="1" customWidth="1"/>
    <col min="5134" max="5134" width="13.33203125" style="404"/>
    <col min="5135" max="5135" width="13.44140625" style="404" bestFit="1" customWidth="1"/>
    <col min="5136" max="5136" width="13.33203125" style="404"/>
    <col min="5137" max="5137" width="14.109375" style="404" bestFit="1" customWidth="1"/>
    <col min="5138" max="5138" width="13.33203125" style="404"/>
    <col min="5139" max="5139" width="13.44140625" style="404" bestFit="1" customWidth="1"/>
    <col min="5140" max="5377" width="13.33203125" style="404"/>
    <col min="5378" max="5378" width="14.44140625" style="404" customWidth="1"/>
    <col min="5379" max="5379" width="13.44140625" style="404" bestFit="1" customWidth="1"/>
    <col min="5380" max="5380" width="14.33203125" style="404" bestFit="1" customWidth="1"/>
    <col min="5381" max="5382" width="13.33203125" style="404"/>
    <col min="5383" max="5383" width="13.44140625" style="404" bestFit="1" customWidth="1"/>
    <col min="5384" max="5384" width="13.33203125" style="404"/>
    <col min="5385" max="5385" width="13.44140625" style="404" bestFit="1" customWidth="1"/>
    <col min="5386" max="5386" width="13.33203125" style="404"/>
    <col min="5387" max="5389" width="13.44140625" style="404" bestFit="1" customWidth="1"/>
    <col min="5390" max="5390" width="13.33203125" style="404"/>
    <col min="5391" max="5391" width="13.44140625" style="404" bestFit="1" customWidth="1"/>
    <col min="5392" max="5392" width="13.33203125" style="404"/>
    <col min="5393" max="5393" width="14.109375" style="404" bestFit="1" customWidth="1"/>
    <col min="5394" max="5394" width="13.33203125" style="404"/>
    <col min="5395" max="5395" width="13.44140625" style="404" bestFit="1" customWidth="1"/>
    <col min="5396" max="5633" width="13.33203125" style="404"/>
    <col min="5634" max="5634" width="14.44140625" style="404" customWidth="1"/>
    <col min="5635" max="5635" width="13.44140625" style="404" bestFit="1" customWidth="1"/>
    <col min="5636" max="5636" width="14.33203125" style="404" bestFit="1" customWidth="1"/>
    <col min="5637" max="5638" width="13.33203125" style="404"/>
    <col min="5639" max="5639" width="13.44140625" style="404" bestFit="1" customWidth="1"/>
    <col min="5640" max="5640" width="13.33203125" style="404"/>
    <col min="5641" max="5641" width="13.44140625" style="404" bestFit="1" customWidth="1"/>
    <col min="5642" max="5642" width="13.33203125" style="404"/>
    <col min="5643" max="5645" width="13.44140625" style="404" bestFit="1" customWidth="1"/>
    <col min="5646" max="5646" width="13.33203125" style="404"/>
    <col min="5647" max="5647" width="13.44140625" style="404" bestFit="1" customWidth="1"/>
    <col min="5648" max="5648" width="13.33203125" style="404"/>
    <col min="5649" max="5649" width="14.109375" style="404" bestFit="1" customWidth="1"/>
    <col min="5650" max="5650" width="13.33203125" style="404"/>
    <col min="5651" max="5651" width="13.44140625" style="404" bestFit="1" customWidth="1"/>
    <col min="5652" max="5889" width="13.33203125" style="404"/>
    <col min="5890" max="5890" width="14.44140625" style="404" customWidth="1"/>
    <col min="5891" max="5891" width="13.44140625" style="404" bestFit="1" customWidth="1"/>
    <col min="5892" max="5892" width="14.33203125" style="404" bestFit="1" customWidth="1"/>
    <col min="5893" max="5894" width="13.33203125" style="404"/>
    <col min="5895" max="5895" width="13.44140625" style="404" bestFit="1" customWidth="1"/>
    <col min="5896" max="5896" width="13.33203125" style="404"/>
    <col min="5897" max="5897" width="13.44140625" style="404" bestFit="1" customWidth="1"/>
    <col min="5898" max="5898" width="13.33203125" style="404"/>
    <col min="5899" max="5901" width="13.44140625" style="404" bestFit="1" customWidth="1"/>
    <col min="5902" max="5902" width="13.33203125" style="404"/>
    <col min="5903" max="5903" width="13.44140625" style="404" bestFit="1" customWidth="1"/>
    <col min="5904" max="5904" width="13.33203125" style="404"/>
    <col min="5905" max="5905" width="14.109375" style="404" bestFit="1" customWidth="1"/>
    <col min="5906" max="5906" width="13.33203125" style="404"/>
    <col min="5907" max="5907" width="13.44140625" style="404" bestFit="1" customWidth="1"/>
    <col min="5908" max="6145" width="13.33203125" style="404"/>
    <col min="6146" max="6146" width="14.44140625" style="404" customWidth="1"/>
    <col min="6147" max="6147" width="13.44140625" style="404" bestFit="1" customWidth="1"/>
    <col min="6148" max="6148" width="14.33203125" style="404" bestFit="1" customWidth="1"/>
    <col min="6149" max="6150" width="13.33203125" style="404"/>
    <col min="6151" max="6151" width="13.44140625" style="404" bestFit="1" customWidth="1"/>
    <col min="6152" max="6152" width="13.33203125" style="404"/>
    <col min="6153" max="6153" width="13.44140625" style="404" bestFit="1" customWidth="1"/>
    <col min="6154" max="6154" width="13.33203125" style="404"/>
    <col min="6155" max="6157" width="13.44140625" style="404" bestFit="1" customWidth="1"/>
    <col min="6158" max="6158" width="13.33203125" style="404"/>
    <col min="6159" max="6159" width="13.44140625" style="404" bestFit="1" customWidth="1"/>
    <col min="6160" max="6160" width="13.33203125" style="404"/>
    <col min="6161" max="6161" width="14.109375" style="404" bestFit="1" customWidth="1"/>
    <col min="6162" max="6162" width="13.33203125" style="404"/>
    <col min="6163" max="6163" width="13.44140625" style="404" bestFit="1" customWidth="1"/>
    <col min="6164" max="6401" width="13.33203125" style="404"/>
    <col min="6402" max="6402" width="14.44140625" style="404" customWidth="1"/>
    <col min="6403" max="6403" width="13.44140625" style="404" bestFit="1" customWidth="1"/>
    <col min="6404" max="6404" width="14.33203125" style="404" bestFit="1" customWidth="1"/>
    <col min="6405" max="6406" width="13.33203125" style="404"/>
    <col min="6407" max="6407" width="13.44140625" style="404" bestFit="1" customWidth="1"/>
    <col min="6408" max="6408" width="13.33203125" style="404"/>
    <col min="6409" max="6409" width="13.44140625" style="404" bestFit="1" customWidth="1"/>
    <col min="6410" max="6410" width="13.33203125" style="404"/>
    <col min="6411" max="6413" width="13.44140625" style="404" bestFit="1" customWidth="1"/>
    <col min="6414" max="6414" width="13.33203125" style="404"/>
    <col min="6415" max="6415" width="13.44140625" style="404" bestFit="1" customWidth="1"/>
    <col min="6416" max="6416" width="13.33203125" style="404"/>
    <col min="6417" max="6417" width="14.109375" style="404" bestFit="1" customWidth="1"/>
    <col min="6418" max="6418" width="13.33203125" style="404"/>
    <col min="6419" max="6419" width="13.44140625" style="404" bestFit="1" customWidth="1"/>
    <col min="6420" max="6657" width="13.33203125" style="404"/>
    <col min="6658" max="6658" width="14.44140625" style="404" customWidth="1"/>
    <col min="6659" max="6659" width="13.44140625" style="404" bestFit="1" customWidth="1"/>
    <col min="6660" max="6660" width="14.33203125" style="404" bestFit="1" customWidth="1"/>
    <col min="6661" max="6662" width="13.33203125" style="404"/>
    <col min="6663" max="6663" width="13.44140625" style="404" bestFit="1" customWidth="1"/>
    <col min="6664" max="6664" width="13.33203125" style="404"/>
    <col min="6665" max="6665" width="13.44140625" style="404" bestFit="1" customWidth="1"/>
    <col min="6666" max="6666" width="13.33203125" style="404"/>
    <col min="6667" max="6669" width="13.44140625" style="404" bestFit="1" customWidth="1"/>
    <col min="6670" max="6670" width="13.33203125" style="404"/>
    <col min="6671" max="6671" width="13.44140625" style="404" bestFit="1" customWidth="1"/>
    <col min="6672" max="6672" width="13.33203125" style="404"/>
    <col min="6673" max="6673" width="14.109375" style="404" bestFit="1" customWidth="1"/>
    <col min="6674" max="6674" width="13.33203125" style="404"/>
    <col min="6675" max="6675" width="13.44140625" style="404" bestFit="1" customWidth="1"/>
    <col min="6676" max="6913" width="13.33203125" style="404"/>
    <col min="6914" max="6914" width="14.44140625" style="404" customWidth="1"/>
    <col min="6915" max="6915" width="13.44140625" style="404" bestFit="1" customWidth="1"/>
    <col min="6916" max="6916" width="14.33203125" style="404" bestFit="1" customWidth="1"/>
    <col min="6917" max="6918" width="13.33203125" style="404"/>
    <col min="6919" max="6919" width="13.44140625" style="404" bestFit="1" customWidth="1"/>
    <col min="6920" max="6920" width="13.33203125" style="404"/>
    <col min="6921" max="6921" width="13.44140625" style="404" bestFit="1" customWidth="1"/>
    <col min="6922" max="6922" width="13.33203125" style="404"/>
    <col min="6923" max="6925" width="13.44140625" style="404" bestFit="1" customWidth="1"/>
    <col min="6926" max="6926" width="13.33203125" style="404"/>
    <col min="6927" max="6927" width="13.44140625" style="404" bestFit="1" customWidth="1"/>
    <col min="6928" max="6928" width="13.33203125" style="404"/>
    <col min="6929" max="6929" width="14.109375" style="404" bestFit="1" customWidth="1"/>
    <col min="6930" max="6930" width="13.33203125" style="404"/>
    <col min="6931" max="6931" width="13.44140625" style="404" bestFit="1" customWidth="1"/>
    <col min="6932" max="7169" width="13.33203125" style="404"/>
    <col min="7170" max="7170" width="14.44140625" style="404" customWidth="1"/>
    <col min="7171" max="7171" width="13.44140625" style="404" bestFit="1" customWidth="1"/>
    <col min="7172" max="7172" width="14.33203125" style="404" bestFit="1" customWidth="1"/>
    <col min="7173" max="7174" width="13.33203125" style="404"/>
    <col min="7175" max="7175" width="13.44140625" style="404" bestFit="1" customWidth="1"/>
    <col min="7176" max="7176" width="13.33203125" style="404"/>
    <col min="7177" max="7177" width="13.44140625" style="404" bestFit="1" customWidth="1"/>
    <col min="7178" max="7178" width="13.33203125" style="404"/>
    <col min="7179" max="7181" width="13.44140625" style="404" bestFit="1" customWidth="1"/>
    <col min="7182" max="7182" width="13.33203125" style="404"/>
    <col min="7183" max="7183" width="13.44140625" style="404" bestFit="1" customWidth="1"/>
    <col min="7184" max="7184" width="13.33203125" style="404"/>
    <col min="7185" max="7185" width="14.109375" style="404" bestFit="1" customWidth="1"/>
    <col min="7186" max="7186" width="13.33203125" style="404"/>
    <col min="7187" max="7187" width="13.44140625" style="404" bestFit="1" customWidth="1"/>
    <col min="7188" max="7425" width="13.33203125" style="404"/>
    <col min="7426" max="7426" width="14.44140625" style="404" customWidth="1"/>
    <col min="7427" max="7427" width="13.44140625" style="404" bestFit="1" customWidth="1"/>
    <col min="7428" max="7428" width="14.33203125" style="404" bestFit="1" customWidth="1"/>
    <col min="7429" max="7430" width="13.33203125" style="404"/>
    <col min="7431" max="7431" width="13.44140625" style="404" bestFit="1" customWidth="1"/>
    <col min="7432" max="7432" width="13.33203125" style="404"/>
    <col min="7433" max="7433" width="13.44140625" style="404" bestFit="1" customWidth="1"/>
    <col min="7434" max="7434" width="13.33203125" style="404"/>
    <col min="7435" max="7437" width="13.44140625" style="404" bestFit="1" customWidth="1"/>
    <col min="7438" max="7438" width="13.33203125" style="404"/>
    <col min="7439" max="7439" width="13.44140625" style="404" bestFit="1" customWidth="1"/>
    <col min="7440" max="7440" width="13.33203125" style="404"/>
    <col min="7441" max="7441" width="14.109375" style="404" bestFit="1" customWidth="1"/>
    <col min="7442" max="7442" width="13.33203125" style="404"/>
    <col min="7443" max="7443" width="13.44140625" style="404" bestFit="1" customWidth="1"/>
    <col min="7444" max="7681" width="13.33203125" style="404"/>
    <col min="7682" max="7682" width="14.44140625" style="404" customWidth="1"/>
    <col min="7683" max="7683" width="13.44140625" style="404" bestFit="1" customWidth="1"/>
    <col min="7684" max="7684" width="14.33203125" style="404" bestFit="1" customWidth="1"/>
    <col min="7685" max="7686" width="13.33203125" style="404"/>
    <col min="7687" max="7687" width="13.44140625" style="404" bestFit="1" customWidth="1"/>
    <col min="7688" max="7688" width="13.33203125" style="404"/>
    <col min="7689" max="7689" width="13.44140625" style="404" bestFit="1" customWidth="1"/>
    <col min="7690" max="7690" width="13.33203125" style="404"/>
    <col min="7691" max="7693" width="13.44140625" style="404" bestFit="1" customWidth="1"/>
    <col min="7694" max="7694" width="13.33203125" style="404"/>
    <col min="7695" max="7695" width="13.44140625" style="404" bestFit="1" customWidth="1"/>
    <col min="7696" max="7696" width="13.33203125" style="404"/>
    <col min="7697" max="7697" width="14.109375" style="404" bestFit="1" customWidth="1"/>
    <col min="7698" max="7698" width="13.33203125" style="404"/>
    <col min="7699" max="7699" width="13.44140625" style="404" bestFit="1" customWidth="1"/>
    <col min="7700" max="7937" width="13.33203125" style="404"/>
    <col min="7938" max="7938" width="14.44140625" style="404" customWidth="1"/>
    <col min="7939" max="7939" width="13.44140625" style="404" bestFit="1" customWidth="1"/>
    <col min="7940" max="7940" width="14.33203125" style="404" bestFit="1" customWidth="1"/>
    <col min="7941" max="7942" width="13.33203125" style="404"/>
    <col min="7943" max="7943" width="13.44140625" style="404" bestFit="1" customWidth="1"/>
    <col min="7944" max="7944" width="13.33203125" style="404"/>
    <col min="7945" max="7945" width="13.44140625" style="404" bestFit="1" customWidth="1"/>
    <col min="7946" max="7946" width="13.33203125" style="404"/>
    <col min="7947" max="7949" width="13.44140625" style="404" bestFit="1" customWidth="1"/>
    <col min="7950" max="7950" width="13.33203125" style="404"/>
    <col min="7951" max="7951" width="13.44140625" style="404" bestFit="1" customWidth="1"/>
    <col min="7952" max="7952" width="13.33203125" style="404"/>
    <col min="7953" max="7953" width="14.109375" style="404" bestFit="1" customWidth="1"/>
    <col min="7954" max="7954" width="13.33203125" style="404"/>
    <col min="7955" max="7955" width="13.44140625" style="404" bestFit="1" customWidth="1"/>
    <col min="7956" max="8193" width="13.33203125" style="404"/>
    <col min="8194" max="8194" width="14.44140625" style="404" customWidth="1"/>
    <col min="8195" max="8195" width="13.44140625" style="404" bestFit="1" customWidth="1"/>
    <col min="8196" max="8196" width="14.33203125" style="404" bestFit="1" customWidth="1"/>
    <col min="8197" max="8198" width="13.33203125" style="404"/>
    <col min="8199" max="8199" width="13.44140625" style="404" bestFit="1" customWidth="1"/>
    <col min="8200" max="8200" width="13.33203125" style="404"/>
    <col min="8201" max="8201" width="13.44140625" style="404" bestFit="1" customWidth="1"/>
    <col min="8202" max="8202" width="13.33203125" style="404"/>
    <col min="8203" max="8205" width="13.44140625" style="404" bestFit="1" customWidth="1"/>
    <col min="8206" max="8206" width="13.33203125" style="404"/>
    <col min="8207" max="8207" width="13.44140625" style="404" bestFit="1" customWidth="1"/>
    <col min="8208" max="8208" width="13.33203125" style="404"/>
    <col min="8209" max="8209" width="14.109375" style="404" bestFit="1" customWidth="1"/>
    <col min="8210" max="8210" width="13.33203125" style="404"/>
    <col min="8211" max="8211" width="13.44140625" style="404" bestFit="1" customWidth="1"/>
    <col min="8212" max="8449" width="13.33203125" style="404"/>
    <col min="8450" max="8450" width="14.44140625" style="404" customWidth="1"/>
    <col min="8451" max="8451" width="13.44140625" style="404" bestFit="1" customWidth="1"/>
    <col min="8452" max="8452" width="14.33203125" style="404" bestFit="1" customWidth="1"/>
    <col min="8453" max="8454" width="13.33203125" style="404"/>
    <col min="8455" max="8455" width="13.44140625" style="404" bestFit="1" customWidth="1"/>
    <col min="8456" max="8456" width="13.33203125" style="404"/>
    <col min="8457" max="8457" width="13.44140625" style="404" bestFit="1" customWidth="1"/>
    <col min="8458" max="8458" width="13.33203125" style="404"/>
    <col min="8459" max="8461" width="13.44140625" style="404" bestFit="1" customWidth="1"/>
    <col min="8462" max="8462" width="13.33203125" style="404"/>
    <col min="8463" max="8463" width="13.44140625" style="404" bestFit="1" customWidth="1"/>
    <col min="8464" max="8464" width="13.33203125" style="404"/>
    <col min="8465" max="8465" width="14.109375" style="404" bestFit="1" customWidth="1"/>
    <col min="8466" max="8466" width="13.33203125" style="404"/>
    <col min="8467" max="8467" width="13.44140625" style="404" bestFit="1" customWidth="1"/>
    <col min="8468" max="8705" width="13.33203125" style="404"/>
    <col min="8706" max="8706" width="14.44140625" style="404" customWidth="1"/>
    <col min="8707" max="8707" width="13.44140625" style="404" bestFit="1" customWidth="1"/>
    <col min="8708" max="8708" width="14.33203125" style="404" bestFit="1" customWidth="1"/>
    <col min="8709" max="8710" width="13.33203125" style="404"/>
    <col min="8711" max="8711" width="13.44140625" style="404" bestFit="1" customWidth="1"/>
    <col min="8712" max="8712" width="13.33203125" style="404"/>
    <col min="8713" max="8713" width="13.44140625" style="404" bestFit="1" customWidth="1"/>
    <col min="8714" max="8714" width="13.33203125" style="404"/>
    <col min="8715" max="8717" width="13.44140625" style="404" bestFit="1" customWidth="1"/>
    <col min="8718" max="8718" width="13.33203125" style="404"/>
    <col min="8719" max="8719" width="13.44140625" style="404" bestFit="1" customWidth="1"/>
    <col min="8720" max="8720" width="13.33203125" style="404"/>
    <col min="8721" max="8721" width="14.109375" style="404" bestFit="1" customWidth="1"/>
    <col min="8722" max="8722" width="13.33203125" style="404"/>
    <col min="8723" max="8723" width="13.44140625" style="404" bestFit="1" customWidth="1"/>
    <col min="8724" max="8961" width="13.33203125" style="404"/>
    <col min="8962" max="8962" width="14.44140625" style="404" customWidth="1"/>
    <col min="8963" max="8963" width="13.44140625" style="404" bestFit="1" customWidth="1"/>
    <col min="8964" max="8964" width="14.33203125" style="404" bestFit="1" customWidth="1"/>
    <col min="8965" max="8966" width="13.33203125" style="404"/>
    <col min="8967" max="8967" width="13.44140625" style="404" bestFit="1" customWidth="1"/>
    <col min="8968" max="8968" width="13.33203125" style="404"/>
    <col min="8969" max="8969" width="13.44140625" style="404" bestFit="1" customWidth="1"/>
    <col min="8970" max="8970" width="13.33203125" style="404"/>
    <col min="8971" max="8973" width="13.44140625" style="404" bestFit="1" customWidth="1"/>
    <col min="8974" max="8974" width="13.33203125" style="404"/>
    <col min="8975" max="8975" width="13.44140625" style="404" bestFit="1" customWidth="1"/>
    <col min="8976" max="8976" width="13.33203125" style="404"/>
    <col min="8977" max="8977" width="14.109375" style="404" bestFit="1" customWidth="1"/>
    <col min="8978" max="8978" width="13.33203125" style="404"/>
    <col min="8979" max="8979" width="13.44140625" style="404" bestFit="1" customWidth="1"/>
    <col min="8980" max="9217" width="13.33203125" style="404"/>
    <col min="9218" max="9218" width="14.44140625" style="404" customWidth="1"/>
    <col min="9219" max="9219" width="13.44140625" style="404" bestFit="1" customWidth="1"/>
    <col min="9220" max="9220" width="14.33203125" style="404" bestFit="1" customWidth="1"/>
    <col min="9221" max="9222" width="13.33203125" style="404"/>
    <col min="9223" max="9223" width="13.44140625" style="404" bestFit="1" customWidth="1"/>
    <col min="9224" max="9224" width="13.33203125" style="404"/>
    <col min="9225" max="9225" width="13.44140625" style="404" bestFit="1" customWidth="1"/>
    <col min="9226" max="9226" width="13.33203125" style="404"/>
    <col min="9227" max="9229" width="13.44140625" style="404" bestFit="1" customWidth="1"/>
    <col min="9230" max="9230" width="13.33203125" style="404"/>
    <col min="9231" max="9231" width="13.44140625" style="404" bestFit="1" customWidth="1"/>
    <col min="9232" max="9232" width="13.33203125" style="404"/>
    <col min="9233" max="9233" width="14.109375" style="404" bestFit="1" customWidth="1"/>
    <col min="9234" max="9234" width="13.33203125" style="404"/>
    <col min="9235" max="9235" width="13.44140625" style="404" bestFit="1" customWidth="1"/>
    <col min="9236" max="9473" width="13.33203125" style="404"/>
    <col min="9474" max="9474" width="14.44140625" style="404" customWidth="1"/>
    <col min="9475" max="9475" width="13.44140625" style="404" bestFit="1" customWidth="1"/>
    <col min="9476" max="9476" width="14.33203125" style="404" bestFit="1" customWidth="1"/>
    <col min="9477" max="9478" width="13.33203125" style="404"/>
    <col min="9479" max="9479" width="13.44140625" style="404" bestFit="1" customWidth="1"/>
    <col min="9480" max="9480" width="13.33203125" style="404"/>
    <col min="9481" max="9481" width="13.44140625" style="404" bestFit="1" customWidth="1"/>
    <col min="9482" max="9482" width="13.33203125" style="404"/>
    <col min="9483" max="9485" width="13.44140625" style="404" bestFit="1" customWidth="1"/>
    <col min="9486" max="9486" width="13.33203125" style="404"/>
    <col min="9487" max="9487" width="13.44140625" style="404" bestFit="1" customWidth="1"/>
    <col min="9488" max="9488" width="13.33203125" style="404"/>
    <col min="9489" max="9489" width="14.109375" style="404" bestFit="1" customWidth="1"/>
    <col min="9490" max="9490" width="13.33203125" style="404"/>
    <col min="9491" max="9491" width="13.44140625" style="404" bestFit="1" customWidth="1"/>
    <col min="9492" max="9729" width="13.33203125" style="404"/>
    <col min="9730" max="9730" width="14.44140625" style="404" customWidth="1"/>
    <col min="9731" max="9731" width="13.44140625" style="404" bestFit="1" customWidth="1"/>
    <col min="9732" max="9732" width="14.33203125" style="404" bestFit="1" customWidth="1"/>
    <col min="9733" max="9734" width="13.33203125" style="404"/>
    <col min="9735" max="9735" width="13.44140625" style="404" bestFit="1" customWidth="1"/>
    <col min="9736" max="9736" width="13.33203125" style="404"/>
    <col min="9737" max="9737" width="13.44140625" style="404" bestFit="1" customWidth="1"/>
    <col min="9738" max="9738" width="13.33203125" style="404"/>
    <col min="9739" max="9741" width="13.44140625" style="404" bestFit="1" customWidth="1"/>
    <col min="9742" max="9742" width="13.33203125" style="404"/>
    <col min="9743" max="9743" width="13.44140625" style="404" bestFit="1" customWidth="1"/>
    <col min="9744" max="9744" width="13.33203125" style="404"/>
    <col min="9745" max="9745" width="14.109375" style="404" bestFit="1" customWidth="1"/>
    <col min="9746" max="9746" width="13.33203125" style="404"/>
    <col min="9747" max="9747" width="13.44140625" style="404" bestFit="1" customWidth="1"/>
    <col min="9748" max="9985" width="13.33203125" style="404"/>
    <col min="9986" max="9986" width="14.44140625" style="404" customWidth="1"/>
    <col min="9987" max="9987" width="13.44140625" style="404" bestFit="1" customWidth="1"/>
    <col min="9988" max="9988" width="14.33203125" style="404" bestFit="1" customWidth="1"/>
    <col min="9989" max="9990" width="13.33203125" style="404"/>
    <col min="9991" max="9991" width="13.44140625" style="404" bestFit="1" customWidth="1"/>
    <col min="9992" max="9992" width="13.33203125" style="404"/>
    <col min="9993" max="9993" width="13.44140625" style="404" bestFit="1" customWidth="1"/>
    <col min="9994" max="9994" width="13.33203125" style="404"/>
    <col min="9995" max="9997" width="13.44140625" style="404" bestFit="1" customWidth="1"/>
    <col min="9998" max="9998" width="13.33203125" style="404"/>
    <col min="9999" max="9999" width="13.44140625" style="404" bestFit="1" customWidth="1"/>
    <col min="10000" max="10000" width="13.33203125" style="404"/>
    <col min="10001" max="10001" width="14.109375" style="404" bestFit="1" customWidth="1"/>
    <col min="10002" max="10002" width="13.33203125" style="404"/>
    <col min="10003" max="10003" width="13.44140625" style="404" bestFit="1" customWidth="1"/>
    <col min="10004" max="10241" width="13.33203125" style="404"/>
    <col min="10242" max="10242" width="14.44140625" style="404" customWidth="1"/>
    <col min="10243" max="10243" width="13.44140625" style="404" bestFit="1" customWidth="1"/>
    <col min="10244" max="10244" width="14.33203125" style="404" bestFit="1" customWidth="1"/>
    <col min="10245" max="10246" width="13.33203125" style="404"/>
    <col min="10247" max="10247" width="13.44140625" style="404" bestFit="1" customWidth="1"/>
    <col min="10248" max="10248" width="13.33203125" style="404"/>
    <col min="10249" max="10249" width="13.44140625" style="404" bestFit="1" customWidth="1"/>
    <col min="10250" max="10250" width="13.33203125" style="404"/>
    <col min="10251" max="10253" width="13.44140625" style="404" bestFit="1" customWidth="1"/>
    <col min="10254" max="10254" width="13.33203125" style="404"/>
    <col min="10255" max="10255" width="13.44140625" style="404" bestFit="1" customWidth="1"/>
    <col min="10256" max="10256" width="13.33203125" style="404"/>
    <col min="10257" max="10257" width="14.109375" style="404" bestFit="1" customWidth="1"/>
    <col min="10258" max="10258" width="13.33203125" style="404"/>
    <col min="10259" max="10259" width="13.44140625" style="404" bestFit="1" customWidth="1"/>
    <col min="10260" max="10497" width="13.33203125" style="404"/>
    <col min="10498" max="10498" width="14.44140625" style="404" customWidth="1"/>
    <col min="10499" max="10499" width="13.44140625" style="404" bestFit="1" customWidth="1"/>
    <col min="10500" max="10500" width="14.33203125" style="404" bestFit="1" customWidth="1"/>
    <col min="10501" max="10502" width="13.33203125" style="404"/>
    <col min="10503" max="10503" width="13.44140625" style="404" bestFit="1" customWidth="1"/>
    <col min="10504" max="10504" width="13.33203125" style="404"/>
    <col min="10505" max="10505" width="13.44140625" style="404" bestFit="1" customWidth="1"/>
    <col min="10506" max="10506" width="13.33203125" style="404"/>
    <col min="10507" max="10509" width="13.44140625" style="404" bestFit="1" customWidth="1"/>
    <col min="10510" max="10510" width="13.33203125" style="404"/>
    <col min="10511" max="10511" width="13.44140625" style="404" bestFit="1" customWidth="1"/>
    <col min="10512" max="10512" width="13.33203125" style="404"/>
    <col min="10513" max="10513" width="14.109375" style="404" bestFit="1" customWidth="1"/>
    <col min="10514" max="10514" width="13.33203125" style="404"/>
    <col min="10515" max="10515" width="13.44140625" style="404" bestFit="1" customWidth="1"/>
    <col min="10516" max="10753" width="13.33203125" style="404"/>
    <col min="10754" max="10754" width="14.44140625" style="404" customWidth="1"/>
    <col min="10755" max="10755" width="13.44140625" style="404" bestFit="1" customWidth="1"/>
    <col min="10756" max="10756" width="14.33203125" style="404" bestFit="1" customWidth="1"/>
    <col min="10757" max="10758" width="13.33203125" style="404"/>
    <col min="10759" max="10759" width="13.44140625" style="404" bestFit="1" customWidth="1"/>
    <col min="10760" max="10760" width="13.33203125" style="404"/>
    <col min="10761" max="10761" width="13.44140625" style="404" bestFit="1" customWidth="1"/>
    <col min="10762" max="10762" width="13.33203125" style="404"/>
    <col min="10763" max="10765" width="13.44140625" style="404" bestFit="1" customWidth="1"/>
    <col min="10766" max="10766" width="13.33203125" style="404"/>
    <col min="10767" max="10767" width="13.44140625" style="404" bestFit="1" customWidth="1"/>
    <col min="10768" max="10768" width="13.33203125" style="404"/>
    <col min="10769" max="10769" width="14.109375" style="404" bestFit="1" customWidth="1"/>
    <col min="10770" max="10770" width="13.33203125" style="404"/>
    <col min="10771" max="10771" width="13.44140625" style="404" bestFit="1" customWidth="1"/>
    <col min="10772" max="11009" width="13.33203125" style="404"/>
    <col min="11010" max="11010" width="14.44140625" style="404" customWidth="1"/>
    <col min="11011" max="11011" width="13.44140625" style="404" bestFit="1" customWidth="1"/>
    <col min="11012" max="11012" width="14.33203125" style="404" bestFit="1" customWidth="1"/>
    <col min="11013" max="11014" width="13.33203125" style="404"/>
    <col min="11015" max="11015" width="13.44140625" style="404" bestFit="1" customWidth="1"/>
    <col min="11016" max="11016" width="13.33203125" style="404"/>
    <col min="11017" max="11017" width="13.44140625" style="404" bestFit="1" customWidth="1"/>
    <col min="11018" max="11018" width="13.33203125" style="404"/>
    <col min="11019" max="11021" width="13.44140625" style="404" bestFit="1" customWidth="1"/>
    <col min="11022" max="11022" width="13.33203125" style="404"/>
    <col min="11023" max="11023" width="13.44140625" style="404" bestFit="1" customWidth="1"/>
    <col min="11024" max="11024" width="13.33203125" style="404"/>
    <col min="11025" max="11025" width="14.109375" style="404" bestFit="1" customWidth="1"/>
    <col min="11026" max="11026" width="13.33203125" style="404"/>
    <col min="11027" max="11027" width="13.44140625" style="404" bestFit="1" customWidth="1"/>
    <col min="11028" max="11265" width="13.33203125" style="404"/>
    <col min="11266" max="11266" width="14.44140625" style="404" customWidth="1"/>
    <col min="11267" max="11267" width="13.44140625" style="404" bestFit="1" customWidth="1"/>
    <col min="11268" max="11268" width="14.33203125" style="404" bestFit="1" customWidth="1"/>
    <col min="11269" max="11270" width="13.33203125" style="404"/>
    <col min="11271" max="11271" width="13.44140625" style="404" bestFit="1" customWidth="1"/>
    <col min="11272" max="11272" width="13.33203125" style="404"/>
    <col min="11273" max="11273" width="13.44140625" style="404" bestFit="1" customWidth="1"/>
    <col min="11274" max="11274" width="13.33203125" style="404"/>
    <col min="11275" max="11277" width="13.44140625" style="404" bestFit="1" customWidth="1"/>
    <col min="11278" max="11278" width="13.33203125" style="404"/>
    <col min="11279" max="11279" width="13.44140625" style="404" bestFit="1" customWidth="1"/>
    <col min="11280" max="11280" width="13.33203125" style="404"/>
    <col min="11281" max="11281" width="14.109375" style="404" bestFit="1" customWidth="1"/>
    <col min="11282" max="11282" width="13.33203125" style="404"/>
    <col min="11283" max="11283" width="13.44140625" style="404" bestFit="1" customWidth="1"/>
    <col min="11284" max="11521" width="13.33203125" style="404"/>
    <col min="11522" max="11522" width="14.44140625" style="404" customWidth="1"/>
    <col min="11523" max="11523" width="13.44140625" style="404" bestFit="1" customWidth="1"/>
    <col min="11524" max="11524" width="14.33203125" style="404" bestFit="1" customWidth="1"/>
    <col min="11525" max="11526" width="13.33203125" style="404"/>
    <col min="11527" max="11527" width="13.44140625" style="404" bestFit="1" customWidth="1"/>
    <col min="11528" max="11528" width="13.33203125" style="404"/>
    <col min="11529" max="11529" width="13.44140625" style="404" bestFit="1" customWidth="1"/>
    <col min="11530" max="11530" width="13.33203125" style="404"/>
    <col min="11531" max="11533" width="13.44140625" style="404" bestFit="1" customWidth="1"/>
    <col min="11534" max="11534" width="13.33203125" style="404"/>
    <col min="11535" max="11535" width="13.44140625" style="404" bestFit="1" customWidth="1"/>
    <col min="11536" max="11536" width="13.33203125" style="404"/>
    <col min="11537" max="11537" width="14.109375" style="404" bestFit="1" customWidth="1"/>
    <col min="11538" max="11538" width="13.33203125" style="404"/>
    <col min="11539" max="11539" width="13.44140625" style="404" bestFit="1" customWidth="1"/>
    <col min="11540" max="11777" width="13.33203125" style="404"/>
    <col min="11778" max="11778" width="14.44140625" style="404" customWidth="1"/>
    <col min="11779" max="11779" width="13.44140625" style="404" bestFit="1" customWidth="1"/>
    <col min="11780" max="11780" width="14.33203125" style="404" bestFit="1" customWidth="1"/>
    <col min="11781" max="11782" width="13.33203125" style="404"/>
    <col min="11783" max="11783" width="13.44140625" style="404" bestFit="1" customWidth="1"/>
    <col min="11784" max="11784" width="13.33203125" style="404"/>
    <col min="11785" max="11785" width="13.44140625" style="404" bestFit="1" customWidth="1"/>
    <col min="11786" max="11786" width="13.33203125" style="404"/>
    <col min="11787" max="11789" width="13.44140625" style="404" bestFit="1" customWidth="1"/>
    <col min="11790" max="11790" width="13.33203125" style="404"/>
    <col min="11791" max="11791" width="13.44140625" style="404" bestFit="1" customWidth="1"/>
    <col min="11792" max="11792" width="13.33203125" style="404"/>
    <col min="11793" max="11793" width="14.109375" style="404" bestFit="1" customWidth="1"/>
    <col min="11794" max="11794" width="13.33203125" style="404"/>
    <col min="11795" max="11795" width="13.44140625" style="404" bestFit="1" customWidth="1"/>
    <col min="11796" max="12033" width="13.33203125" style="404"/>
    <col min="12034" max="12034" width="14.44140625" style="404" customWidth="1"/>
    <col min="12035" max="12035" width="13.44140625" style="404" bestFit="1" customWidth="1"/>
    <col min="12036" max="12036" width="14.33203125" style="404" bestFit="1" customWidth="1"/>
    <col min="12037" max="12038" width="13.33203125" style="404"/>
    <col min="12039" max="12039" width="13.44140625" style="404" bestFit="1" customWidth="1"/>
    <col min="12040" max="12040" width="13.33203125" style="404"/>
    <col min="12041" max="12041" width="13.44140625" style="404" bestFit="1" customWidth="1"/>
    <col min="12042" max="12042" width="13.33203125" style="404"/>
    <col min="12043" max="12045" width="13.44140625" style="404" bestFit="1" customWidth="1"/>
    <col min="12046" max="12046" width="13.33203125" style="404"/>
    <col min="12047" max="12047" width="13.44140625" style="404" bestFit="1" customWidth="1"/>
    <col min="12048" max="12048" width="13.33203125" style="404"/>
    <col min="12049" max="12049" width="14.109375" style="404" bestFit="1" customWidth="1"/>
    <col min="12050" max="12050" width="13.33203125" style="404"/>
    <col min="12051" max="12051" width="13.44140625" style="404" bestFit="1" customWidth="1"/>
    <col min="12052" max="12289" width="13.33203125" style="404"/>
    <col min="12290" max="12290" width="14.44140625" style="404" customWidth="1"/>
    <col min="12291" max="12291" width="13.44140625" style="404" bestFit="1" customWidth="1"/>
    <col min="12292" max="12292" width="14.33203125" style="404" bestFit="1" customWidth="1"/>
    <col min="12293" max="12294" width="13.33203125" style="404"/>
    <col min="12295" max="12295" width="13.44140625" style="404" bestFit="1" customWidth="1"/>
    <col min="12296" max="12296" width="13.33203125" style="404"/>
    <col min="12297" max="12297" width="13.44140625" style="404" bestFit="1" customWidth="1"/>
    <col min="12298" max="12298" width="13.33203125" style="404"/>
    <col min="12299" max="12301" width="13.44140625" style="404" bestFit="1" customWidth="1"/>
    <col min="12302" max="12302" width="13.33203125" style="404"/>
    <col min="12303" max="12303" width="13.44140625" style="404" bestFit="1" customWidth="1"/>
    <col min="12304" max="12304" width="13.33203125" style="404"/>
    <col min="12305" max="12305" width="14.109375" style="404" bestFit="1" customWidth="1"/>
    <col min="12306" max="12306" width="13.33203125" style="404"/>
    <col min="12307" max="12307" width="13.44140625" style="404" bestFit="1" customWidth="1"/>
    <col min="12308" max="12545" width="13.33203125" style="404"/>
    <col min="12546" max="12546" width="14.44140625" style="404" customWidth="1"/>
    <col min="12547" max="12547" width="13.44140625" style="404" bestFit="1" customWidth="1"/>
    <col min="12548" max="12548" width="14.33203125" style="404" bestFit="1" customWidth="1"/>
    <col min="12549" max="12550" width="13.33203125" style="404"/>
    <col min="12551" max="12551" width="13.44140625" style="404" bestFit="1" customWidth="1"/>
    <col min="12552" max="12552" width="13.33203125" style="404"/>
    <col min="12553" max="12553" width="13.44140625" style="404" bestFit="1" customWidth="1"/>
    <col min="12554" max="12554" width="13.33203125" style="404"/>
    <col min="12555" max="12557" width="13.44140625" style="404" bestFit="1" customWidth="1"/>
    <col min="12558" max="12558" width="13.33203125" style="404"/>
    <col min="12559" max="12559" width="13.44140625" style="404" bestFit="1" customWidth="1"/>
    <col min="12560" max="12560" width="13.33203125" style="404"/>
    <col min="12561" max="12561" width="14.109375" style="404" bestFit="1" customWidth="1"/>
    <col min="12562" max="12562" width="13.33203125" style="404"/>
    <col min="12563" max="12563" width="13.44140625" style="404" bestFit="1" customWidth="1"/>
    <col min="12564" max="12801" width="13.33203125" style="404"/>
    <col min="12802" max="12802" width="14.44140625" style="404" customWidth="1"/>
    <col min="12803" max="12803" width="13.44140625" style="404" bestFit="1" customWidth="1"/>
    <col min="12804" max="12804" width="14.33203125" style="404" bestFit="1" customWidth="1"/>
    <col min="12805" max="12806" width="13.33203125" style="404"/>
    <col min="12807" max="12807" width="13.44140625" style="404" bestFit="1" customWidth="1"/>
    <col min="12808" max="12808" width="13.33203125" style="404"/>
    <col min="12809" max="12809" width="13.44140625" style="404" bestFit="1" customWidth="1"/>
    <col min="12810" max="12810" width="13.33203125" style="404"/>
    <col min="12811" max="12813" width="13.44140625" style="404" bestFit="1" customWidth="1"/>
    <col min="12814" max="12814" width="13.33203125" style="404"/>
    <col min="12815" max="12815" width="13.44140625" style="404" bestFit="1" customWidth="1"/>
    <col min="12816" max="12816" width="13.33203125" style="404"/>
    <col min="12817" max="12817" width="14.109375" style="404" bestFit="1" customWidth="1"/>
    <col min="12818" max="12818" width="13.33203125" style="404"/>
    <col min="12819" max="12819" width="13.44140625" style="404" bestFit="1" customWidth="1"/>
    <col min="12820" max="13057" width="13.33203125" style="404"/>
    <col min="13058" max="13058" width="14.44140625" style="404" customWidth="1"/>
    <col min="13059" max="13059" width="13.44140625" style="404" bestFit="1" customWidth="1"/>
    <col min="13060" max="13060" width="14.33203125" style="404" bestFit="1" customWidth="1"/>
    <col min="13061" max="13062" width="13.33203125" style="404"/>
    <col min="13063" max="13063" width="13.44140625" style="404" bestFit="1" customWidth="1"/>
    <col min="13064" max="13064" width="13.33203125" style="404"/>
    <col min="13065" max="13065" width="13.44140625" style="404" bestFit="1" customWidth="1"/>
    <col min="13066" max="13066" width="13.33203125" style="404"/>
    <col min="13067" max="13069" width="13.44140625" style="404" bestFit="1" customWidth="1"/>
    <col min="13070" max="13070" width="13.33203125" style="404"/>
    <col min="13071" max="13071" width="13.44140625" style="404" bestFit="1" customWidth="1"/>
    <col min="13072" max="13072" width="13.33203125" style="404"/>
    <col min="13073" max="13073" width="14.109375" style="404" bestFit="1" customWidth="1"/>
    <col min="13074" max="13074" width="13.33203125" style="404"/>
    <col min="13075" max="13075" width="13.44140625" style="404" bestFit="1" customWidth="1"/>
    <col min="13076" max="13313" width="13.33203125" style="404"/>
    <col min="13314" max="13314" width="14.44140625" style="404" customWidth="1"/>
    <col min="13315" max="13315" width="13.44140625" style="404" bestFit="1" customWidth="1"/>
    <col min="13316" max="13316" width="14.33203125" style="404" bestFit="1" customWidth="1"/>
    <col min="13317" max="13318" width="13.33203125" style="404"/>
    <col min="13319" max="13319" width="13.44140625" style="404" bestFit="1" customWidth="1"/>
    <col min="13320" max="13320" width="13.33203125" style="404"/>
    <col min="13321" max="13321" width="13.44140625" style="404" bestFit="1" customWidth="1"/>
    <col min="13322" max="13322" width="13.33203125" style="404"/>
    <col min="13323" max="13325" width="13.44140625" style="404" bestFit="1" customWidth="1"/>
    <col min="13326" max="13326" width="13.33203125" style="404"/>
    <col min="13327" max="13327" width="13.44140625" style="404" bestFit="1" customWidth="1"/>
    <col min="13328" max="13328" width="13.33203125" style="404"/>
    <col min="13329" max="13329" width="14.109375" style="404" bestFit="1" customWidth="1"/>
    <col min="13330" max="13330" width="13.33203125" style="404"/>
    <col min="13331" max="13331" width="13.44140625" style="404" bestFit="1" customWidth="1"/>
    <col min="13332" max="13569" width="13.33203125" style="404"/>
    <col min="13570" max="13570" width="14.44140625" style="404" customWidth="1"/>
    <col min="13571" max="13571" width="13.44140625" style="404" bestFit="1" customWidth="1"/>
    <col min="13572" max="13572" width="14.33203125" style="404" bestFit="1" customWidth="1"/>
    <col min="13573" max="13574" width="13.33203125" style="404"/>
    <col min="13575" max="13575" width="13.44140625" style="404" bestFit="1" customWidth="1"/>
    <col min="13576" max="13576" width="13.33203125" style="404"/>
    <col min="13577" max="13577" width="13.44140625" style="404" bestFit="1" customWidth="1"/>
    <col min="13578" max="13578" width="13.33203125" style="404"/>
    <col min="13579" max="13581" width="13.44140625" style="404" bestFit="1" customWidth="1"/>
    <col min="13582" max="13582" width="13.33203125" style="404"/>
    <col min="13583" max="13583" width="13.44140625" style="404" bestFit="1" customWidth="1"/>
    <col min="13584" max="13584" width="13.33203125" style="404"/>
    <col min="13585" max="13585" width="14.109375" style="404" bestFit="1" customWidth="1"/>
    <col min="13586" max="13586" width="13.33203125" style="404"/>
    <col min="13587" max="13587" width="13.44140625" style="404" bestFit="1" customWidth="1"/>
    <col min="13588" max="13825" width="13.33203125" style="404"/>
    <col min="13826" max="13826" width="14.44140625" style="404" customWidth="1"/>
    <col min="13827" max="13827" width="13.44140625" style="404" bestFit="1" customWidth="1"/>
    <col min="13828" max="13828" width="14.33203125" style="404" bestFit="1" customWidth="1"/>
    <col min="13829" max="13830" width="13.33203125" style="404"/>
    <col min="13831" max="13831" width="13.44140625" style="404" bestFit="1" customWidth="1"/>
    <col min="13832" max="13832" width="13.33203125" style="404"/>
    <col min="13833" max="13833" width="13.44140625" style="404" bestFit="1" customWidth="1"/>
    <col min="13834" max="13834" width="13.33203125" style="404"/>
    <col min="13835" max="13837" width="13.44140625" style="404" bestFit="1" customWidth="1"/>
    <col min="13838" max="13838" width="13.33203125" style="404"/>
    <col min="13839" max="13839" width="13.44140625" style="404" bestFit="1" customWidth="1"/>
    <col min="13840" max="13840" width="13.33203125" style="404"/>
    <col min="13841" max="13841" width="14.109375" style="404" bestFit="1" customWidth="1"/>
    <col min="13842" max="13842" width="13.33203125" style="404"/>
    <col min="13843" max="13843" width="13.44140625" style="404" bestFit="1" customWidth="1"/>
    <col min="13844" max="14081" width="13.33203125" style="404"/>
    <col min="14082" max="14082" width="14.44140625" style="404" customWidth="1"/>
    <col min="14083" max="14083" width="13.44140625" style="404" bestFit="1" customWidth="1"/>
    <col min="14084" max="14084" width="14.33203125" style="404" bestFit="1" customWidth="1"/>
    <col min="14085" max="14086" width="13.33203125" style="404"/>
    <col min="14087" max="14087" width="13.44140625" style="404" bestFit="1" customWidth="1"/>
    <col min="14088" max="14088" width="13.33203125" style="404"/>
    <col min="14089" max="14089" width="13.44140625" style="404" bestFit="1" customWidth="1"/>
    <col min="14090" max="14090" width="13.33203125" style="404"/>
    <col min="14091" max="14093" width="13.44140625" style="404" bestFit="1" customWidth="1"/>
    <col min="14094" max="14094" width="13.33203125" style="404"/>
    <col min="14095" max="14095" width="13.44140625" style="404" bestFit="1" customWidth="1"/>
    <col min="14096" max="14096" width="13.33203125" style="404"/>
    <col min="14097" max="14097" width="14.109375" style="404" bestFit="1" customWidth="1"/>
    <col min="14098" max="14098" width="13.33203125" style="404"/>
    <col min="14099" max="14099" width="13.44140625" style="404" bestFit="1" customWidth="1"/>
    <col min="14100" max="14337" width="13.33203125" style="404"/>
    <col min="14338" max="14338" width="14.44140625" style="404" customWidth="1"/>
    <col min="14339" max="14339" width="13.44140625" style="404" bestFit="1" customWidth="1"/>
    <col min="14340" max="14340" width="14.33203125" style="404" bestFit="1" customWidth="1"/>
    <col min="14341" max="14342" width="13.33203125" style="404"/>
    <col min="14343" max="14343" width="13.44140625" style="404" bestFit="1" customWidth="1"/>
    <col min="14344" max="14344" width="13.33203125" style="404"/>
    <col min="14345" max="14345" width="13.44140625" style="404" bestFit="1" customWidth="1"/>
    <col min="14346" max="14346" width="13.33203125" style="404"/>
    <col min="14347" max="14349" width="13.44140625" style="404" bestFit="1" customWidth="1"/>
    <col min="14350" max="14350" width="13.33203125" style="404"/>
    <col min="14351" max="14351" width="13.44140625" style="404" bestFit="1" customWidth="1"/>
    <col min="14352" max="14352" width="13.33203125" style="404"/>
    <col min="14353" max="14353" width="14.109375" style="404" bestFit="1" customWidth="1"/>
    <col min="14354" max="14354" width="13.33203125" style="404"/>
    <col min="14355" max="14355" width="13.44140625" style="404" bestFit="1" customWidth="1"/>
    <col min="14356" max="14593" width="13.33203125" style="404"/>
    <col min="14594" max="14594" width="14.44140625" style="404" customWidth="1"/>
    <col min="14595" max="14595" width="13.44140625" style="404" bestFit="1" customWidth="1"/>
    <col min="14596" max="14596" width="14.33203125" style="404" bestFit="1" customWidth="1"/>
    <col min="14597" max="14598" width="13.33203125" style="404"/>
    <col min="14599" max="14599" width="13.44140625" style="404" bestFit="1" customWidth="1"/>
    <col min="14600" max="14600" width="13.33203125" style="404"/>
    <col min="14601" max="14601" width="13.44140625" style="404" bestFit="1" customWidth="1"/>
    <col min="14602" max="14602" width="13.33203125" style="404"/>
    <col min="14603" max="14605" width="13.44140625" style="404" bestFit="1" customWidth="1"/>
    <col min="14606" max="14606" width="13.33203125" style="404"/>
    <col min="14607" max="14607" width="13.44140625" style="404" bestFit="1" customWidth="1"/>
    <col min="14608" max="14608" width="13.33203125" style="404"/>
    <col min="14609" max="14609" width="14.109375" style="404" bestFit="1" customWidth="1"/>
    <col min="14610" max="14610" width="13.33203125" style="404"/>
    <col min="14611" max="14611" width="13.44140625" style="404" bestFit="1" customWidth="1"/>
    <col min="14612" max="14849" width="13.33203125" style="404"/>
    <col min="14850" max="14850" width="14.44140625" style="404" customWidth="1"/>
    <col min="14851" max="14851" width="13.44140625" style="404" bestFit="1" customWidth="1"/>
    <col min="14852" max="14852" width="14.33203125" style="404" bestFit="1" customWidth="1"/>
    <col min="14853" max="14854" width="13.33203125" style="404"/>
    <col min="14855" max="14855" width="13.44140625" style="404" bestFit="1" customWidth="1"/>
    <col min="14856" max="14856" width="13.33203125" style="404"/>
    <col min="14857" max="14857" width="13.44140625" style="404" bestFit="1" customWidth="1"/>
    <col min="14858" max="14858" width="13.33203125" style="404"/>
    <col min="14859" max="14861" width="13.44140625" style="404" bestFit="1" customWidth="1"/>
    <col min="14862" max="14862" width="13.33203125" style="404"/>
    <col min="14863" max="14863" width="13.44140625" style="404" bestFit="1" customWidth="1"/>
    <col min="14864" max="14864" width="13.33203125" style="404"/>
    <col min="14865" max="14865" width="14.109375" style="404" bestFit="1" customWidth="1"/>
    <col min="14866" max="14866" width="13.33203125" style="404"/>
    <col min="14867" max="14867" width="13.44140625" style="404" bestFit="1" customWidth="1"/>
    <col min="14868" max="15105" width="13.33203125" style="404"/>
    <col min="15106" max="15106" width="14.44140625" style="404" customWidth="1"/>
    <col min="15107" max="15107" width="13.44140625" style="404" bestFit="1" customWidth="1"/>
    <col min="15108" max="15108" width="14.33203125" style="404" bestFit="1" customWidth="1"/>
    <col min="15109" max="15110" width="13.33203125" style="404"/>
    <col min="15111" max="15111" width="13.44140625" style="404" bestFit="1" customWidth="1"/>
    <col min="15112" max="15112" width="13.33203125" style="404"/>
    <col min="15113" max="15113" width="13.44140625" style="404" bestFit="1" customWidth="1"/>
    <col min="15114" max="15114" width="13.33203125" style="404"/>
    <col min="15115" max="15117" width="13.44140625" style="404" bestFit="1" customWidth="1"/>
    <col min="15118" max="15118" width="13.33203125" style="404"/>
    <col min="15119" max="15119" width="13.44140625" style="404" bestFit="1" customWidth="1"/>
    <col min="15120" max="15120" width="13.33203125" style="404"/>
    <col min="15121" max="15121" width="14.109375" style="404" bestFit="1" customWidth="1"/>
    <col min="15122" max="15122" width="13.33203125" style="404"/>
    <col min="15123" max="15123" width="13.44140625" style="404" bestFit="1" customWidth="1"/>
    <col min="15124" max="15361" width="13.33203125" style="404"/>
    <col min="15362" max="15362" width="14.44140625" style="404" customWidth="1"/>
    <col min="15363" max="15363" width="13.44140625" style="404" bestFit="1" customWidth="1"/>
    <col min="15364" max="15364" width="14.33203125" style="404" bestFit="1" customWidth="1"/>
    <col min="15365" max="15366" width="13.33203125" style="404"/>
    <col min="15367" max="15367" width="13.44140625" style="404" bestFit="1" customWidth="1"/>
    <col min="15368" max="15368" width="13.33203125" style="404"/>
    <col min="15369" max="15369" width="13.44140625" style="404" bestFit="1" customWidth="1"/>
    <col min="15370" max="15370" width="13.33203125" style="404"/>
    <col min="15371" max="15373" width="13.44140625" style="404" bestFit="1" customWidth="1"/>
    <col min="15374" max="15374" width="13.33203125" style="404"/>
    <col min="15375" max="15375" width="13.44140625" style="404" bestFit="1" customWidth="1"/>
    <col min="15376" max="15376" width="13.33203125" style="404"/>
    <col min="15377" max="15377" width="14.109375" style="404" bestFit="1" customWidth="1"/>
    <col min="15378" max="15378" width="13.33203125" style="404"/>
    <col min="15379" max="15379" width="13.44140625" style="404" bestFit="1" customWidth="1"/>
    <col min="15380" max="15617" width="13.33203125" style="404"/>
    <col min="15618" max="15618" width="14.44140625" style="404" customWidth="1"/>
    <col min="15619" max="15619" width="13.44140625" style="404" bestFit="1" customWidth="1"/>
    <col min="15620" max="15620" width="14.33203125" style="404" bestFit="1" customWidth="1"/>
    <col min="15621" max="15622" width="13.33203125" style="404"/>
    <col min="15623" max="15623" width="13.44140625" style="404" bestFit="1" customWidth="1"/>
    <col min="15624" max="15624" width="13.33203125" style="404"/>
    <col min="15625" max="15625" width="13.44140625" style="404" bestFit="1" customWidth="1"/>
    <col min="15626" max="15626" width="13.33203125" style="404"/>
    <col min="15627" max="15629" width="13.44140625" style="404" bestFit="1" customWidth="1"/>
    <col min="15630" max="15630" width="13.33203125" style="404"/>
    <col min="15631" max="15631" width="13.44140625" style="404" bestFit="1" customWidth="1"/>
    <col min="15632" max="15632" width="13.33203125" style="404"/>
    <col min="15633" max="15633" width="14.109375" style="404" bestFit="1" customWidth="1"/>
    <col min="15634" max="15634" width="13.33203125" style="404"/>
    <col min="15635" max="15635" width="13.44140625" style="404" bestFit="1" customWidth="1"/>
    <col min="15636" max="15873" width="13.33203125" style="404"/>
    <col min="15874" max="15874" width="14.44140625" style="404" customWidth="1"/>
    <col min="15875" max="15875" width="13.44140625" style="404" bestFit="1" customWidth="1"/>
    <col min="15876" max="15876" width="14.33203125" style="404" bestFit="1" customWidth="1"/>
    <col min="15877" max="15878" width="13.33203125" style="404"/>
    <col min="15879" max="15879" width="13.44140625" style="404" bestFit="1" customWidth="1"/>
    <col min="15880" max="15880" width="13.33203125" style="404"/>
    <col min="15881" max="15881" width="13.44140625" style="404" bestFit="1" customWidth="1"/>
    <col min="15882" max="15882" width="13.33203125" style="404"/>
    <col min="15883" max="15885" width="13.44140625" style="404" bestFit="1" customWidth="1"/>
    <col min="15886" max="15886" width="13.33203125" style="404"/>
    <col min="15887" max="15887" width="13.44140625" style="404" bestFit="1" customWidth="1"/>
    <col min="15888" max="15888" width="13.33203125" style="404"/>
    <col min="15889" max="15889" width="14.109375" style="404" bestFit="1" customWidth="1"/>
    <col min="15890" max="15890" width="13.33203125" style="404"/>
    <col min="15891" max="15891" width="13.44140625" style="404" bestFit="1" customWidth="1"/>
    <col min="15892" max="16129" width="13.33203125" style="404"/>
    <col min="16130" max="16130" width="14.44140625" style="404" customWidth="1"/>
    <col min="16131" max="16131" width="13.44140625" style="404" bestFit="1" customWidth="1"/>
    <col min="16132" max="16132" width="14.33203125" style="404" bestFit="1" customWidth="1"/>
    <col min="16133" max="16134" width="13.33203125" style="404"/>
    <col min="16135" max="16135" width="13.44140625" style="404" bestFit="1" customWidth="1"/>
    <col min="16136" max="16136" width="13.33203125" style="404"/>
    <col min="16137" max="16137" width="13.44140625" style="404" bestFit="1" customWidth="1"/>
    <col min="16138" max="16138" width="13.33203125" style="404"/>
    <col min="16139" max="16141" width="13.44140625" style="404" bestFit="1" customWidth="1"/>
    <col min="16142" max="16142" width="13.33203125" style="404"/>
    <col min="16143" max="16143" width="13.44140625" style="404" bestFit="1" customWidth="1"/>
    <col min="16144" max="16144" width="13.33203125" style="404"/>
    <col min="16145" max="16145" width="14.109375" style="404" bestFit="1" customWidth="1"/>
    <col min="16146" max="16146" width="13.33203125" style="404"/>
    <col min="16147" max="16147" width="13.44140625" style="404" bestFit="1" customWidth="1"/>
    <col min="16148" max="16384" width="13.33203125" style="404"/>
  </cols>
  <sheetData>
    <row r="1" spans="1:47" ht="15.75">
      <c r="B1" s="255"/>
      <c r="AA1" s="3" t="str">
        <f>'Attachment H-11A '!K1&amp;""&amp;", Attachment 10"</f>
        <v>Attachment H -11A, Attachment 10</v>
      </c>
    </row>
    <row r="2" spans="1:47" ht="15.75">
      <c r="B2" s="255"/>
      <c r="AA2" s="16" t="s">
        <v>168</v>
      </c>
    </row>
    <row r="3" spans="1:47" ht="18">
      <c r="B3" s="255"/>
      <c r="M3" s="254" t="s">
        <v>501</v>
      </c>
      <c r="AA3" s="16" t="str">
        <f>'Attachment H-11A '!K4</f>
        <v>For the 12 months ended 12/31/2022</v>
      </c>
    </row>
    <row r="4" spans="1:47" ht="15.75">
      <c r="B4" s="256"/>
    </row>
    <row r="5" spans="1:47" ht="15.75">
      <c r="A5" s="405"/>
      <c r="B5" s="257" t="s">
        <v>353</v>
      </c>
      <c r="C5" s="257"/>
      <c r="D5" s="257"/>
      <c r="E5" s="257"/>
      <c r="F5" s="257"/>
      <c r="G5" s="257"/>
      <c r="H5" s="257"/>
      <c r="I5" s="257"/>
      <c r="J5" s="257"/>
      <c r="K5" s="257"/>
      <c r="L5" s="257"/>
      <c r="M5" s="257"/>
      <c r="N5" s="257"/>
      <c r="O5" s="257"/>
      <c r="P5" s="257"/>
      <c r="Q5" s="257"/>
      <c r="R5" s="257"/>
      <c r="S5" s="257"/>
      <c r="T5" s="257"/>
      <c r="U5" s="257"/>
      <c r="V5" s="257"/>
      <c r="W5" s="257"/>
      <c r="X5" s="257"/>
      <c r="Y5" s="406"/>
      <c r="Z5" s="256"/>
    </row>
    <row r="6" spans="1:47" ht="15.75">
      <c r="A6" s="407"/>
      <c r="C6" s="256"/>
      <c r="D6" s="256"/>
      <c r="E6" s="256"/>
      <c r="F6" s="256"/>
      <c r="G6" s="408"/>
      <c r="H6" s="408"/>
      <c r="I6" s="408"/>
      <c r="J6" s="408"/>
      <c r="K6" s="256"/>
      <c r="L6" s="256"/>
      <c r="M6" s="256"/>
      <c r="N6" s="256"/>
      <c r="O6" s="256"/>
      <c r="P6" s="256"/>
      <c r="Q6" s="256"/>
      <c r="R6" s="256"/>
      <c r="S6" s="256"/>
      <c r="T6" s="256"/>
      <c r="U6" s="256"/>
      <c r="V6" s="256"/>
      <c r="W6" s="256"/>
      <c r="X6" s="256"/>
      <c r="Y6" s="409"/>
      <c r="Z6" s="256"/>
    </row>
    <row r="7" spans="1:47" ht="15.75">
      <c r="A7" s="407"/>
      <c r="B7" s="256" t="s">
        <v>354</v>
      </c>
      <c r="C7" s="256"/>
      <c r="D7" s="256"/>
      <c r="E7" s="256"/>
      <c r="F7" s="256"/>
      <c r="G7" s="408"/>
      <c r="H7" s="408"/>
      <c r="I7" s="408"/>
      <c r="J7" s="408"/>
      <c r="K7" s="256"/>
      <c r="L7" s="256"/>
      <c r="M7" s="256"/>
      <c r="N7" s="256"/>
      <c r="O7" s="256"/>
      <c r="P7" s="256"/>
      <c r="Q7" s="256"/>
      <c r="R7" s="256"/>
      <c r="S7" s="256"/>
      <c r="T7" s="256"/>
      <c r="U7" s="256"/>
      <c r="V7" s="256"/>
      <c r="W7" s="256"/>
      <c r="X7" s="256"/>
      <c r="Y7" s="409"/>
      <c r="Z7" s="256"/>
    </row>
    <row r="8" spans="1:47" ht="16.5" thickBot="1">
      <c r="A8" s="407"/>
      <c r="D8" s="256"/>
      <c r="E8" s="256"/>
      <c r="F8" s="256"/>
      <c r="G8" s="408"/>
      <c r="H8" s="408"/>
      <c r="I8" s="408"/>
      <c r="J8" s="408"/>
      <c r="K8" s="256"/>
      <c r="L8" s="256"/>
      <c r="M8" s="256"/>
      <c r="N8" s="256"/>
      <c r="O8" s="256"/>
      <c r="P8" s="256"/>
      <c r="Q8" s="256"/>
      <c r="R8" s="256"/>
      <c r="S8" s="256"/>
      <c r="T8" s="256"/>
      <c r="U8" s="256"/>
      <c r="V8" s="256"/>
      <c r="W8" s="256"/>
      <c r="X8" s="256"/>
      <c r="Y8" s="409"/>
      <c r="Z8" s="256"/>
    </row>
    <row r="9" spans="1:47" ht="16.5" thickBot="1">
      <c r="A9" s="407"/>
      <c r="B9" s="410" t="s">
        <v>355</v>
      </c>
      <c r="C9" s="411" t="str">
        <f>MID(AA3,25,10)</f>
        <v>12/31/2022</v>
      </c>
      <c r="D9" s="256"/>
      <c r="E9" s="256"/>
      <c r="F9" s="256"/>
      <c r="G9" s="256"/>
      <c r="H9" s="256"/>
      <c r="J9" s="256"/>
      <c r="K9" s="412"/>
      <c r="L9" s="256"/>
      <c r="M9" s="256"/>
      <c r="N9" s="256"/>
      <c r="O9" s="256"/>
      <c r="P9" s="256"/>
      <c r="Q9" s="256"/>
      <c r="R9" s="256"/>
      <c r="S9" s="256"/>
      <c r="T9" s="256"/>
      <c r="U9" s="256"/>
      <c r="V9" s="256"/>
      <c r="W9" s="256"/>
      <c r="X9" s="256"/>
      <c r="Y9" s="409"/>
      <c r="Z9" s="256"/>
    </row>
    <row r="10" spans="1:47" ht="15.75">
      <c r="A10" s="407"/>
      <c r="B10" s="408"/>
      <c r="C10" s="256"/>
      <c r="E10" s="256"/>
      <c r="F10" s="256"/>
      <c r="H10" s="256"/>
      <c r="I10" s="256"/>
      <c r="J10" s="256"/>
      <c r="K10" s="412"/>
      <c r="L10" s="256"/>
      <c r="M10" s="1159"/>
      <c r="N10" s="1159"/>
      <c r="O10" s="1159"/>
      <c r="P10" s="1159"/>
      <c r="Q10" s="1159"/>
      <c r="R10" s="1160"/>
      <c r="S10" s="1160"/>
      <c r="T10" s="1160"/>
      <c r="U10" s="1160"/>
      <c r="V10" s="1160"/>
      <c r="W10" s="1160"/>
      <c r="X10" s="1160"/>
      <c r="Y10" s="1161"/>
      <c r="Z10" s="1160"/>
      <c r="AA10" s="1162"/>
      <c r="AB10" s="1162"/>
      <c r="AC10" s="1162"/>
      <c r="AD10" s="1162"/>
      <c r="AE10" s="1162"/>
      <c r="AF10" s="1162"/>
      <c r="AG10" s="1162"/>
      <c r="AH10" s="1162"/>
      <c r="AI10" s="1162"/>
    </row>
    <row r="11" spans="1:47" s="258" customFormat="1" ht="15.75">
      <c r="A11" s="413"/>
      <c r="D11" s="258" t="s">
        <v>237</v>
      </c>
      <c r="G11" s="258" t="s">
        <v>238</v>
      </c>
      <c r="I11" s="258" t="s">
        <v>356</v>
      </c>
      <c r="K11" s="258" t="s">
        <v>240</v>
      </c>
      <c r="M11" s="414" t="s">
        <v>241</v>
      </c>
      <c r="O11" s="414" t="s">
        <v>242</v>
      </c>
      <c r="Q11" s="258" t="s">
        <v>243</v>
      </c>
      <c r="S11" s="258" t="s">
        <v>244</v>
      </c>
      <c r="U11" s="258" t="s">
        <v>245</v>
      </c>
      <c r="W11" s="258" t="s">
        <v>246</v>
      </c>
      <c r="Y11" s="415"/>
    </row>
    <row r="12" spans="1:47" ht="15.75">
      <c r="A12" s="407"/>
      <c r="B12" s="416"/>
      <c r="N12" s="416"/>
      <c r="S12" s="417"/>
      <c r="X12" s="417"/>
      <c r="Y12" s="418"/>
      <c r="AE12" s="419"/>
      <c r="AK12" s="420"/>
      <c r="AL12" s="416"/>
      <c r="AM12" s="416"/>
      <c r="AN12" s="416"/>
      <c r="AO12" s="416"/>
      <c r="AP12" s="416"/>
      <c r="AQ12" s="416"/>
      <c r="AR12" s="416"/>
      <c r="AS12" s="416"/>
      <c r="AT12" s="1134"/>
      <c r="AU12" s="1134"/>
    </row>
    <row r="13" spans="1:47" ht="15.75">
      <c r="A13" s="407"/>
      <c r="M13" s="1158" t="s">
        <v>357</v>
      </c>
      <c r="N13" s="416"/>
      <c r="Q13" s="416" t="s">
        <v>358</v>
      </c>
      <c r="S13" s="417"/>
      <c r="W13" s="416" t="s">
        <v>92</v>
      </c>
      <c r="X13" s="417"/>
      <c r="Y13" s="418"/>
      <c r="AE13" s="419"/>
      <c r="AK13" s="420"/>
      <c r="AL13" s="416"/>
      <c r="AM13" s="416"/>
      <c r="AN13" s="416"/>
      <c r="AO13" s="416"/>
      <c r="AP13" s="416"/>
      <c r="AQ13" s="416"/>
      <c r="AR13" s="416"/>
      <c r="AS13" s="416"/>
      <c r="AT13" s="416"/>
      <c r="AU13" s="416"/>
    </row>
    <row r="14" spans="1:47" ht="15.75">
      <c r="A14" s="407"/>
      <c r="B14" s="256"/>
      <c r="G14" s="416"/>
      <c r="H14" s="416"/>
      <c r="I14" s="416"/>
      <c r="J14" s="416"/>
      <c r="K14" s="416"/>
      <c r="L14" s="416"/>
      <c r="M14" s="1158" t="s">
        <v>8</v>
      </c>
      <c r="N14" s="416"/>
      <c r="O14" s="416" t="s">
        <v>253</v>
      </c>
      <c r="P14" s="416"/>
      <c r="Q14" s="416" t="s">
        <v>359</v>
      </c>
      <c r="R14" s="416"/>
      <c r="S14" s="416" t="s">
        <v>92</v>
      </c>
      <c r="T14" s="416"/>
      <c r="U14" s="416" t="s">
        <v>360</v>
      </c>
      <c r="V14" s="416"/>
      <c r="W14" s="416" t="s">
        <v>361</v>
      </c>
      <c r="Y14" s="418"/>
      <c r="AE14" s="419"/>
      <c r="AK14" s="421"/>
      <c r="AL14" s="422"/>
      <c r="AM14" s="422"/>
      <c r="AN14" s="422"/>
      <c r="AO14" s="422"/>
      <c r="AP14" s="422"/>
      <c r="AQ14" s="422"/>
      <c r="AR14" s="422"/>
      <c r="AS14" s="422"/>
      <c r="AT14" s="422"/>
      <c r="AU14" s="422"/>
    </row>
    <row r="15" spans="1:47" ht="15.75">
      <c r="A15" s="407"/>
      <c r="B15" s="256"/>
      <c r="E15" s="416"/>
      <c r="F15" s="416"/>
      <c r="G15" s="416"/>
      <c r="H15" s="416"/>
      <c r="I15" s="416" t="s">
        <v>362</v>
      </c>
      <c r="J15" s="416"/>
      <c r="K15" s="416" t="s">
        <v>363</v>
      </c>
      <c r="L15" s="416"/>
      <c r="M15" s="1158" t="s">
        <v>359</v>
      </c>
      <c r="N15" s="416"/>
      <c r="O15" s="416" t="s">
        <v>359</v>
      </c>
      <c r="P15" s="416"/>
      <c r="Q15" s="416" t="s">
        <v>364</v>
      </c>
      <c r="R15" s="416"/>
      <c r="S15" s="416" t="s">
        <v>359</v>
      </c>
      <c r="T15" s="416"/>
      <c r="U15" s="416" t="s">
        <v>365</v>
      </c>
      <c r="V15" s="416"/>
      <c r="W15" s="416" t="s">
        <v>366</v>
      </c>
      <c r="Y15" s="418"/>
      <c r="AE15" s="419"/>
      <c r="AK15" s="423"/>
      <c r="AL15" s="424"/>
      <c r="AM15" s="424"/>
      <c r="AN15" s="424"/>
      <c r="AO15" s="424"/>
      <c r="AP15" s="424"/>
      <c r="AQ15" s="424"/>
      <c r="AR15" s="424"/>
      <c r="AS15" s="424"/>
      <c r="AT15" s="424"/>
      <c r="AU15" s="424"/>
    </row>
    <row r="16" spans="1:47" ht="15.75">
      <c r="A16" s="407"/>
      <c r="C16" s="258" t="s">
        <v>367</v>
      </c>
      <c r="D16" s="416" t="s">
        <v>368</v>
      </c>
      <c r="E16" s="416"/>
      <c r="F16" s="416"/>
      <c r="G16" s="416" t="s">
        <v>369</v>
      </c>
      <c r="H16" s="416"/>
      <c r="I16" s="416" t="s">
        <v>370</v>
      </c>
      <c r="J16" s="416"/>
      <c r="K16" s="416" t="s">
        <v>371</v>
      </c>
      <c r="L16" s="416"/>
      <c r="M16" s="1158" t="s">
        <v>372</v>
      </c>
      <c r="N16" s="416"/>
      <c r="O16" s="416" t="s">
        <v>372</v>
      </c>
      <c r="P16" s="416"/>
      <c r="Q16" s="416" t="s">
        <v>373</v>
      </c>
      <c r="R16" s="416"/>
      <c r="S16" s="416" t="s">
        <v>374</v>
      </c>
      <c r="T16" s="416"/>
      <c r="U16" s="404" t="s">
        <v>1139</v>
      </c>
      <c r="V16" s="416"/>
      <c r="W16" s="416" t="s">
        <v>375</v>
      </c>
      <c r="Y16" s="418"/>
      <c r="AK16" s="423"/>
      <c r="AL16" s="424"/>
      <c r="AM16" s="424"/>
      <c r="AN16" s="424"/>
      <c r="AO16" s="424"/>
      <c r="AP16" s="424"/>
      <c r="AQ16" s="424"/>
      <c r="AR16" s="424"/>
      <c r="AS16" s="424"/>
      <c r="AT16" s="424"/>
      <c r="AU16" s="424"/>
    </row>
    <row r="17" spans="1:47" ht="15.75">
      <c r="A17" s="407"/>
      <c r="B17" s="259" t="s">
        <v>376</v>
      </c>
      <c r="C17" s="425" t="str">
        <f>C41</f>
        <v>12/31/2022</v>
      </c>
      <c r="E17" s="416"/>
      <c r="F17" s="416"/>
      <c r="G17" s="416"/>
      <c r="H17" s="416"/>
      <c r="I17" s="416" t="s">
        <v>523</v>
      </c>
      <c r="J17" s="416"/>
      <c r="K17" s="416" t="s">
        <v>1138</v>
      </c>
      <c r="L17" s="416"/>
      <c r="M17" s="416"/>
      <c r="N17" s="416"/>
      <c r="O17" s="416"/>
      <c r="P17" s="416"/>
      <c r="Q17" s="416" t="s">
        <v>525</v>
      </c>
      <c r="R17" s="416"/>
      <c r="S17" s="416" t="s">
        <v>524</v>
      </c>
      <c r="T17" s="416"/>
      <c r="U17" s="416"/>
      <c r="V17" s="416"/>
      <c r="Y17" s="418"/>
      <c r="AK17" s="423"/>
      <c r="AL17" s="424"/>
      <c r="AM17" s="424"/>
      <c r="AN17" s="424"/>
      <c r="AO17" s="424"/>
      <c r="AP17" s="424"/>
      <c r="AQ17" s="424"/>
      <c r="AR17" s="424"/>
      <c r="AS17" s="424"/>
      <c r="AT17" s="424"/>
      <c r="AU17" s="424"/>
    </row>
    <row r="18" spans="1:47">
      <c r="A18" s="407"/>
      <c r="B18" s="426" t="s">
        <v>377</v>
      </c>
      <c r="E18" s="427"/>
      <c r="F18" s="427"/>
      <c r="G18" s="427"/>
      <c r="H18" s="427"/>
      <c r="I18" s="427"/>
      <c r="J18" s="427"/>
      <c r="K18" s="427"/>
      <c r="L18" s="427"/>
      <c r="M18" s="427"/>
      <c r="N18" s="427"/>
      <c r="O18" s="416"/>
      <c r="P18" s="427"/>
      <c r="Q18" s="427"/>
      <c r="R18" s="427"/>
      <c r="S18" s="416"/>
      <c r="T18" s="416"/>
      <c r="U18" s="416"/>
      <c r="V18" s="416"/>
      <c r="Y18" s="418"/>
      <c r="AK18" s="423"/>
      <c r="AL18" s="424"/>
      <c r="AM18" s="424"/>
      <c r="AN18" s="424"/>
      <c r="AO18" s="424"/>
      <c r="AP18" s="424"/>
      <c r="AQ18" s="424"/>
      <c r="AR18" s="424"/>
      <c r="AS18" s="424"/>
      <c r="AT18" s="424"/>
      <c r="AU18" s="424"/>
    </row>
    <row r="19" spans="1:47">
      <c r="A19" s="674" t="s">
        <v>18</v>
      </c>
      <c r="B19" s="488" t="s">
        <v>1322</v>
      </c>
      <c r="C19" s="497"/>
      <c r="D19" s="495">
        <v>42264</v>
      </c>
      <c r="E19" s="498"/>
      <c r="F19" s="498"/>
      <c r="G19" s="495">
        <v>53220</v>
      </c>
      <c r="H19" s="427"/>
      <c r="I19" s="429">
        <f>I48</f>
        <v>150000000</v>
      </c>
      <c r="J19" s="429"/>
      <c r="K19" s="429">
        <f>S48</f>
        <v>148871802</v>
      </c>
      <c r="L19" s="429"/>
      <c r="M19" s="430">
        <v>149145922.39759037</v>
      </c>
      <c r="N19" s="498"/>
      <c r="O19" s="988">
        <v>12</v>
      </c>
      <c r="P19" s="427"/>
      <c r="Q19" s="431">
        <f>M19*O19/12</f>
        <v>149145922.39759037</v>
      </c>
      <c r="R19" s="427"/>
      <c r="S19" s="432">
        <f t="shared" ref="S19:S26" si="0">+Q19/$Q$27</f>
        <v>0.16902540706862457</v>
      </c>
      <c r="U19" s="432">
        <f t="shared" ref="U19:U24" si="1">AA49</f>
        <v>3.4262215392544253E-2</v>
      </c>
      <c r="W19" s="432">
        <f>+S19*U19</f>
        <v>5.7911849037976864E-3</v>
      </c>
      <c r="Y19" s="418"/>
      <c r="Z19" s="433"/>
      <c r="AK19" s="423"/>
      <c r="AL19" s="424"/>
      <c r="AM19" s="424"/>
      <c r="AN19" s="424"/>
      <c r="AO19" s="424"/>
      <c r="AP19" s="424"/>
      <c r="AQ19" s="424"/>
      <c r="AR19" s="424"/>
      <c r="AS19" s="424"/>
      <c r="AT19" s="424"/>
      <c r="AU19" s="424"/>
    </row>
    <row r="20" spans="1:47">
      <c r="A20" s="674" t="s">
        <v>19</v>
      </c>
      <c r="B20" s="488" t="s">
        <v>1323</v>
      </c>
      <c r="C20" s="499"/>
      <c r="D20" s="495">
        <v>41015</v>
      </c>
      <c r="E20" s="435"/>
      <c r="F20" s="435"/>
      <c r="G20" s="495">
        <v>44666</v>
      </c>
      <c r="H20" s="435"/>
      <c r="I20" s="429">
        <f t="shared" ref="I20:I26" si="2">I49</f>
        <v>100000000</v>
      </c>
      <c r="J20" s="439"/>
      <c r="K20" s="429">
        <f t="shared" ref="K20:K26" si="3">S49</f>
        <v>99275256</v>
      </c>
      <c r="L20" s="439"/>
      <c r="M20" s="502">
        <v>0</v>
      </c>
      <c r="N20" s="500"/>
      <c r="O20" s="988">
        <v>3.452054794520548</v>
      </c>
      <c r="P20" s="436"/>
      <c r="Q20" s="431">
        <f t="shared" ref="Q20:Q25" si="4">M20*O20/12</f>
        <v>0</v>
      </c>
      <c r="R20" s="436"/>
      <c r="S20" s="432">
        <f t="shared" si="0"/>
        <v>0</v>
      </c>
      <c r="T20" s="434"/>
      <c r="U20" s="432">
        <f t="shared" si="1"/>
        <v>3.8821513045860866E-2</v>
      </c>
      <c r="V20" s="434"/>
      <c r="W20" s="432">
        <f t="shared" ref="W20:W25" si="5">+S20*U20</f>
        <v>0</v>
      </c>
      <c r="X20" s="434"/>
      <c r="Y20" s="418"/>
      <c r="Z20" s="433"/>
      <c r="AK20" s="423"/>
      <c r="AL20" s="424"/>
      <c r="AM20" s="424"/>
      <c r="AN20" s="424"/>
      <c r="AO20" s="424"/>
      <c r="AP20" s="424"/>
      <c r="AQ20" s="424"/>
      <c r="AR20" s="424"/>
      <c r="AS20" s="424"/>
      <c r="AT20" s="424"/>
      <c r="AU20" s="424"/>
    </row>
    <row r="21" spans="1:47">
      <c r="A21" s="674" t="s">
        <v>20</v>
      </c>
      <c r="B21" s="488" t="s">
        <v>1324</v>
      </c>
      <c r="C21" s="494"/>
      <c r="D21" s="495">
        <v>42719</v>
      </c>
      <c r="E21" s="494"/>
      <c r="F21" s="494"/>
      <c r="G21" s="495">
        <v>53676</v>
      </c>
      <c r="H21" s="438"/>
      <c r="I21" s="429">
        <f t="shared" si="2"/>
        <v>100000000</v>
      </c>
      <c r="J21" s="439"/>
      <c r="K21" s="429">
        <f t="shared" si="3"/>
        <v>99256827</v>
      </c>
      <c r="L21" s="439"/>
      <c r="M21" s="430">
        <v>99406519.69060874</v>
      </c>
      <c r="N21" s="498"/>
      <c r="O21" s="988">
        <v>12</v>
      </c>
      <c r="P21" s="440"/>
      <c r="Q21" s="431">
        <f t="shared" si="4"/>
        <v>99406519.69060874</v>
      </c>
      <c r="R21" s="440"/>
      <c r="S21" s="432">
        <f t="shared" si="0"/>
        <v>0.11265629784493421</v>
      </c>
      <c r="U21" s="432">
        <f t="shared" si="1"/>
        <v>4.1292419324361368E-2</v>
      </c>
      <c r="W21" s="432">
        <f t="shared" si="5"/>
        <v>4.651851090143171E-3</v>
      </c>
      <c r="Y21" s="418"/>
      <c r="AK21" s="423"/>
      <c r="AL21" s="424"/>
      <c r="AM21" s="424"/>
      <c r="AN21" s="424"/>
      <c r="AO21" s="424"/>
      <c r="AP21" s="424"/>
      <c r="AQ21" s="424"/>
      <c r="AR21" s="424"/>
      <c r="AS21" s="424"/>
      <c r="AT21" s="424"/>
      <c r="AU21" s="424"/>
    </row>
    <row r="22" spans="1:47">
      <c r="A22" s="674" t="s">
        <v>21</v>
      </c>
      <c r="B22" s="488" t="s">
        <v>1325</v>
      </c>
      <c r="C22" s="494"/>
      <c r="D22" s="495">
        <v>42993</v>
      </c>
      <c r="E22" s="494"/>
      <c r="F22" s="494"/>
      <c r="G22" s="495">
        <v>53950</v>
      </c>
      <c r="H22" s="433"/>
      <c r="I22" s="429">
        <f t="shared" si="2"/>
        <v>100000000</v>
      </c>
      <c r="J22" s="439"/>
      <c r="K22" s="429">
        <f t="shared" si="3"/>
        <v>99328505</v>
      </c>
      <c r="L22" s="439"/>
      <c r="M22" s="430">
        <v>99446968.067901805</v>
      </c>
      <c r="N22" s="500"/>
      <c r="O22" s="988">
        <v>12</v>
      </c>
      <c r="P22" s="427"/>
      <c r="Q22" s="431">
        <f t="shared" si="4"/>
        <v>99446968.067901805</v>
      </c>
      <c r="R22" s="427"/>
      <c r="S22" s="432">
        <f t="shared" si="0"/>
        <v>0.11270213753888843</v>
      </c>
      <c r="U22" s="432">
        <f t="shared" si="1"/>
        <v>4.1766907553685013E-2</v>
      </c>
      <c r="W22" s="432">
        <f t="shared" si="5"/>
        <v>4.7072197596894462E-3</v>
      </c>
      <c r="Y22" s="418"/>
      <c r="AK22" s="423"/>
      <c r="AL22" s="424"/>
      <c r="AM22" s="424"/>
      <c r="AN22" s="424"/>
      <c r="AO22" s="424"/>
      <c r="AP22" s="424"/>
      <c r="AQ22" s="424"/>
      <c r="AR22" s="424"/>
      <c r="AS22" s="424"/>
      <c r="AT22" s="424"/>
      <c r="AU22" s="424"/>
    </row>
    <row r="23" spans="1:47">
      <c r="A23" s="674" t="s">
        <v>22</v>
      </c>
      <c r="B23" s="488" t="s">
        <v>1326</v>
      </c>
      <c r="C23" s="494"/>
      <c r="D23" s="495">
        <v>43084</v>
      </c>
      <c r="E23" s="494"/>
      <c r="F23" s="494"/>
      <c r="G23" s="495">
        <v>54041</v>
      </c>
      <c r="H23" s="433"/>
      <c r="I23" s="429">
        <f t="shared" si="2"/>
        <v>275000000</v>
      </c>
      <c r="J23" s="439"/>
      <c r="K23" s="429">
        <f t="shared" si="3"/>
        <v>273283238</v>
      </c>
      <c r="L23" s="439"/>
      <c r="M23" s="430">
        <v>273561092.78228086</v>
      </c>
      <c r="N23" s="500"/>
      <c r="O23" s="988">
        <v>12</v>
      </c>
      <c r="P23" s="427"/>
      <c r="Q23" s="431">
        <f t="shared" si="4"/>
        <v>273561092.78228086</v>
      </c>
      <c r="R23" s="427"/>
      <c r="S23" s="432">
        <f t="shared" si="0"/>
        <v>0.31002372926026328</v>
      </c>
      <c r="U23" s="432">
        <f t="shared" si="1"/>
        <v>4.2564591657998051E-2</v>
      </c>
      <c r="W23" s="432">
        <f t="shared" si="5"/>
        <v>1.3196033440252849E-2</v>
      </c>
      <c r="Y23" s="418"/>
      <c r="AK23" s="423"/>
      <c r="AL23" s="424"/>
      <c r="AM23" s="424"/>
      <c r="AN23" s="424"/>
      <c r="AO23" s="424"/>
      <c r="AP23" s="424"/>
      <c r="AQ23" s="424"/>
      <c r="AR23" s="424"/>
      <c r="AS23" s="424"/>
      <c r="AT23" s="424"/>
      <c r="AU23" s="424"/>
    </row>
    <row r="24" spans="1:47">
      <c r="A24" s="674" t="s">
        <v>23</v>
      </c>
      <c r="B24" s="488" t="s">
        <v>1327</v>
      </c>
      <c r="C24" s="494"/>
      <c r="D24" s="495">
        <v>43606</v>
      </c>
      <c r="E24" s="494"/>
      <c r="F24" s="494"/>
      <c r="G24" s="495">
        <v>58227</v>
      </c>
      <c r="H24" s="433"/>
      <c r="I24" s="429">
        <f t="shared" si="2"/>
        <v>100000000</v>
      </c>
      <c r="J24" s="439"/>
      <c r="K24" s="429">
        <f t="shared" si="3"/>
        <v>99300973</v>
      </c>
      <c r="L24" s="439"/>
      <c r="M24" s="430">
        <v>99364081.928253874</v>
      </c>
      <c r="N24" s="500"/>
      <c r="O24" s="988">
        <v>12</v>
      </c>
      <c r="P24" s="427"/>
      <c r="Q24" s="431">
        <f t="shared" si="4"/>
        <v>99364081.928253874</v>
      </c>
      <c r="R24" s="427"/>
      <c r="S24" s="432">
        <f t="shared" si="0"/>
        <v>0.11260820360312188</v>
      </c>
      <c r="U24" s="432">
        <f t="shared" si="1"/>
        <v>4.2519222034881649E-2</v>
      </c>
      <c r="W24" s="432">
        <f t="shared" si="5"/>
        <v>4.7880132119502991E-3</v>
      </c>
      <c r="Y24" s="418"/>
      <c r="AK24" s="423"/>
      <c r="AL24" s="424"/>
      <c r="AM24" s="424"/>
      <c r="AN24" s="424"/>
      <c r="AO24" s="424"/>
      <c r="AP24" s="424"/>
      <c r="AQ24" s="424"/>
      <c r="AR24" s="424"/>
      <c r="AS24" s="424"/>
      <c r="AT24" s="424"/>
      <c r="AU24" s="424"/>
    </row>
    <row r="25" spans="1:47">
      <c r="A25" s="674" t="s">
        <v>1033</v>
      </c>
      <c r="B25" s="488" t="s">
        <v>1327</v>
      </c>
      <c r="C25" s="494"/>
      <c r="D25" s="495">
        <v>43692</v>
      </c>
      <c r="E25" s="494"/>
      <c r="F25" s="494"/>
      <c r="G25" s="495">
        <v>58302</v>
      </c>
      <c r="H25" s="433"/>
      <c r="I25" s="429">
        <f t="shared" si="2"/>
        <v>150000000</v>
      </c>
      <c r="J25" s="439"/>
      <c r="K25" s="429">
        <f t="shared" si="3"/>
        <v>149083113</v>
      </c>
      <c r="L25" s="439"/>
      <c r="M25" s="430">
        <v>149160555.7486653</v>
      </c>
      <c r="N25" s="500"/>
      <c r="O25" s="988">
        <v>12</v>
      </c>
      <c r="P25" s="427"/>
      <c r="Q25" s="431">
        <f t="shared" si="4"/>
        <v>149160555.7486653</v>
      </c>
      <c r="R25" s="427"/>
      <c r="S25" s="432">
        <f t="shared" si="0"/>
        <v>0.16904199088186234</v>
      </c>
      <c r="U25" s="432">
        <f t="shared" ref="U25:U26" si="6">AA54</f>
        <v>4.2519222034881649E-2</v>
      </c>
      <c r="W25" s="432">
        <f t="shared" si="5"/>
        <v>7.187533943524344E-3</v>
      </c>
      <c r="Y25" s="418"/>
      <c r="AK25" s="423"/>
      <c r="AL25" s="424"/>
      <c r="AM25" s="424"/>
      <c r="AN25" s="424"/>
      <c r="AO25" s="424"/>
      <c r="AP25" s="424"/>
      <c r="AQ25" s="424"/>
      <c r="AR25" s="424"/>
      <c r="AS25" s="424"/>
      <c r="AT25" s="424"/>
      <c r="AU25" s="424"/>
    </row>
    <row r="26" spans="1:47" ht="17.25">
      <c r="A26" s="674" t="s">
        <v>1321</v>
      </c>
      <c r="B26" s="488" t="s">
        <v>1328</v>
      </c>
      <c r="C26" s="494"/>
      <c r="D26" s="495">
        <v>44908</v>
      </c>
      <c r="E26" s="494"/>
      <c r="F26" s="494"/>
      <c r="G26" s="495">
        <v>48594</v>
      </c>
      <c r="H26" s="433"/>
      <c r="I26" s="1057">
        <f t="shared" si="2"/>
        <v>250000000</v>
      </c>
      <c r="J26" s="439"/>
      <c r="K26" s="429">
        <f t="shared" si="3"/>
        <v>249463813</v>
      </c>
      <c r="L26" s="439"/>
      <c r="M26" s="441">
        <v>249466431.38469887</v>
      </c>
      <c r="N26" s="494"/>
      <c r="O26" s="988">
        <v>0.59178082191780823</v>
      </c>
      <c r="P26" s="440"/>
      <c r="Q26" s="442">
        <f>M26*O26/12</f>
        <v>12302454.150478302</v>
      </c>
      <c r="R26" s="440"/>
      <c r="S26" s="443">
        <f t="shared" si="0"/>
        <v>1.3942233802305281E-2</v>
      </c>
      <c r="U26" s="432">
        <f t="shared" si="6"/>
        <v>5.3170846172921914E-2</v>
      </c>
      <c r="W26" s="443">
        <f>+S26*U26</f>
        <v>7.4132036880928634E-4</v>
      </c>
      <c r="Y26" s="418"/>
      <c r="AQ26" s="424"/>
      <c r="AS26" s="424"/>
    </row>
    <row r="27" spans="1:47" ht="15.75" thickBot="1">
      <c r="A27" s="428"/>
      <c r="B27" s="487"/>
      <c r="C27" s="433"/>
      <c r="E27" s="433"/>
      <c r="F27" s="433"/>
      <c r="G27" s="419"/>
      <c r="H27" s="433"/>
      <c r="I27" s="444">
        <f>SUM(I19:I26)</f>
        <v>1225000000</v>
      </c>
      <c r="J27" s="444"/>
      <c r="K27" s="444"/>
      <c r="L27" s="444"/>
      <c r="M27" s="444">
        <f>SUM(M19:M26)</f>
        <v>1119551572</v>
      </c>
      <c r="N27" s="419"/>
      <c r="O27" s="433"/>
      <c r="P27" s="419"/>
      <c r="Q27" s="439">
        <f>SUM(Q19:Q26)</f>
        <v>882387594.76577926</v>
      </c>
      <c r="R27" s="419"/>
      <c r="S27" s="445">
        <f>SUM(S19:S26)</f>
        <v>1</v>
      </c>
      <c r="T27" s="433"/>
      <c r="V27" s="433"/>
      <c r="W27" s="621">
        <f>ROUND(SUM(W19:W26),4)</f>
        <v>4.1099999999999998E-2</v>
      </c>
      <c r="X27" s="682" t="s">
        <v>378</v>
      </c>
      <c r="Y27" s="418"/>
      <c r="AQ27" s="424"/>
      <c r="AS27" s="424"/>
    </row>
    <row r="28" spans="1:47" ht="15.75" thickTop="1">
      <c r="A28" s="407"/>
      <c r="C28" s="433"/>
      <c r="D28" s="433"/>
      <c r="E28" s="433"/>
      <c r="F28" s="433"/>
      <c r="G28" s="433"/>
      <c r="H28" s="433"/>
      <c r="I28" s="433"/>
      <c r="J28" s="433"/>
      <c r="K28" s="433"/>
      <c r="L28" s="433"/>
      <c r="M28" s="433"/>
      <c r="N28" s="433"/>
      <c r="O28" s="433"/>
      <c r="P28" s="433"/>
      <c r="Q28" s="446"/>
      <c r="R28" s="433"/>
      <c r="S28" s="433"/>
      <c r="T28" s="433"/>
      <c r="U28" s="433"/>
      <c r="V28" s="433"/>
      <c r="W28" s="445"/>
      <c r="X28" s="433"/>
      <c r="Y28" s="447"/>
      <c r="Z28" s="433"/>
      <c r="AQ28" s="424"/>
      <c r="AS28" s="424"/>
    </row>
    <row r="29" spans="1:47">
      <c r="A29" s="407"/>
      <c r="C29" s="433"/>
      <c r="D29" s="433"/>
      <c r="E29" s="433"/>
      <c r="F29" s="433"/>
      <c r="G29" s="433"/>
      <c r="H29" s="433"/>
      <c r="I29" s="433"/>
      <c r="J29" s="433"/>
      <c r="K29" s="433"/>
      <c r="L29" s="433"/>
      <c r="M29" s="433"/>
      <c r="N29" s="433"/>
      <c r="O29" s="433"/>
      <c r="P29" s="433"/>
      <c r="Q29" s="446"/>
      <c r="R29" s="433"/>
      <c r="S29" s="433"/>
      <c r="T29" s="433"/>
      <c r="U29" s="433"/>
      <c r="V29" s="433"/>
      <c r="W29" s="445"/>
      <c r="X29" s="433"/>
      <c r="Y29" s="447"/>
      <c r="Z29" s="433"/>
      <c r="AQ29" s="424"/>
      <c r="AS29" s="424"/>
    </row>
    <row r="30" spans="1:47">
      <c r="A30" s="407"/>
      <c r="B30" s="260" t="s">
        <v>379</v>
      </c>
      <c r="C30" s="433"/>
      <c r="D30" s="433"/>
      <c r="E30" s="433"/>
      <c r="F30" s="433"/>
      <c r="G30" s="433"/>
      <c r="H30" s="433"/>
      <c r="I30" s="433"/>
      <c r="J30" s="433"/>
      <c r="K30" s="433"/>
      <c r="L30" s="433"/>
      <c r="M30" s="433"/>
      <c r="N30" s="433"/>
      <c r="O30" s="433"/>
      <c r="P30" s="433"/>
      <c r="Q30" s="433"/>
      <c r="R30" s="433"/>
      <c r="S30" s="433"/>
      <c r="T30" s="433"/>
      <c r="U30" s="433"/>
      <c r="V30" s="433"/>
      <c r="W30" s="445"/>
      <c r="X30" s="433"/>
      <c r="Y30" s="447"/>
      <c r="Z30" s="433"/>
      <c r="AQ30" s="424"/>
      <c r="AS30" s="424"/>
    </row>
    <row r="31" spans="1:47">
      <c r="A31" s="407"/>
      <c r="B31" s="260" t="s">
        <v>380</v>
      </c>
      <c r="C31" s="433"/>
      <c r="D31" s="433"/>
      <c r="E31" s="433"/>
      <c r="F31" s="433"/>
      <c r="G31" s="433"/>
      <c r="H31" s="433"/>
      <c r="I31" s="433"/>
      <c r="J31" s="433"/>
      <c r="K31" s="433"/>
      <c r="L31" s="433"/>
      <c r="M31" s="433"/>
      <c r="N31" s="433"/>
      <c r="O31" s="433"/>
      <c r="P31" s="433"/>
      <c r="Q31" s="433"/>
      <c r="R31" s="433"/>
      <c r="S31" s="433"/>
      <c r="T31" s="433"/>
      <c r="U31" s="433"/>
      <c r="V31" s="433"/>
      <c r="W31" s="445"/>
      <c r="X31" s="433"/>
      <c r="Y31" s="447"/>
      <c r="Z31" s="433"/>
      <c r="AQ31" s="424"/>
      <c r="AS31" s="424"/>
    </row>
    <row r="32" spans="1:47">
      <c r="A32" s="407"/>
      <c r="B32" s="485" t="s">
        <v>381</v>
      </c>
      <c r="C32" s="433"/>
      <c r="D32" s="433"/>
      <c r="E32" s="433"/>
      <c r="F32" s="433"/>
      <c r="G32" s="433"/>
      <c r="H32" s="433"/>
      <c r="I32" s="433"/>
      <c r="J32" s="433"/>
      <c r="K32" s="433"/>
      <c r="L32" s="433"/>
      <c r="M32" s="433"/>
      <c r="N32" s="433"/>
      <c r="O32" s="433"/>
      <c r="P32" s="433"/>
      <c r="Q32" s="433"/>
      <c r="R32" s="433"/>
      <c r="S32" s="433"/>
      <c r="T32" s="433"/>
      <c r="U32" s="433"/>
      <c r="V32" s="433"/>
      <c r="W32" s="433"/>
      <c r="X32" s="433"/>
      <c r="Y32" s="447"/>
      <c r="Z32" s="433"/>
    </row>
    <row r="33" spans="1:45">
      <c r="A33" s="407"/>
      <c r="B33" s="485" t="s">
        <v>911</v>
      </c>
      <c r="C33" s="433"/>
      <c r="D33" s="433"/>
      <c r="E33" s="433"/>
      <c r="F33" s="433"/>
      <c r="G33" s="433"/>
      <c r="H33" s="433"/>
      <c r="I33" s="433"/>
      <c r="J33" s="433"/>
      <c r="K33" s="433"/>
      <c r="L33" s="433"/>
      <c r="M33" s="433"/>
      <c r="N33" s="433"/>
      <c r="O33" s="433"/>
      <c r="P33" s="433"/>
      <c r="Q33" s="433"/>
      <c r="R33" s="433"/>
      <c r="S33" s="433"/>
      <c r="T33" s="433"/>
      <c r="U33" s="433"/>
      <c r="V33" s="433"/>
      <c r="W33" s="433"/>
      <c r="X33" s="433"/>
      <c r="Y33" s="447"/>
      <c r="Z33" s="433"/>
    </row>
    <row r="34" spans="1:45">
      <c r="A34" s="448"/>
      <c r="B34" s="486" t="s">
        <v>382</v>
      </c>
      <c r="C34" s="449"/>
      <c r="D34" s="449"/>
      <c r="E34" s="449"/>
      <c r="F34" s="449"/>
      <c r="G34" s="449"/>
      <c r="H34" s="449"/>
      <c r="I34" s="449"/>
      <c r="J34" s="449"/>
      <c r="K34" s="449"/>
      <c r="L34" s="449"/>
      <c r="M34" s="449"/>
      <c r="N34" s="449"/>
      <c r="O34" s="449"/>
      <c r="P34" s="449"/>
      <c r="Q34" s="449"/>
      <c r="R34" s="449"/>
      <c r="S34" s="449"/>
      <c r="T34" s="449"/>
      <c r="U34" s="449"/>
      <c r="V34" s="449"/>
      <c r="W34" s="449"/>
      <c r="X34" s="449"/>
      <c r="Y34" s="450"/>
      <c r="Z34" s="433"/>
    </row>
    <row r="35" spans="1:45">
      <c r="A35" s="448"/>
      <c r="B35" s="486" t="s">
        <v>898</v>
      </c>
      <c r="C35" s="449"/>
      <c r="D35" s="449"/>
      <c r="E35" s="449"/>
      <c r="F35" s="449"/>
      <c r="G35" s="449"/>
      <c r="H35" s="449"/>
      <c r="I35" s="449"/>
      <c r="J35" s="449"/>
      <c r="K35" s="449"/>
      <c r="L35" s="449"/>
      <c r="M35" s="449"/>
      <c r="N35" s="449"/>
      <c r="O35" s="449"/>
      <c r="P35" s="449"/>
      <c r="Q35" s="449"/>
      <c r="R35" s="449"/>
      <c r="S35" s="449"/>
      <c r="T35" s="449"/>
      <c r="U35" s="449"/>
      <c r="V35" s="449"/>
      <c r="W35" s="449"/>
      <c r="X35" s="449"/>
      <c r="Y35" s="450"/>
      <c r="Z35" s="433"/>
    </row>
    <row r="36" spans="1:45">
      <c r="B36" s="445"/>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row>
    <row r="37" spans="1:45">
      <c r="B37" s="445"/>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row>
    <row r="38" spans="1:45" ht="15.75">
      <c r="B38" s="261"/>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49"/>
      <c r="AA38" s="451"/>
    </row>
    <row r="39" spans="1:45" ht="15.75">
      <c r="A39" s="405"/>
      <c r="B39" s="262" t="s">
        <v>383</v>
      </c>
      <c r="C39" s="452"/>
      <c r="D39" s="452"/>
      <c r="E39" s="452"/>
      <c r="F39" s="452"/>
      <c r="G39" s="452"/>
      <c r="H39" s="452"/>
      <c r="I39" s="452"/>
      <c r="J39" s="452"/>
      <c r="K39" s="452"/>
      <c r="L39" s="452"/>
      <c r="M39" s="452"/>
      <c r="N39" s="452"/>
      <c r="O39" s="452"/>
      <c r="P39" s="452"/>
      <c r="Q39" s="452"/>
      <c r="R39" s="452"/>
      <c r="S39" s="453"/>
      <c r="T39" s="452"/>
      <c r="U39" s="452"/>
      <c r="V39" s="452"/>
      <c r="W39" s="452"/>
      <c r="X39" s="452"/>
      <c r="Y39" s="452"/>
      <c r="Z39" s="433"/>
      <c r="AA39" s="454"/>
    </row>
    <row r="40" spans="1:45" ht="16.5" thickBot="1">
      <c r="A40" s="407"/>
      <c r="B40" s="259"/>
      <c r="C40" s="433"/>
      <c r="D40" s="433"/>
      <c r="E40" s="433"/>
      <c r="F40" s="433"/>
      <c r="G40" s="433"/>
      <c r="H40" s="433"/>
      <c r="I40" s="433"/>
      <c r="J40" s="433"/>
      <c r="K40" s="433"/>
      <c r="L40" s="433"/>
      <c r="M40" s="433"/>
      <c r="N40" s="433"/>
      <c r="O40" s="433"/>
      <c r="P40" s="433"/>
      <c r="Q40" s="433"/>
      <c r="R40" s="433"/>
      <c r="S40" s="447"/>
      <c r="T40" s="433"/>
      <c r="U40" s="433"/>
      <c r="V40" s="433"/>
      <c r="W40" s="433"/>
      <c r="X40" s="433"/>
      <c r="Y40" s="433"/>
      <c r="Z40" s="433"/>
      <c r="AA40" s="418"/>
    </row>
    <row r="41" spans="1:45" ht="16.5" thickBot="1">
      <c r="A41" s="407"/>
      <c r="B41" s="410" t="s">
        <v>355</v>
      </c>
      <c r="C41" s="411" t="str">
        <f>C9</f>
        <v>12/31/2022</v>
      </c>
      <c r="D41" s="433"/>
      <c r="E41" s="433"/>
      <c r="F41" s="433"/>
      <c r="G41" s="433"/>
      <c r="H41" s="433"/>
      <c r="I41" s="433"/>
      <c r="J41" s="433"/>
      <c r="K41" s="433"/>
      <c r="L41" s="433"/>
      <c r="M41" s="433"/>
      <c r="N41" s="433"/>
      <c r="O41" s="433"/>
      <c r="P41" s="433"/>
      <c r="Q41" s="433"/>
      <c r="R41" s="433"/>
      <c r="S41" s="1025"/>
      <c r="T41" s="1026"/>
      <c r="U41" s="1026"/>
      <c r="V41" s="1026"/>
      <c r="W41" s="1026"/>
      <c r="X41" s="1026"/>
      <c r="Y41" s="1026"/>
      <c r="Z41" s="1026"/>
      <c r="AA41" s="415"/>
    </row>
    <row r="42" spans="1:45" s="258" customFormat="1" ht="15.75">
      <c r="A42" s="413"/>
      <c r="D42" s="414" t="s">
        <v>384</v>
      </c>
      <c r="G42" s="414" t="s">
        <v>385</v>
      </c>
      <c r="I42" s="414" t="s">
        <v>386</v>
      </c>
      <c r="K42" s="414" t="s">
        <v>387</v>
      </c>
      <c r="M42" s="414" t="s">
        <v>388</v>
      </c>
      <c r="O42" s="414" t="s">
        <v>389</v>
      </c>
      <c r="Q42" s="1023"/>
      <c r="S42" s="415" t="s">
        <v>390</v>
      </c>
      <c r="T42" s="1023"/>
      <c r="U42" s="414" t="s">
        <v>391</v>
      </c>
      <c r="V42" s="1023"/>
      <c r="W42" s="414" t="s">
        <v>392</v>
      </c>
      <c r="X42" s="1023"/>
      <c r="Y42" s="258" t="s">
        <v>393</v>
      </c>
      <c r="Z42" s="1023"/>
      <c r="AA42" s="415" t="s">
        <v>1153</v>
      </c>
      <c r="AQ42" s="455"/>
      <c r="AS42" s="455"/>
    </row>
    <row r="43" spans="1:45" ht="15.75">
      <c r="A43" s="407"/>
      <c r="B43" s="261"/>
      <c r="K43" s="416" t="s">
        <v>394</v>
      </c>
      <c r="L43" s="416"/>
      <c r="O43" s="416" t="s">
        <v>395</v>
      </c>
      <c r="Q43" s="1024"/>
      <c r="S43" s="418"/>
      <c r="U43" s="416" t="s">
        <v>357</v>
      </c>
      <c r="AA43" s="456" t="s">
        <v>396</v>
      </c>
      <c r="AB43" s="416"/>
      <c r="AD43" s="416"/>
      <c r="AE43" s="416"/>
      <c r="AF43" s="416"/>
      <c r="AG43" s="416"/>
    </row>
    <row r="44" spans="1:45">
      <c r="A44" s="407"/>
      <c r="D44" s="416" t="s">
        <v>397</v>
      </c>
      <c r="E44" s="416"/>
      <c r="F44" s="416"/>
      <c r="G44" s="416" t="s">
        <v>398</v>
      </c>
      <c r="H44" s="416"/>
      <c r="I44" s="416" t="s">
        <v>8</v>
      </c>
      <c r="J44" s="416"/>
      <c r="K44" s="416" t="s">
        <v>399</v>
      </c>
      <c r="L44" s="416"/>
      <c r="M44" s="416" t="s">
        <v>400</v>
      </c>
      <c r="N44" s="416"/>
      <c r="O44" s="416" t="s">
        <v>401</v>
      </c>
      <c r="P44" s="416"/>
      <c r="Q44" s="1024"/>
      <c r="S44" s="456" t="s">
        <v>357</v>
      </c>
      <c r="T44" s="416"/>
      <c r="U44" s="416" t="s">
        <v>402</v>
      </c>
      <c r="V44" s="416"/>
      <c r="W44" s="416" t="s">
        <v>403</v>
      </c>
      <c r="X44" s="416"/>
      <c r="Y44" s="416" t="s">
        <v>404</v>
      </c>
      <c r="Z44" s="416"/>
      <c r="AA44" s="456" t="s">
        <v>405</v>
      </c>
      <c r="AB44" s="416"/>
      <c r="AD44" s="416"/>
      <c r="AF44" s="416"/>
      <c r="AG44" s="417"/>
      <c r="AH44" s="416"/>
    </row>
    <row r="45" spans="1:45" ht="15.75">
      <c r="A45" s="407"/>
      <c r="B45" s="259" t="s">
        <v>406</v>
      </c>
      <c r="C45" s="404" t="s">
        <v>407</v>
      </c>
      <c r="D45" s="416" t="s">
        <v>408</v>
      </c>
      <c r="E45" s="422"/>
      <c r="F45" s="422"/>
      <c r="G45" s="416" t="s">
        <v>408</v>
      </c>
      <c r="H45" s="422"/>
      <c r="I45" s="416" t="s">
        <v>409</v>
      </c>
      <c r="J45" s="422"/>
      <c r="K45" s="416" t="s">
        <v>410</v>
      </c>
      <c r="L45" s="422"/>
      <c r="M45" s="416" t="s">
        <v>411</v>
      </c>
      <c r="N45" s="416"/>
      <c r="O45" s="416" t="s">
        <v>412</v>
      </c>
      <c r="P45" s="416"/>
      <c r="Q45" s="416"/>
      <c r="S45" s="456" t="s">
        <v>402</v>
      </c>
      <c r="T45" s="416"/>
      <c r="U45" s="416" t="s">
        <v>413</v>
      </c>
      <c r="V45" s="422"/>
      <c r="W45" s="416" t="s">
        <v>414</v>
      </c>
      <c r="X45" s="422"/>
      <c r="Y45" s="416" t="s">
        <v>415</v>
      </c>
      <c r="Z45" s="422"/>
      <c r="AA45" s="456" t="s">
        <v>416</v>
      </c>
      <c r="AB45" s="416"/>
      <c r="AD45" s="416"/>
      <c r="AF45" s="416"/>
      <c r="AG45" s="417"/>
      <c r="AH45" s="416"/>
    </row>
    <row r="46" spans="1:45" ht="37.5" customHeight="1">
      <c r="A46" s="407"/>
      <c r="D46" s="416"/>
      <c r="E46" s="422"/>
      <c r="F46" s="422"/>
      <c r="G46" s="416"/>
      <c r="H46" s="422"/>
      <c r="I46" s="416"/>
      <c r="J46" s="422"/>
      <c r="K46" s="416"/>
      <c r="L46" s="422"/>
      <c r="M46" s="416"/>
      <c r="N46" s="416"/>
      <c r="O46" s="416"/>
      <c r="P46" s="416"/>
      <c r="S46" s="1045" t="s">
        <v>1195</v>
      </c>
      <c r="T46" s="416"/>
      <c r="U46" s="1027" t="s">
        <v>1140</v>
      </c>
      <c r="V46" s="422"/>
      <c r="W46" s="416"/>
      <c r="X46" s="422"/>
      <c r="Y46" s="416" t="s">
        <v>1152</v>
      </c>
      <c r="Z46" s="422"/>
      <c r="AA46" s="456"/>
      <c r="AB46" s="416"/>
      <c r="AD46" s="416"/>
      <c r="AF46" s="416"/>
      <c r="AG46" s="417"/>
      <c r="AH46" s="416"/>
    </row>
    <row r="47" spans="1:45">
      <c r="A47" s="407"/>
      <c r="B47" s="437"/>
      <c r="D47" s="416"/>
      <c r="E47" s="422"/>
      <c r="F47" s="422"/>
      <c r="G47" s="416"/>
      <c r="H47" s="422"/>
      <c r="I47" s="416"/>
      <c r="J47" s="422"/>
      <c r="K47" s="416"/>
      <c r="L47" s="422"/>
      <c r="M47" s="416"/>
      <c r="N47" s="416"/>
      <c r="O47" s="416"/>
      <c r="P47" s="416"/>
      <c r="S47" s="457"/>
      <c r="T47" s="416"/>
      <c r="U47" s="416"/>
      <c r="V47" s="422"/>
      <c r="W47" s="416"/>
      <c r="X47" s="422"/>
      <c r="Y47" s="416"/>
      <c r="Z47" s="422"/>
      <c r="AA47" s="456"/>
      <c r="AB47" s="416"/>
      <c r="AD47" s="416"/>
      <c r="AF47" s="416"/>
      <c r="AG47" s="416"/>
      <c r="AH47" s="416"/>
    </row>
    <row r="48" spans="1:45">
      <c r="A48" s="407" t="str">
        <f>A19</f>
        <v>(1)</v>
      </c>
      <c r="B48" s="685" t="str">
        <f>B19</f>
        <v>4.45%, Senior Unsecured Note</v>
      </c>
      <c r="D48" s="495">
        <v>42264</v>
      </c>
      <c r="E48" s="422"/>
      <c r="F48" s="422"/>
      <c r="G48" s="495">
        <v>53220</v>
      </c>
      <c r="H48" s="494"/>
      <c r="I48" s="430">
        <v>150000000</v>
      </c>
      <c r="J48" s="494"/>
      <c r="K48" s="430"/>
      <c r="L48" s="494"/>
      <c r="M48" s="430">
        <v>1128198</v>
      </c>
      <c r="N48" s="416"/>
      <c r="O48" s="416"/>
      <c r="P48" s="416"/>
      <c r="S48" s="459">
        <f>+I48+K48-M48-O48</f>
        <v>148871802</v>
      </c>
      <c r="T48" s="416"/>
      <c r="U48" s="460">
        <f>(S48/I48)*100</f>
        <v>99.247867999999997</v>
      </c>
      <c r="V48" s="422"/>
      <c r="W48" s="496">
        <v>4.4499999999999998E-2</v>
      </c>
      <c r="X48" s="422"/>
      <c r="Y48" s="419">
        <f>W48*I48</f>
        <v>6675000</v>
      </c>
      <c r="Z48" s="422"/>
      <c r="AA48" s="461">
        <f>YIELD(D48,G48,W48,U48,100,2,0)</f>
        <v>4.4958986000922678E-2</v>
      </c>
      <c r="AB48" s="416"/>
      <c r="AD48" s="416"/>
      <c r="AF48" s="416"/>
      <c r="AG48" s="416"/>
      <c r="AH48" s="416"/>
    </row>
    <row r="49" spans="1:35">
      <c r="A49" s="407" t="str">
        <f t="shared" ref="A49:A55" si="7">A20</f>
        <v>(2)</v>
      </c>
      <c r="B49" s="685" t="str">
        <f t="shared" ref="B49:B55" si="8">B20</f>
        <v>3.34%, Senior Unsecured Note</v>
      </c>
      <c r="C49" s="494"/>
      <c r="D49" s="495">
        <v>41015</v>
      </c>
      <c r="E49" s="494"/>
      <c r="F49" s="494"/>
      <c r="G49" s="495">
        <v>44666</v>
      </c>
      <c r="H49" s="494"/>
      <c r="I49" s="430">
        <v>100000000</v>
      </c>
      <c r="J49" s="494"/>
      <c r="K49" s="430"/>
      <c r="L49" s="494"/>
      <c r="M49" s="430">
        <v>724744</v>
      </c>
      <c r="N49" s="458"/>
      <c r="O49" s="438">
        <v>0</v>
      </c>
      <c r="P49" s="458"/>
      <c r="Q49" s="416"/>
      <c r="S49" s="459">
        <f t="shared" ref="S49:S54" si="9">+I49+K49-M49-O49</f>
        <v>99275256</v>
      </c>
      <c r="T49" s="458"/>
      <c r="U49" s="460">
        <f>(S49/I49)*100</f>
        <v>99.275255999999999</v>
      </c>
      <c r="W49" s="496">
        <v>3.3399999999999999E-2</v>
      </c>
      <c r="Y49" s="419">
        <f>W49*I49</f>
        <v>3340000</v>
      </c>
      <c r="AA49" s="461">
        <f>YIELD(D49,G49,W49,U49,100,2,0)</f>
        <v>3.4262215392544253E-2</v>
      </c>
      <c r="AB49" s="462"/>
      <c r="AD49" s="462"/>
      <c r="AF49" s="463"/>
      <c r="AG49" s="445"/>
      <c r="AH49" s="445"/>
    </row>
    <row r="50" spans="1:35">
      <c r="A50" s="407" t="str">
        <f t="shared" si="7"/>
        <v>(3)</v>
      </c>
      <c r="B50" s="685" t="str">
        <f t="shared" si="8"/>
        <v>3.84%, Senior Unsecured Note</v>
      </c>
      <c r="C50" s="494"/>
      <c r="D50" s="495">
        <v>42719</v>
      </c>
      <c r="E50" s="494"/>
      <c r="F50" s="494"/>
      <c r="G50" s="495">
        <v>53676</v>
      </c>
      <c r="H50" s="494"/>
      <c r="I50" s="430">
        <v>100000000</v>
      </c>
      <c r="J50" s="494"/>
      <c r="K50" s="430"/>
      <c r="L50" s="494"/>
      <c r="M50" s="430">
        <v>743173</v>
      </c>
      <c r="S50" s="459">
        <f t="shared" si="9"/>
        <v>99256827</v>
      </c>
      <c r="U50" s="460">
        <f>(S50/I50)*100</f>
        <v>99.256827000000001</v>
      </c>
      <c r="W50" s="496">
        <v>3.8399999999999997E-2</v>
      </c>
      <c r="Y50" s="419">
        <f>W50*I50</f>
        <v>3839999.9999999995</v>
      </c>
      <c r="AA50" s="461">
        <f t="shared" ref="AA50:AA55" si="10">YIELD(D50,G50,W50,U50,100,2,0)</f>
        <v>3.8821513045860866E-2</v>
      </c>
    </row>
    <row r="51" spans="1:35">
      <c r="A51" s="407" t="str">
        <f t="shared" si="7"/>
        <v>(4)</v>
      </c>
      <c r="B51" s="685" t="str">
        <f t="shared" si="8"/>
        <v>4.09%, Senior Unsecured Note</v>
      </c>
      <c r="C51" s="494"/>
      <c r="D51" s="495">
        <v>42993</v>
      </c>
      <c r="E51" s="494"/>
      <c r="F51" s="494"/>
      <c r="G51" s="495">
        <v>53950</v>
      </c>
      <c r="H51" s="494"/>
      <c r="I51" s="430">
        <v>100000000</v>
      </c>
      <c r="J51" s="494"/>
      <c r="K51" s="430"/>
      <c r="L51" s="494"/>
      <c r="M51" s="430">
        <v>671495</v>
      </c>
      <c r="S51" s="459">
        <f t="shared" si="9"/>
        <v>99328505</v>
      </c>
      <c r="U51" s="460">
        <f t="shared" ref="U51:U55" si="11">(S51/I51)*100</f>
        <v>99.328505000000007</v>
      </c>
      <c r="W51" s="496">
        <v>4.0899999999999999E-2</v>
      </c>
      <c r="Y51" s="419">
        <f t="shared" ref="Y51:Y55" si="12">W51*I51</f>
        <v>4090000</v>
      </c>
      <c r="AA51" s="461">
        <f t="shared" si="10"/>
        <v>4.1292419324361368E-2</v>
      </c>
    </row>
    <row r="52" spans="1:35">
      <c r="A52" s="407" t="str">
        <f t="shared" si="7"/>
        <v>(5)</v>
      </c>
      <c r="B52" s="685" t="str">
        <f t="shared" si="8"/>
        <v>4.14%, Senior Unsecured Note</v>
      </c>
      <c r="C52" s="494"/>
      <c r="D52" s="495">
        <v>43084</v>
      </c>
      <c r="E52" s="494"/>
      <c r="F52" s="494"/>
      <c r="G52" s="495">
        <v>54041</v>
      </c>
      <c r="H52" s="494"/>
      <c r="I52" s="430">
        <v>275000000</v>
      </c>
      <c r="J52" s="494"/>
      <c r="K52" s="430"/>
      <c r="L52" s="494"/>
      <c r="M52" s="430">
        <v>1716762</v>
      </c>
      <c r="N52" s="464"/>
      <c r="O52" s="464"/>
      <c r="P52" s="464"/>
      <c r="S52" s="459">
        <f t="shared" si="9"/>
        <v>273283238</v>
      </c>
      <c r="T52" s="464"/>
      <c r="U52" s="460">
        <f t="shared" si="11"/>
        <v>99.375722909090911</v>
      </c>
      <c r="W52" s="496">
        <v>4.1399999999999999E-2</v>
      </c>
      <c r="Y52" s="419">
        <f>W52*I52</f>
        <v>11385000</v>
      </c>
      <c r="AA52" s="461">
        <f t="shared" si="10"/>
        <v>4.1766907553685013E-2</v>
      </c>
      <c r="AG52" s="445"/>
    </row>
    <row r="53" spans="1:35">
      <c r="A53" s="407" t="str">
        <f t="shared" si="7"/>
        <v>(6)</v>
      </c>
      <c r="B53" s="685" t="str">
        <f t="shared" si="8"/>
        <v>4.22%, Senior Unsecured Note</v>
      </c>
      <c r="C53" s="494"/>
      <c r="D53" s="495">
        <v>43606</v>
      </c>
      <c r="E53" s="494"/>
      <c r="F53" s="494"/>
      <c r="G53" s="495">
        <v>58227</v>
      </c>
      <c r="H53" s="494"/>
      <c r="I53" s="430">
        <v>100000000</v>
      </c>
      <c r="J53" s="494"/>
      <c r="K53" s="430"/>
      <c r="L53" s="494"/>
      <c r="M53" s="430">
        <v>699027</v>
      </c>
      <c r="N53" s="464"/>
      <c r="O53" s="464"/>
      <c r="P53" s="464"/>
      <c r="S53" s="459">
        <f t="shared" si="9"/>
        <v>99300973</v>
      </c>
      <c r="T53" s="464"/>
      <c r="U53" s="460">
        <f t="shared" si="11"/>
        <v>99.300972999999999</v>
      </c>
      <c r="W53" s="496">
        <v>4.2200000000000001E-2</v>
      </c>
      <c r="Y53" s="419">
        <f t="shared" ref="Y53:Y54" si="13">W53*I53</f>
        <v>4220000</v>
      </c>
      <c r="AA53" s="461">
        <f t="shared" si="10"/>
        <v>4.2564591657998051E-2</v>
      </c>
      <c r="AG53" s="445"/>
    </row>
    <row r="54" spans="1:35">
      <c r="A54" s="407" t="str">
        <f t="shared" si="7"/>
        <v>(7)</v>
      </c>
      <c r="B54" s="685" t="str">
        <f t="shared" si="8"/>
        <v>4.22%, Senior Unsecured Note</v>
      </c>
      <c r="C54" s="494"/>
      <c r="D54" s="495">
        <v>43692</v>
      </c>
      <c r="E54" s="494"/>
      <c r="F54" s="494"/>
      <c r="G54" s="495">
        <v>58302</v>
      </c>
      <c r="H54" s="494"/>
      <c r="I54" s="430">
        <v>150000000</v>
      </c>
      <c r="J54" s="494"/>
      <c r="K54" s="430"/>
      <c r="L54" s="494"/>
      <c r="M54" s="430">
        <v>916887</v>
      </c>
      <c r="N54" s="464"/>
      <c r="O54" s="464"/>
      <c r="P54" s="464"/>
      <c r="S54" s="459">
        <f t="shared" si="9"/>
        <v>149083113</v>
      </c>
      <c r="T54" s="464"/>
      <c r="U54" s="460">
        <f t="shared" si="11"/>
        <v>99.388741999999993</v>
      </c>
      <c r="W54" s="496">
        <v>4.2200000000000001E-2</v>
      </c>
      <c r="Y54" s="419">
        <f t="shared" si="13"/>
        <v>6330000</v>
      </c>
      <c r="AA54" s="461">
        <f t="shared" si="10"/>
        <v>4.2519222034881649E-2</v>
      </c>
      <c r="AG54" s="445"/>
    </row>
    <row r="55" spans="1:35" ht="17.25">
      <c r="A55" s="407" t="str">
        <f t="shared" si="7"/>
        <v>(8)</v>
      </c>
      <c r="B55" s="685" t="str">
        <f t="shared" si="8"/>
        <v>5.29%, Senior Unsecured Note</v>
      </c>
      <c r="C55" s="494"/>
      <c r="D55" s="495">
        <v>44908</v>
      </c>
      <c r="E55" s="494"/>
      <c r="F55" s="494"/>
      <c r="G55" s="495">
        <v>48594</v>
      </c>
      <c r="H55" s="494"/>
      <c r="I55" s="465">
        <v>250000000</v>
      </c>
      <c r="J55" s="494"/>
      <c r="K55" s="465"/>
      <c r="L55" s="494"/>
      <c r="M55" s="465">
        <v>536187</v>
      </c>
      <c r="N55" s="464"/>
      <c r="O55" s="464"/>
      <c r="P55" s="464"/>
      <c r="Q55" s="416"/>
      <c r="S55" s="1030">
        <f t="shared" ref="S55" si="14">+I55+K55-M55-O55</f>
        <v>249463813</v>
      </c>
      <c r="T55" s="464"/>
      <c r="U55" s="460">
        <f t="shared" si="11"/>
        <v>99.785525200000009</v>
      </c>
      <c r="W55" s="496">
        <v>5.2900000000000003E-2</v>
      </c>
      <c r="Y55" s="503">
        <f t="shared" si="12"/>
        <v>13225000</v>
      </c>
      <c r="AA55" s="461">
        <f t="shared" si="10"/>
        <v>5.3170846172921914E-2</v>
      </c>
      <c r="AG55" s="445"/>
    </row>
    <row r="56" spans="1:35">
      <c r="A56" s="407"/>
      <c r="B56" s="466" t="s">
        <v>417</v>
      </c>
      <c r="D56" s="467"/>
      <c r="G56" s="468"/>
      <c r="I56" s="469">
        <f>SUM(I48:I55)</f>
        <v>1225000000</v>
      </c>
      <c r="K56" s="464">
        <f>SUM(K49:K55)</f>
        <v>0</v>
      </c>
      <c r="M56" s="469">
        <f>SUM(M48:M55)</f>
        <v>7136473</v>
      </c>
      <c r="N56" s="469"/>
      <c r="O56" s="464">
        <f>SUM(O49:O55)</f>
        <v>0</v>
      </c>
      <c r="P56" s="469"/>
      <c r="Q56" s="416"/>
      <c r="S56" s="470">
        <f>SUM(S48:S55)</f>
        <v>1217863527</v>
      </c>
      <c r="T56" s="469"/>
      <c r="Y56" s="469">
        <f>SUM(Y48:Y55)</f>
        <v>53105000</v>
      </c>
      <c r="AA56" s="461"/>
      <c r="AE56" s="463"/>
      <c r="AG56" s="445"/>
    </row>
    <row r="57" spans="1:35">
      <c r="A57" s="407"/>
      <c r="B57" s="260" t="s">
        <v>418</v>
      </c>
      <c r="D57" s="467"/>
      <c r="G57" s="468"/>
      <c r="I57" s="464"/>
      <c r="K57" s="464"/>
      <c r="M57" s="464"/>
      <c r="N57" s="464"/>
      <c r="O57" s="464"/>
      <c r="P57" s="464"/>
      <c r="Q57" s="464"/>
      <c r="R57" s="464"/>
      <c r="S57" s="418"/>
      <c r="W57" s="464"/>
      <c r="Y57" s="464"/>
      <c r="AA57" s="471"/>
      <c r="AE57" s="463"/>
      <c r="AG57" s="445"/>
      <c r="AI57" s="419"/>
    </row>
    <row r="58" spans="1:35" ht="16.5">
      <c r="A58" s="448"/>
      <c r="B58" s="486" t="s">
        <v>564</v>
      </c>
      <c r="C58" s="451"/>
      <c r="D58" s="451"/>
      <c r="E58" s="451"/>
      <c r="F58" s="451"/>
      <c r="G58" s="451"/>
      <c r="H58" s="451"/>
      <c r="I58" s="451"/>
      <c r="J58" s="451"/>
      <c r="K58" s="451"/>
      <c r="L58" s="451"/>
      <c r="M58" s="472"/>
      <c r="N58" s="472"/>
      <c r="O58" s="472"/>
      <c r="P58" s="472"/>
      <c r="Q58" s="472"/>
      <c r="R58" s="472"/>
      <c r="S58" s="473"/>
      <c r="T58" s="451"/>
      <c r="U58" s="451"/>
      <c r="V58" s="451"/>
      <c r="W58" s="451"/>
      <c r="X58" s="451"/>
      <c r="Y58" s="451"/>
      <c r="Z58" s="451"/>
      <c r="AA58" s="474"/>
    </row>
    <row r="59" spans="1:35">
      <c r="A59" s="448"/>
      <c r="B59" s="486"/>
      <c r="C59" s="451"/>
      <c r="D59" s="451"/>
      <c r="E59" s="451"/>
      <c r="F59" s="451"/>
      <c r="G59" s="451"/>
      <c r="H59" s="451"/>
      <c r="I59" s="451"/>
      <c r="J59" s="451"/>
      <c r="K59" s="451"/>
      <c r="L59" s="451"/>
      <c r="M59" s="472"/>
      <c r="N59" s="472"/>
      <c r="O59" s="472"/>
      <c r="P59" s="472"/>
      <c r="Q59" s="472"/>
      <c r="R59" s="472"/>
      <c r="S59" s="473"/>
      <c r="AA59" s="462"/>
    </row>
    <row r="60" spans="1:35">
      <c r="B60" s="445"/>
      <c r="M60" s="475"/>
      <c r="N60" s="475"/>
      <c r="O60" s="475"/>
      <c r="P60" s="475"/>
      <c r="Q60" s="475"/>
      <c r="R60" s="475"/>
      <c r="Y60" s="440"/>
    </row>
    <row r="61" spans="1:35" ht="18">
      <c r="B61" s="476"/>
      <c r="M61" s="477"/>
      <c r="N61" s="477"/>
      <c r="O61" s="477"/>
      <c r="P61" s="477"/>
      <c r="Q61" s="477"/>
      <c r="R61" s="477"/>
      <c r="Y61" s="464"/>
    </row>
    <row r="62" spans="1:35">
      <c r="Y62" s="464"/>
      <c r="AA62" s="440"/>
    </row>
    <row r="63" spans="1:35">
      <c r="D63" s="464"/>
      <c r="G63" s="464"/>
      <c r="M63" s="464"/>
      <c r="N63" s="464"/>
      <c r="O63" s="464"/>
      <c r="P63" s="464"/>
      <c r="Q63" s="464"/>
      <c r="R63" s="464"/>
      <c r="W63" s="478"/>
      <c r="Y63" s="464"/>
    </row>
    <row r="64" spans="1:35">
      <c r="W64" s="478"/>
    </row>
    <row r="65" spans="2:26">
      <c r="D65" s="479"/>
      <c r="G65" s="479"/>
      <c r="M65" s="479"/>
      <c r="N65" s="479"/>
      <c r="O65" s="479"/>
      <c r="P65" s="479"/>
      <c r="Q65" s="479"/>
      <c r="R65" s="479"/>
      <c r="W65" s="478"/>
      <c r="Y65" s="479"/>
    </row>
    <row r="66" spans="2:26">
      <c r="B66" s="445"/>
    </row>
    <row r="67" spans="2:26">
      <c r="B67" s="445"/>
    </row>
    <row r="69" spans="2:26">
      <c r="B69" s="480"/>
      <c r="D69" s="458"/>
    </row>
    <row r="70" spans="2:26">
      <c r="B70" s="480"/>
      <c r="D70" s="458"/>
    </row>
    <row r="71" spans="2:26" ht="15.75">
      <c r="B71" s="481"/>
      <c r="C71" s="256"/>
      <c r="D71" s="256"/>
      <c r="E71" s="256"/>
      <c r="F71" s="256"/>
      <c r="G71" s="256"/>
      <c r="H71" s="256"/>
      <c r="I71" s="256"/>
      <c r="J71" s="256"/>
      <c r="K71" s="256"/>
    </row>
    <row r="72" spans="2:26">
      <c r="D72" s="416"/>
      <c r="G72" s="416"/>
      <c r="I72" s="416"/>
      <c r="K72" s="416"/>
    </row>
    <row r="73" spans="2:26">
      <c r="D73" s="416"/>
      <c r="G73" s="416"/>
      <c r="I73" s="416"/>
      <c r="K73" s="416"/>
    </row>
    <row r="74" spans="2:26">
      <c r="D74" s="458"/>
      <c r="G74" s="482"/>
      <c r="I74" s="482"/>
      <c r="K74" s="482"/>
    </row>
    <row r="75" spans="2:26">
      <c r="D75" s="458"/>
      <c r="G75" s="482"/>
      <c r="I75" s="482"/>
    </row>
    <row r="76" spans="2:26">
      <c r="D76" s="458"/>
      <c r="G76" s="482"/>
      <c r="I76" s="482"/>
      <c r="K76" s="482"/>
    </row>
    <row r="77" spans="2:26">
      <c r="D77" s="458"/>
      <c r="G77" s="482"/>
      <c r="I77" s="482"/>
    </row>
    <row r="78" spans="2:26">
      <c r="D78" s="458"/>
      <c r="G78" s="482"/>
      <c r="I78" s="482"/>
      <c r="K78" s="482"/>
    </row>
    <row r="79" spans="2:26">
      <c r="D79" s="458"/>
      <c r="G79" s="482"/>
      <c r="I79" s="482"/>
    </row>
    <row r="80" spans="2:26" ht="15.75">
      <c r="D80" s="458"/>
      <c r="G80" s="482"/>
      <c r="K80" s="482"/>
      <c r="L80" s="256"/>
      <c r="M80" s="256"/>
      <c r="N80" s="256"/>
      <c r="O80" s="256"/>
      <c r="P80" s="256"/>
      <c r="Q80" s="256"/>
      <c r="R80" s="256"/>
      <c r="S80" s="256"/>
      <c r="T80" s="256"/>
      <c r="U80" s="256"/>
      <c r="V80" s="256"/>
      <c r="W80" s="256"/>
      <c r="X80" s="256"/>
      <c r="Y80" s="256"/>
      <c r="Z80" s="256"/>
    </row>
    <row r="81" spans="2:26" ht="15.75">
      <c r="D81" s="458"/>
      <c r="G81" s="482"/>
      <c r="K81" s="482"/>
      <c r="L81" s="256"/>
      <c r="M81" s="256"/>
      <c r="N81" s="256"/>
      <c r="O81" s="256"/>
      <c r="P81" s="256"/>
      <c r="Q81" s="256"/>
      <c r="R81" s="256"/>
      <c r="S81" s="256"/>
      <c r="T81" s="256"/>
      <c r="U81" s="256"/>
      <c r="V81" s="256"/>
      <c r="W81" s="256"/>
      <c r="X81" s="256"/>
      <c r="Y81" s="256"/>
      <c r="Z81" s="256"/>
    </row>
    <row r="82" spans="2:26" ht="15.75">
      <c r="D82" s="458"/>
      <c r="G82" s="482"/>
      <c r="K82" s="482"/>
      <c r="L82" s="256"/>
      <c r="M82" s="256"/>
      <c r="N82" s="256"/>
      <c r="O82" s="256"/>
      <c r="P82" s="256"/>
      <c r="Q82" s="256"/>
      <c r="R82" s="256"/>
      <c r="S82" s="256"/>
      <c r="T82" s="256"/>
      <c r="U82" s="256"/>
      <c r="V82" s="256"/>
      <c r="W82" s="256"/>
      <c r="X82" s="256"/>
      <c r="Y82" s="256"/>
      <c r="Z82" s="256"/>
    </row>
    <row r="83" spans="2:26" ht="15.75">
      <c r="D83" s="458"/>
      <c r="G83" s="482"/>
      <c r="K83" s="482"/>
      <c r="L83" s="256"/>
      <c r="M83" s="256"/>
      <c r="N83" s="256"/>
      <c r="O83" s="256"/>
      <c r="P83" s="256"/>
      <c r="Q83" s="256"/>
      <c r="R83" s="256"/>
      <c r="S83" s="256"/>
      <c r="T83" s="256"/>
      <c r="U83" s="256"/>
      <c r="V83" s="256"/>
      <c r="W83" s="256"/>
      <c r="X83" s="256"/>
      <c r="Y83" s="256"/>
      <c r="Z83" s="256"/>
    </row>
    <row r="84" spans="2:26" ht="15.75">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row>
    <row r="85" spans="2:26" ht="15.75">
      <c r="B85" s="255"/>
    </row>
    <row r="86" spans="2:26" ht="15.75">
      <c r="B86" s="259"/>
      <c r="G86" s="416"/>
      <c r="H86" s="416"/>
      <c r="I86" s="416"/>
      <c r="J86" s="416"/>
      <c r="K86" s="416"/>
      <c r="L86" s="416"/>
      <c r="M86" s="416"/>
      <c r="N86" s="416"/>
      <c r="O86" s="416"/>
      <c r="P86" s="416"/>
      <c r="Q86" s="416"/>
      <c r="R86" s="416"/>
      <c r="S86" s="416"/>
      <c r="T86" s="416"/>
      <c r="U86" s="416"/>
      <c r="V86" s="416"/>
    </row>
    <row r="87" spans="2:26">
      <c r="D87" s="416"/>
      <c r="E87" s="416"/>
      <c r="F87" s="416"/>
      <c r="G87" s="416"/>
      <c r="H87" s="416"/>
      <c r="I87" s="416"/>
      <c r="J87" s="416"/>
      <c r="K87" s="416"/>
      <c r="L87" s="416"/>
      <c r="M87" s="416"/>
      <c r="N87" s="416"/>
      <c r="O87" s="416"/>
      <c r="P87" s="416"/>
      <c r="Q87" s="416"/>
      <c r="R87" s="416"/>
      <c r="S87" s="416"/>
      <c r="T87" s="416"/>
      <c r="U87" s="416"/>
      <c r="V87" s="416"/>
      <c r="W87" s="416"/>
      <c r="Y87" s="416"/>
      <c r="Z87" s="416"/>
    </row>
    <row r="88" spans="2:26">
      <c r="B88" s="426"/>
      <c r="D88" s="416"/>
      <c r="E88" s="416"/>
      <c r="F88" s="416"/>
      <c r="G88" s="416"/>
      <c r="H88" s="416"/>
      <c r="I88" s="416"/>
      <c r="J88" s="416"/>
      <c r="K88" s="416"/>
      <c r="L88" s="416"/>
      <c r="M88" s="416"/>
      <c r="N88" s="416"/>
      <c r="O88" s="416"/>
      <c r="P88" s="416"/>
      <c r="Q88" s="416"/>
      <c r="R88" s="416"/>
      <c r="S88" s="416"/>
      <c r="T88" s="416"/>
      <c r="U88" s="416"/>
      <c r="V88" s="416"/>
      <c r="W88" s="416"/>
      <c r="Y88" s="416"/>
      <c r="Z88" s="416"/>
    </row>
    <row r="89" spans="2:26">
      <c r="B89" s="426"/>
      <c r="D89" s="416"/>
      <c r="E89" s="416"/>
      <c r="F89" s="416"/>
      <c r="G89" s="416"/>
      <c r="H89" s="416"/>
      <c r="I89" s="416"/>
      <c r="J89" s="416"/>
      <c r="K89" s="416"/>
      <c r="L89" s="416"/>
      <c r="M89" s="416"/>
      <c r="N89" s="416"/>
      <c r="O89" s="416"/>
      <c r="P89" s="416"/>
      <c r="Q89" s="416"/>
      <c r="R89" s="416"/>
      <c r="S89" s="416"/>
      <c r="T89" s="416"/>
      <c r="U89" s="416"/>
      <c r="V89" s="416"/>
      <c r="W89" s="416"/>
      <c r="Y89" s="416"/>
      <c r="Z89" s="416"/>
    </row>
    <row r="90" spans="2:26">
      <c r="B90" s="445"/>
      <c r="D90" s="419"/>
      <c r="E90" s="419"/>
      <c r="F90" s="419"/>
      <c r="G90" s="419"/>
      <c r="H90" s="433"/>
      <c r="I90" s="419"/>
      <c r="J90" s="433"/>
      <c r="K90" s="433"/>
      <c r="L90" s="433"/>
      <c r="M90" s="433"/>
      <c r="N90" s="433"/>
      <c r="O90" s="433"/>
      <c r="P90" s="433"/>
      <c r="Q90" s="433"/>
      <c r="R90" s="433"/>
      <c r="W90" s="445"/>
      <c r="Y90" s="433"/>
      <c r="Z90" s="416"/>
    </row>
    <row r="91" spans="2:26">
      <c r="B91" s="445"/>
      <c r="D91" s="419"/>
      <c r="E91" s="419"/>
      <c r="F91" s="419"/>
      <c r="G91" s="419"/>
      <c r="H91" s="433"/>
      <c r="I91" s="419"/>
      <c r="J91" s="433"/>
      <c r="K91" s="433"/>
      <c r="L91" s="433"/>
      <c r="M91" s="433"/>
      <c r="N91" s="433"/>
      <c r="O91" s="433"/>
      <c r="P91" s="433"/>
      <c r="Q91" s="433"/>
      <c r="R91" s="433"/>
      <c r="W91" s="445"/>
      <c r="Y91" s="433"/>
      <c r="Z91" s="416"/>
    </row>
    <row r="92" spans="2:26">
      <c r="B92" s="445"/>
      <c r="D92" s="419"/>
      <c r="E92" s="419"/>
      <c r="F92" s="419"/>
      <c r="G92" s="419"/>
      <c r="H92" s="433"/>
      <c r="I92" s="419"/>
      <c r="J92" s="433"/>
      <c r="K92" s="433"/>
      <c r="L92" s="433"/>
      <c r="M92" s="433"/>
      <c r="N92" s="433"/>
      <c r="O92" s="433"/>
      <c r="P92" s="433"/>
      <c r="Q92" s="433"/>
      <c r="R92" s="433"/>
      <c r="W92" s="445"/>
      <c r="Y92" s="433"/>
      <c r="Z92" s="416"/>
    </row>
    <row r="93" spans="2:26">
      <c r="B93" s="412"/>
      <c r="D93" s="419"/>
      <c r="E93" s="419"/>
      <c r="F93" s="419"/>
      <c r="G93" s="419"/>
      <c r="H93" s="433"/>
      <c r="I93" s="419"/>
      <c r="J93" s="433"/>
      <c r="K93" s="433"/>
      <c r="L93" s="433"/>
      <c r="M93" s="433"/>
      <c r="N93" s="433"/>
      <c r="O93" s="433"/>
      <c r="P93" s="433"/>
      <c r="Q93" s="433"/>
      <c r="R93" s="433"/>
      <c r="W93" s="445"/>
      <c r="Y93" s="433"/>
      <c r="Z93" s="416"/>
    </row>
    <row r="94" spans="2:26">
      <c r="B94" s="412"/>
      <c r="D94" s="419"/>
      <c r="E94" s="419"/>
      <c r="F94" s="419"/>
      <c r="G94" s="419"/>
      <c r="H94" s="433"/>
      <c r="I94" s="419"/>
      <c r="J94" s="433"/>
      <c r="K94" s="433"/>
      <c r="L94" s="433"/>
      <c r="M94" s="433"/>
      <c r="N94" s="433"/>
      <c r="O94" s="433"/>
      <c r="P94" s="433"/>
      <c r="Q94" s="433"/>
      <c r="R94" s="433"/>
      <c r="W94" s="445"/>
      <c r="Y94" s="433"/>
      <c r="Z94" s="416"/>
    </row>
    <row r="95" spans="2:26">
      <c r="B95" s="437"/>
      <c r="D95" s="419"/>
      <c r="E95" s="419"/>
      <c r="F95" s="419"/>
      <c r="G95" s="419"/>
      <c r="H95" s="433"/>
      <c r="I95" s="419"/>
      <c r="J95" s="433"/>
      <c r="K95" s="433"/>
      <c r="L95" s="433"/>
      <c r="M95" s="433"/>
      <c r="N95" s="433"/>
      <c r="O95" s="433"/>
      <c r="P95" s="433"/>
      <c r="Q95" s="433"/>
      <c r="R95" s="433"/>
      <c r="W95" s="445"/>
      <c r="Y95" s="433"/>
      <c r="Z95" s="416"/>
    </row>
    <row r="96" spans="2:26">
      <c r="B96" s="445"/>
      <c r="D96" s="419"/>
      <c r="E96" s="419"/>
      <c r="F96" s="419"/>
      <c r="G96" s="419"/>
      <c r="H96" s="433"/>
      <c r="I96" s="419"/>
      <c r="J96" s="433"/>
      <c r="K96" s="433"/>
      <c r="L96" s="433"/>
      <c r="M96" s="433"/>
      <c r="N96" s="433"/>
      <c r="O96" s="433"/>
      <c r="P96" s="433"/>
      <c r="Q96" s="433"/>
      <c r="R96" s="433"/>
      <c r="W96" s="445"/>
      <c r="Y96" s="433"/>
      <c r="Z96" s="416"/>
    </row>
    <row r="97" spans="2:26">
      <c r="B97" s="445"/>
      <c r="D97" s="419"/>
      <c r="E97" s="419"/>
      <c r="F97" s="419"/>
      <c r="G97" s="419"/>
      <c r="H97" s="433"/>
      <c r="I97" s="419"/>
      <c r="J97" s="433"/>
      <c r="K97" s="433"/>
      <c r="L97" s="433"/>
      <c r="M97" s="433"/>
      <c r="N97" s="433"/>
      <c r="O97" s="433"/>
      <c r="P97" s="433"/>
      <c r="Q97" s="433"/>
      <c r="R97" s="433"/>
      <c r="W97" s="445"/>
      <c r="Y97" s="433"/>
      <c r="Z97" s="416"/>
    </row>
    <row r="98" spans="2:26">
      <c r="B98" s="445"/>
      <c r="D98" s="419"/>
      <c r="E98" s="419"/>
      <c r="F98" s="419"/>
      <c r="G98" s="419"/>
      <c r="H98" s="433"/>
      <c r="I98" s="419"/>
      <c r="J98" s="433"/>
      <c r="K98" s="433"/>
      <c r="L98" s="433"/>
      <c r="M98" s="433"/>
      <c r="N98" s="433"/>
      <c r="O98" s="433"/>
      <c r="P98" s="433"/>
      <c r="Q98" s="433"/>
      <c r="R98" s="433"/>
      <c r="W98" s="445"/>
      <c r="Y98" s="433"/>
      <c r="Z98" s="416"/>
    </row>
    <row r="99" spans="2:26">
      <c r="B99" s="445"/>
      <c r="D99" s="419"/>
      <c r="E99" s="419"/>
      <c r="F99" s="419"/>
      <c r="G99" s="419"/>
      <c r="H99" s="433"/>
      <c r="I99" s="419"/>
      <c r="J99" s="433"/>
      <c r="K99" s="433"/>
      <c r="L99" s="433"/>
      <c r="M99" s="433"/>
      <c r="N99" s="433"/>
      <c r="O99" s="433"/>
      <c r="P99" s="433"/>
      <c r="Q99" s="433"/>
      <c r="R99" s="433"/>
      <c r="W99" s="445"/>
      <c r="Y99" s="433"/>
      <c r="Z99" s="416"/>
    </row>
    <row r="100" spans="2:26">
      <c r="B100" s="445"/>
      <c r="D100" s="419"/>
      <c r="E100" s="419"/>
      <c r="F100" s="419"/>
      <c r="G100" s="419"/>
      <c r="H100" s="433"/>
      <c r="I100" s="419"/>
      <c r="J100" s="433"/>
      <c r="K100" s="433"/>
      <c r="L100" s="433"/>
      <c r="M100" s="433"/>
      <c r="N100" s="433"/>
      <c r="O100" s="433"/>
      <c r="P100" s="433"/>
      <c r="Q100" s="433"/>
      <c r="R100" s="433"/>
      <c r="W100" s="445"/>
      <c r="Y100" s="433"/>
      <c r="Z100" s="416"/>
    </row>
    <row r="101" spans="2:26">
      <c r="B101" s="445"/>
      <c r="D101" s="419"/>
      <c r="E101" s="419"/>
      <c r="F101" s="419"/>
      <c r="G101" s="419"/>
      <c r="H101" s="433"/>
      <c r="I101" s="419"/>
      <c r="J101" s="433"/>
      <c r="K101" s="433"/>
      <c r="L101" s="433"/>
      <c r="M101" s="433"/>
      <c r="N101" s="433"/>
      <c r="O101" s="433"/>
      <c r="P101" s="433"/>
      <c r="Q101" s="433"/>
      <c r="R101" s="433"/>
      <c r="W101" s="445"/>
      <c r="Y101" s="433"/>
      <c r="Z101" s="416"/>
    </row>
    <row r="102" spans="2:26">
      <c r="B102" s="445"/>
      <c r="D102" s="419"/>
      <c r="E102" s="419"/>
      <c r="F102" s="419"/>
      <c r="G102" s="419"/>
      <c r="H102" s="433"/>
      <c r="I102" s="419"/>
      <c r="J102" s="433"/>
      <c r="K102" s="433"/>
      <c r="L102" s="433"/>
      <c r="M102" s="433"/>
      <c r="N102" s="433"/>
      <c r="O102" s="433"/>
      <c r="P102" s="433"/>
      <c r="Q102" s="433"/>
      <c r="R102" s="433"/>
      <c r="W102" s="445"/>
      <c r="Y102" s="433"/>
      <c r="Z102" s="416"/>
    </row>
    <row r="103" spans="2:26">
      <c r="B103" s="445"/>
      <c r="D103" s="419"/>
      <c r="E103" s="419"/>
      <c r="F103" s="419"/>
      <c r="G103" s="419"/>
      <c r="H103" s="433"/>
      <c r="I103" s="419"/>
      <c r="J103" s="433"/>
      <c r="K103" s="433"/>
      <c r="L103" s="433"/>
      <c r="M103" s="433"/>
      <c r="N103" s="433"/>
      <c r="O103" s="433"/>
      <c r="P103" s="433"/>
      <c r="Q103" s="433"/>
      <c r="R103" s="433"/>
      <c r="W103" s="445"/>
      <c r="Y103" s="433"/>
      <c r="Z103" s="416"/>
    </row>
    <row r="104" spans="2:26">
      <c r="B104" s="445"/>
      <c r="D104" s="419"/>
      <c r="E104" s="419"/>
      <c r="F104" s="419"/>
      <c r="G104" s="419"/>
      <c r="H104" s="433"/>
      <c r="I104" s="419"/>
      <c r="J104" s="433"/>
      <c r="K104" s="433"/>
      <c r="L104" s="433"/>
      <c r="M104" s="433"/>
      <c r="N104" s="433"/>
      <c r="O104" s="433"/>
      <c r="P104" s="433"/>
      <c r="Q104" s="433"/>
      <c r="R104" s="433"/>
      <c r="W104" s="445"/>
      <c r="Y104" s="433"/>
      <c r="Z104" s="416"/>
    </row>
    <row r="105" spans="2:26">
      <c r="B105" s="445"/>
      <c r="D105" s="419"/>
      <c r="E105" s="419"/>
      <c r="F105" s="419"/>
      <c r="G105" s="419"/>
      <c r="H105" s="433"/>
      <c r="I105" s="419"/>
      <c r="J105" s="433"/>
      <c r="K105" s="433"/>
      <c r="L105" s="433"/>
      <c r="M105" s="433"/>
      <c r="N105" s="433"/>
      <c r="O105" s="433"/>
      <c r="P105" s="433"/>
      <c r="Q105" s="433"/>
      <c r="R105" s="433"/>
      <c r="W105" s="445"/>
      <c r="Y105" s="433"/>
      <c r="Z105" s="416"/>
    </row>
    <row r="106" spans="2:26">
      <c r="B106" s="445"/>
      <c r="D106" s="419"/>
      <c r="E106" s="419"/>
      <c r="F106" s="419"/>
      <c r="G106" s="419"/>
      <c r="H106" s="433"/>
      <c r="I106" s="419"/>
      <c r="J106" s="433"/>
      <c r="K106" s="433"/>
      <c r="L106" s="433"/>
      <c r="M106" s="433"/>
      <c r="N106" s="433"/>
      <c r="O106" s="433"/>
      <c r="P106" s="433"/>
      <c r="Q106" s="433"/>
      <c r="R106" s="433"/>
      <c r="W106" s="445"/>
      <c r="Y106" s="433"/>
      <c r="Z106" s="416"/>
    </row>
    <row r="107" spans="2:26">
      <c r="D107" s="419"/>
      <c r="E107" s="419"/>
      <c r="F107" s="419"/>
      <c r="G107" s="419"/>
      <c r="I107" s="419"/>
      <c r="M107" s="433"/>
      <c r="N107" s="433"/>
      <c r="O107" s="433"/>
      <c r="P107" s="433"/>
      <c r="Q107" s="433"/>
      <c r="R107" s="433"/>
    </row>
    <row r="108" spans="2:26">
      <c r="B108" s="433"/>
      <c r="C108" s="433"/>
      <c r="D108" s="419"/>
      <c r="E108" s="419"/>
      <c r="F108" s="419"/>
      <c r="G108" s="419"/>
      <c r="H108" s="433"/>
      <c r="I108" s="419"/>
      <c r="J108" s="433"/>
      <c r="K108" s="419"/>
      <c r="L108" s="433"/>
      <c r="M108" s="433"/>
      <c r="N108" s="433"/>
      <c r="O108" s="433"/>
      <c r="P108" s="433"/>
      <c r="Q108" s="433"/>
      <c r="R108" s="433"/>
      <c r="S108" s="433"/>
      <c r="T108" s="433"/>
      <c r="U108" s="433"/>
      <c r="V108" s="433"/>
      <c r="W108" s="445"/>
      <c r="X108" s="433"/>
      <c r="Y108" s="433"/>
      <c r="Z108" s="433"/>
    </row>
    <row r="109" spans="2:26">
      <c r="B109" s="433"/>
      <c r="C109" s="433"/>
      <c r="D109" s="433"/>
      <c r="E109" s="433"/>
      <c r="F109" s="433"/>
      <c r="G109" s="433"/>
      <c r="H109" s="433"/>
      <c r="I109" s="433"/>
      <c r="J109" s="433"/>
      <c r="K109" s="433"/>
      <c r="L109" s="433"/>
      <c r="M109" s="433"/>
      <c r="N109" s="433"/>
      <c r="O109" s="433"/>
      <c r="P109" s="433"/>
      <c r="Q109" s="433"/>
      <c r="R109" s="433"/>
      <c r="S109" s="433"/>
      <c r="T109" s="433"/>
      <c r="U109" s="433"/>
      <c r="V109" s="433"/>
      <c r="W109" s="445"/>
      <c r="X109" s="433"/>
      <c r="Y109" s="433"/>
      <c r="Z109" s="433"/>
    </row>
    <row r="110" spans="2:26" ht="15.75">
      <c r="B110" s="261"/>
      <c r="C110" s="433"/>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row>
    <row r="111" spans="2:26" ht="15.75">
      <c r="B111" s="259"/>
    </row>
    <row r="112" spans="2:26">
      <c r="D112" s="479"/>
      <c r="K112" s="479"/>
      <c r="M112" s="419"/>
      <c r="N112" s="419"/>
      <c r="O112" s="419"/>
      <c r="P112" s="419"/>
      <c r="Q112" s="419"/>
      <c r="R112" s="419"/>
      <c r="W112" s="478"/>
      <c r="Y112" s="419"/>
    </row>
    <row r="113" spans="2:25">
      <c r="D113" s="464"/>
      <c r="K113" s="464"/>
      <c r="M113" s="464"/>
      <c r="N113" s="464"/>
      <c r="O113" s="464"/>
      <c r="P113" s="464"/>
      <c r="Q113" s="464"/>
      <c r="R113" s="464"/>
      <c r="W113" s="478"/>
      <c r="Y113" s="464"/>
    </row>
    <row r="114" spans="2:25">
      <c r="D114" s="464"/>
      <c r="K114" s="464"/>
      <c r="M114" s="464"/>
      <c r="N114" s="464"/>
      <c r="O114" s="464"/>
      <c r="P114" s="464"/>
      <c r="Q114" s="464"/>
      <c r="R114" s="464"/>
      <c r="W114" s="478"/>
      <c r="Y114" s="464"/>
    </row>
    <row r="115" spans="2:25">
      <c r="D115" s="464"/>
      <c r="K115" s="464"/>
      <c r="M115" s="464"/>
      <c r="N115" s="464"/>
      <c r="O115" s="464"/>
      <c r="P115" s="464"/>
      <c r="Q115" s="464"/>
      <c r="R115" s="464"/>
      <c r="W115" s="478"/>
      <c r="Y115" s="464"/>
    </row>
    <row r="116" spans="2:25">
      <c r="D116" s="464"/>
      <c r="K116" s="464"/>
      <c r="M116" s="464"/>
      <c r="N116" s="464"/>
      <c r="O116" s="464"/>
      <c r="P116" s="464"/>
      <c r="Q116" s="464"/>
      <c r="R116" s="464"/>
      <c r="W116" s="478"/>
      <c r="Y116" s="464"/>
    </row>
    <row r="117" spans="2:25">
      <c r="B117" s="445"/>
      <c r="W117" s="478"/>
    </row>
    <row r="118" spans="2:25">
      <c r="B118" s="445"/>
      <c r="D118" s="479"/>
      <c r="K118" s="479"/>
      <c r="M118" s="479"/>
      <c r="N118" s="479"/>
      <c r="O118" s="479"/>
      <c r="P118" s="479"/>
      <c r="Q118" s="479"/>
      <c r="R118" s="479"/>
      <c r="W118" s="478"/>
      <c r="Y118" s="479"/>
    </row>
    <row r="120" spans="2:25" ht="15.75">
      <c r="B120" s="259"/>
    </row>
    <row r="121" spans="2:25" ht="15.75">
      <c r="B121" s="255"/>
    </row>
    <row r="122" spans="2:25">
      <c r="D122" s="458"/>
    </row>
    <row r="123" spans="2:25">
      <c r="D123" s="424"/>
    </row>
    <row r="124" spans="2:25">
      <c r="D124" s="424"/>
    </row>
    <row r="125" spans="2:25">
      <c r="D125" s="483"/>
    </row>
    <row r="126" spans="2:25">
      <c r="D126" s="424"/>
    </row>
    <row r="127" spans="2:25">
      <c r="D127" s="424"/>
    </row>
    <row r="128" spans="2:25">
      <c r="B128" s="480"/>
      <c r="D128" s="458"/>
    </row>
    <row r="129" spans="2:11">
      <c r="B129" s="480"/>
    </row>
    <row r="130" spans="2:11" ht="15.75">
      <c r="C130" s="256"/>
    </row>
    <row r="131" spans="2:11" ht="15.75">
      <c r="B131" s="481"/>
      <c r="D131" s="416"/>
      <c r="G131" s="416"/>
      <c r="I131" s="416"/>
      <c r="K131" s="416"/>
    </row>
    <row r="132" spans="2:11">
      <c r="D132" s="416"/>
      <c r="G132" s="416"/>
      <c r="I132" s="416"/>
      <c r="K132" s="416"/>
    </row>
    <row r="133" spans="2:11">
      <c r="D133" s="458"/>
      <c r="G133" s="445"/>
      <c r="I133" s="445"/>
      <c r="K133" s="484"/>
    </row>
    <row r="134" spans="2:11">
      <c r="D134" s="458"/>
      <c r="G134" s="445"/>
      <c r="I134" s="445"/>
      <c r="K134" s="445"/>
    </row>
    <row r="135" spans="2:11">
      <c r="D135" s="458"/>
      <c r="G135" s="445"/>
      <c r="I135" s="445"/>
      <c r="K135" s="445"/>
    </row>
    <row r="136" spans="2:11">
      <c r="D136" s="458"/>
      <c r="G136" s="445"/>
      <c r="I136" s="445"/>
      <c r="K136" s="445"/>
    </row>
    <row r="137" spans="2:11">
      <c r="D137" s="458"/>
      <c r="G137" s="445"/>
      <c r="I137" s="445"/>
      <c r="K137" s="445"/>
    </row>
    <row r="138" spans="2:11">
      <c r="D138" s="458"/>
      <c r="G138" s="445"/>
      <c r="I138" s="445"/>
      <c r="K138" s="445"/>
    </row>
    <row r="139" spans="2:11">
      <c r="D139" s="458"/>
      <c r="G139" s="445"/>
      <c r="I139" s="445"/>
      <c r="K139" s="445"/>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T286"/>
  <sheetViews>
    <sheetView view="pageBreakPreview" topLeftCell="C1" zoomScale="80" zoomScaleNormal="80" zoomScaleSheetLayoutView="80" workbookViewId="0">
      <selection activeCell="C1" sqref="C1"/>
    </sheetView>
  </sheetViews>
  <sheetFormatPr defaultColWidth="8.88671875" defaultRowHeight="15"/>
  <cols>
    <col min="1" max="1" width="6" style="78" customWidth="1"/>
    <col min="2" max="2" width="1.44140625" style="78" customWidth="1"/>
    <col min="3" max="3" width="62.109375" style="78" customWidth="1"/>
    <col min="4" max="4" width="33" style="78" customWidth="1"/>
    <col min="5" max="5" width="36.77734375" style="78" bestFit="1" customWidth="1"/>
    <col min="6" max="6" width="18.109375" style="78" customWidth="1"/>
    <col min="7" max="7" width="18" style="78" customWidth="1"/>
    <col min="8" max="8" width="15.88671875" style="78" customWidth="1"/>
    <col min="9" max="10" width="12.88671875" style="78" customWidth="1"/>
    <col min="11" max="11" width="15.109375" style="78" customWidth="1"/>
    <col min="12" max="13" width="15.88671875" style="78" customWidth="1"/>
    <col min="14" max="14" width="28.88671875" style="78" customWidth="1"/>
    <col min="15" max="15" width="16.109375" style="78" customWidth="1"/>
    <col min="16" max="16" width="14.6640625" style="78" customWidth="1"/>
    <col min="17" max="17" width="15.88671875" style="78" customWidth="1"/>
    <col min="18" max="18" width="16.109375" style="78" customWidth="1"/>
    <col min="19" max="19" width="8.88671875" style="78"/>
    <col min="20" max="20" width="14.33203125" style="78" customWidth="1"/>
    <col min="21" max="16384" width="8.88671875" style="78"/>
  </cols>
  <sheetData>
    <row r="1" spans="1:20">
      <c r="O1" s="278"/>
      <c r="R1" s="278"/>
      <c r="T1" s="278" t="str">
        <f>'Attachment H-11A '!K1&amp;""&amp;", Attachment 11"</f>
        <v>Attachment H -11A, Attachment 11</v>
      </c>
    </row>
    <row r="2" spans="1:20" ht="15.75">
      <c r="G2" s="279"/>
      <c r="O2" s="278"/>
      <c r="R2" s="278"/>
      <c r="T2" s="278" t="s">
        <v>171</v>
      </c>
    </row>
    <row r="3" spans="1:20">
      <c r="O3" s="278"/>
      <c r="R3" s="278"/>
      <c r="T3" s="278" t="str">
        <f>'Attachment H-11A '!K4</f>
        <v>For the 12 months ended 12/31/2022</v>
      </c>
    </row>
    <row r="5" spans="1:20" ht="15.75">
      <c r="A5" s="1138" t="s">
        <v>565</v>
      </c>
      <c r="B5" s="1138"/>
      <c r="C5" s="1138"/>
      <c r="D5" s="1138"/>
      <c r="E5" s="1138"/>
      <c r="F5" s="1138"/>
      <c r="G5" s="1138"/>
      <c r="H5" s="1138"/>
      <c r="I5" s="1138"/>
      <c r="J5" s="1138"/>
      <c r="K5" s="1138"/>
      <c r="L5" s="1138"/>
      <c r="M5" s="1138"/>
      <c r="N5" s="1138"/>
      <c r="O5" s="1138"/>
    </row>
    <row r="6" spans="1:20">
      <c r="A6" s="1139" t="s">
        <v>901</v>
      </c>
      <c r="B6" s="1139"/>
      <c r="C6" s="1139"/>
      <c r="D6" s="1139"/>
      <c r="E6" s="1139"/>
      <c r="F6" s="1139"/>
      <c r="G6" s="1139"/>
      <c r="H6" s="1139"/>
      <c r="I6" s="1139"/>
      <c r="J6" s="1139"/>
      <c r="K6" s="1139"/>
      <c r="L6" s="1139"/>
      <c r="M6" s="1139"/>
      <c r="N6" s="1139"/>
      <c r="O6" s="1139"/>
    </row>
    <row r="7" spans="1:20">
      <c r="A7" s="1139"/>
      <c r="B7" s="1139"/>
      <c r="C7" s="1139"/>
      <c r="D7" s="1139"/>
      <c r="E7" s="1139"/>
      <c r="F7" s="1139"/>
      <c r="G7" s="1139"/>
      <c r="H7" s="1139"/>
      <c r="I7" s="1139"/>
      <c r="J7" s="1139"/>
      <c r="K7" s="1139"/>
      <c r="L7" s="1139"/>
      <c r="M7" s="291"/>
    </row>
    <row r="8" spans="1:20">
      <c r="A8" s="280"/>
      <c r="C8" s="202"/>
      <c r="D8" s="202"/>
      <c r="F8" s="202"/>
      <c r="H8" s="202"/>
      <c r="I8" s="202"/>
      <c r="J8" s="202"/>
      <c r="K8" s="202"/>
      <c r="L8" s="202"/>
      <c r="M8" s="202"/>
    </row>
    <row r="9" spans="1:20">
      <c r="A9" s="280"/>
      <c r="C9" s="202"/>
      <c r="D9" s="202"/>
      <c r="E9" s="202"/>
      <c r="F9" s="202"/>
      <c r="G9" s="281"/>
      <c r="H9" s="202"/>
      <c r="I9" s="202"/>
      <c r="J9" s="202"/>
      <c r="K9" s="202"/>
      <c r="L9" s="202"/>
      <c r="M9" s="202"/>
    </row>
    <row r="10" spans="1:20">
      <c r="A10" s="280"/>
      <c r="D10" s="202"/>
      <c r="E10" s="202"/>
      <c r="F10" s="202"/>
      <c r="G10" s="281"/>
      <c r="H10" s="202"/>
      <c r="I10" s="202"/>
      <c r="J10" s="202"/>
      <c r="K10" s="202"/>
      <c r="L10" s="202"/>
      <c r="M10" s="202"/>
    </row>
    <row r="11" spans="1:20">
      <c r="A11" s="280"/>
      <c r="C11" s="202"/>
      <c r="D11" s="202"/>
      <c r="E11" s="202"/>
      <c r="F11" s="202"/>
      <c r="G11" s="281"/>
      <c r="K11" s="1141"/>
      <c r="L11" s="1141"/>
      <c r="M11" s="1141"/>
      <c r="N11" s="1141"/>
      <c r="O11" s="1141"/>
      <c r="P11" s="1141"/>
      <c r="Q11" s="1141"/>
      <c r="R11" s="1141"/>
      <c r="S11" s="1141"/>
      <c r="T11" s="1141"/>
    </row>
    <row r="12" spans="1:20">
      <c r="A12" s="280"/>
      <c r="C12" s="202"/>
      <c r="D12" s="202"/>
      <c r="E12" s="202"/>
      <c r="F12" s="202"/>
      <c r="G12" s="202"/>
      <c r="K12" s="794"/>
      <c r="L12" s="793"/>
      <c r="M12" s="793"/>
      <c r="N12" s="794"/>
      <c r="O12" s="794"/>
      <c r="P12" s="794"/>
      <c r="Q12" s="794"/>
      <c r="R12" s="794"/>
      <c r="S12" s="794"/>
      <c r="T12" s="794"/>
    </row>
    <row r="13" spans="1:20">
      <c r="C13" s="283" t="s">
        <v>18</v>
      </c>
      <c r="D13" s="283"/>
      <c r="E13" s="283" t="s">
        <v>19</v>
      </c>
      <c r="F13" s="283"/>
      <c r="G13" s="283" t="s">
        <v>20</v>
      </c>
      <c r="I13" s="284" t="s">
        <v>21</v>
      </c>
      <c r="K13" s="795"/>
      <c r="L13" s="795"/>
      <c r="M13" s="795"/>
      <c r="N13" s="794"/>
      <c r="O13" s="794"/>
      <c r="P13" s="795"/>
      <c r="Q13" s="794"/>
      <c r="R13" s="795"/>
      <c r="S13" s="794"/>
      <c r="T13" s="795"/>
    </row>
    <row r="14" spans="1:20" ht="15.75">
      <c r="C14" s="202"/>
      <c r="D14" s="202"/>
      <c r="E14" s="285"/>
      <c r="F14" s="285"/>
      <c r="G14" s="286"/>
      <c r="K14" s="794"/>
      <c r="L14" s="794"/>
      <c r="M14" s="794"/>
      <c r="N14" s="794"/>
      <c r="O14" s="794"/>
      <c r="P14" s="794"/>
      <c r="Q14" s="794"/>
      <c r="R14" s="794"/>
      <c r="S14" s="794"/>
      <c r="T14" s="794"/>
    </row>
    <row r="15" spans="1:20" ht="15.75">
      <c r="A15" s="280" t="s">
        <v>5</v>
      </c>
      <c r="C15" s="202"/>
      <c r="D15" s="202"/>
      <c r="E15" s="287" t="s">
        <v>170</v>
      </c>
      <c r="F15" s="287"/>
      <c r="G15" s="288" t="s">
        <v>24</v>
      </c>
      <c r="I15" s="288" t="s">
        <v>10</v>
      </c>
      <c r="K15" s="806"/>
      <c r="L15" s="796"/>
      <c r="M15" s="796"/>
      <c r="N15" s="794"/>
      <c r="O15" s="794"/>
      <c r="P15" s="796"/>
      <c r="Q15" s="794"/>
      <c r="R15" s="796"/>
      <c r="S15" s="794"/>
      <c r="T15" s="796"/>
    </row>
    <row r="16" spans="1:20" ht="15.75">
      <c r="A16" s="280" t="s">
        <v>7</v>
      </c>
      <c r="C16" s="289"/>
      <c r="D16" s="289"/>
      <c r="E16" s="286"/>
      <c r="F16" s="286"/>
      <c r="G16" s="286"/>
      <c r="I16" s="286"/>
      <c r="K16" s="806"/>
      <c r="L16" s="794"/>
      <c r="M16" s="794"/>
      <c r="N16" s="794"/>
      <c r="O16" s="794"/>
      <c r="P16" s="794"/>
      <c r="Q16" s="794"/>
      <c r="R16" s="794"/>
      <c r="S16" s="794"/>
      <c r="T16" s="794"/>
    </row>
    <row r="17" spans="1:20" ht="15.75">
      <c r="A17" s="290"/>
      <c r="C17" s="202"/>
      <c r="D17" s="202"/>
      <c r="E17" s="286"/>
      <c r="F17" s="286"/>
      <c r="G17" s="286"/>
      <c r="I17" s="286"/>
      <c r="K17" s="794"/>
      <c r="L17" s="794"/>
      <c r="M17" s="794"/>
      <c r="N17" s="794"/>
      <c r="O17" s="794"/>
      <c r="P17" s="794"/>
      <c r="Q17" s="794"/>
      <c r="R17" s="794"/>
      <c r="S17" s="794"/>
      <c r="T17" s="794"/>
    </row>
    <row r="18" spans="1:20">
      <c r="A18" s="291">
        <v>1</v>
      </c>
      <c r="C18" s="202" t="s">
        <v>138</v>
      </c>
      <c r="D18" s="202"/>
      <c r="E18" s="291" t="s">
        <v>899</v>
      </c>
      <c r="F18" s="291"/>
      <c r="G18" s="292">
        <f>'Attachment H-11A '!I43</f>
        <v>571983242.21153951</v>
      </c>
      <c r="K18" s="794"/>
      <c r="L18" s="794"/>
      <c r="M18" s="794"/>
      <c r="N18" s="794"/>
      <c r="O18" s="794"/>
      <c r="P18" s="794"/>
      <c r="Q18" s="794"/>
      <c r="R18" s="794"/>
      <c r="S18" s="794"/>
      <c r="T18" s="794"/>
    </row>
    <row r="19" spans="1:20">
      <c r="A19" s="291">
        <v>2</v>
      </c>
      <c r="C19" s="202" t="s">
        <v>139</v>
      </c>
      <c r="D19" s="202"/>
      <c r="E19" s="291" t="s">
        <v>900</v>
      </c>
      <c r="F19" s="291"/>
      <c r="G19" s="292">
        <f>'Attachment H-11A '!I59</f>
        <v>368888460.2005986</v>
      </c>
      <c r="K19" s="794"/>
      <c r="L19" s="794"/>
      <c r="M19" s="794"/>
      <c r="N19" s="794"/>
      <c r="O19" s="794"/>
      <c r="P19" s="794"/>
      <c r="Q19" s="794"/>
      <c r="R19" s="794"/>
      <c r="S19" s="794"/>
      <c r="T19" s="794"/>
    </row>
    <row r="20" spans="1:20">
      <c r="A20" s="291"/>
      <c r="E20" s="291"/>
      <c r="F20" s="291"/>
      <c r="K20" s="794"/>
      <c r="L20" s="794"/>
      <c r="M20" s="794"/>
      <c r="N20" s="794"/>
      <c r="O20" s="794"/>
      <c r="P20" s="794"/>
      <c r="Q20" s="794"/>
      <c r="R20" s="794"/>
      <c r="S20" s="794"/>
      <c r="T20" s="794"/>
    </row>
    <row r="21" spans="1:20">
      <c r="A21" s="291"/>
      <c r="C21" s="202" t="s">
        <v>140</v>
      </c>
      <c r="D21" s="202"/>
      <c r="E21" s="291"/>
      <c r="F21" s="291"/>
      <c r="G21" s="286"/>
      <c r="I21" s="286"/>
      <c r="K21" s="794"/>
      <c r="L21" s="794"/>
      <c r="M21" s="794"/>
      <c r="N21" s="794"/>
      <c r="O21" s="794"/>
      <c r="P21" s="794"/>
      <c r="Q21" s="794"/>
      <c r="R21" s="794"/>
      <c r="S21" s="794"/>
      <c r="T21" s="794"/>
    </row>
    <row r="22" spans="1:20">
      <c r="A22" s="291">
        <v>3</v>
      </c>
      <c r="C22" s="202" t="s">
        <v>141</v>
      </c>
      <c r="D22" s="202"/>
      <c r="E22" s="291" t="s">
        <v>1145</v>
      </c>
      <c r="F22" s="291"/>
      <c r="G22" s="292">
        <f>'Attachment H-11A '!I123</f>
        <v>25354688.224529412</v>
      </c>
      <c r="K22" s="794"/>
      <c r="L22" s="794"/>
      <c r="M22" s="794"/>
      <c r="N22" s="794"/>
      <c r="O22" s="794"/>
      <c r="P22" s="794"/>
      <c r="Q22" s="794"/>
      <c r="R22" s="794"/>
      <c r="S22" s="794"/>
      <c r="T22" s="794"/>
    </row>
    <row r="23" spans="1:20">
      <c r="A23" s="291">
        <v>4</v>
      </c>
      <c r="C23" s="202" t="s">
        <v>142</v>
      </c>
      <c r="D23" s="202"/>
      <c r="E23" s="291" t="s">
        <v>172</v>
      </c>
      <c r="F23" s="291"/>
      <c r="G23" s="293">
        <f>IF(G22=0,0,G22/G18)</f>
        <v>4.4327676675451198E-2</v>
      </c>
      <c r="I23" s="294">
        <f>G23</f>
        <v>4.4327676675451198E-2</v>
      </c>
      <c r="K23" s="794"/>
      <c r="L23" s="794"/>
      <c r="M23" s="794"/>
      <c r="N23" s="794"/>
      <c r="O23" s="794"/>
      <c r="P23" s="794"/>
      <c r="Q23" s="794"/>
      <c r="R23" s="794"/>
      <c r="S23" s="794"/>
      <c r="T23" s="794"/>
    </row>
    <row r="24" spans="1:20">
      <c r="A24" s="291"/>
      <c r="C24" s="202"/>
      <c r="D24" s="202"/>
      <c r="E24" s="291"/>
      <c r="F24" s="291"/>
      <c r="G24" s="293"/>
      <c r="I24" s="294"/>
      <c r="K24" s="794"/>
      <c r="L24" s="794"/>
      <c r="M24" s="794"/>
      <c r="N24" s="794"/>
      <c r="O24" s="794"/>
      <c r="P24" s="794"/>
      <c r="Q24" s="794"/>
      <c r="R24" s="794"/>
      <c r="S24" s="794"/>
      <c r="T24" s="794"/>
    </row>
    <row r="25" spans="1:20">
      <c r="A25" s="291"/>
      <c r="C25" s="202" t="s">
        <v>293</v>
      </c>
      <c r="D25" s="202"/>
      <c r="E25" s="291"/>
      <c r="F25" s="291"/>
      <c r="G25" s="293"/>
      <c r="I25" s="294"/>
      <c r="K25" s="794"/>
      <c r="L25" s="794"/>
      <c r="M25" s="794"/>
      <c r="N25" s="794"/>
      <c r="O25" s="794"/>
      <c r="P25" s="794"/>
      <c r="Q25" s="794"/>
      <c r="R25" s="794"/>
      <c r="S25" s="794"/>
      <c r="T25" s="794"/>
    </row>
    <row r="26" spans="1:20">
      <c r="A26" s="291">
        <v>5</v>
      </c>
      <c r="C26" s="202" t="s">
        <v>294</v>
      </c>
      <c r="D26" s="202"/>
      <c r="E26" s="291" t="s">
        <v>1146</v>
      </c>
      <c r="F26" s="291"/>
      <c r="G26" s="292">
        <f>'Attachment H-11A '!I127+'Attachment H-11A '!I129</f>
        <v>1714220.790097408</v>
      </c>
      <c r="I26" s="294"/>
      <c r="K26" s="794"/>
      <c r="L26" s="794"/>
      <c r="M26" s="794"/>
      <c r="N26" s="794"/>
      <c r="O26" s="794"/>
      <c r="P26" s="794"/>
      <c r="Q26" s="794"/>
      <c r="R26" s="794"/>
      <c r="S26" s="794"/>
      <c r="T26" s="794"/>
    </row>
    <row r="27" spans="1:20">
      <c r="A27" s="291">
        <v>6</v>
      </c>
      <c r="C27" s="202" t="s">
        <v>295</v>
      </c>
      <c r="D27" s="202"/>
      <c r="E27" s="291" t="s">
        <v>173</v>
      </c>
      <c r="F27" s="291"/>
      <c r="G27" s="293">
        <f>G26/G18</f>
        <v>2.9969772951205253E-3</v>
      </c>
      <c r="I27" s="294">
        <f>G27</f>
        <v>2.9969772951205253E-3</v>
      </c>
      <c r="K27" s="794"/>
      <c r="L27" s="794"/>
      <c r="M27" s="794"/>
      <c r="N27" s="794"/>
      <c r="O27" s="794"/>
      <c r="P27" s="794"/>
      <c r="Q27" s="794"/>
      <c r="R27" s="794"/>
      <c r="S27" s="794"/>
      <c r="T27" s="794"/>
    </row>
    <row r="28" spans="1:20">
      <c r="A28" s="291"/>
      <c r="C28" s="202"/>
      <c r="D28" s="202"/>
      <c r="E28" s="291"/>
      <c r="F28" s="291"/>
      <c r="G28" s="293"/>
      <c r="I28" s="294"/>
      <c r="K28" s="794"/>
      <c r="L28" s="794"/>
      <c r="M28" s="794"/>
      <c r="N28" s="794"/>
      <c r="O28" s="794"/>
      <c r="P28" s="794"/>
      <c r="Q28" s="794"/>
      <c r="R28" s="794"/>
      <c r="S28" s="794"/>
      <c r="T28" s="794"/>
    </row>
    <row r="29" spans="1:20">
      <c r="A29" s="284"/>
      <c r="C29" s="202" t="s">
        <v>143</v>
      </c>
      <c r="D29" s="202"/>
      <c r="E29" s="295"/>
      <c r="F29" s="295"/>
      <c r="G29" s="286"/>
      <c r="I29" s="293"/>
      <c r="K29" s="794"/>
      <c r="L29" s="794"/>
      <c r="M29" s="794"/>
      <c r="N29" s="794"/>
      <c r="O29" s="794"/>
      <c r="P29" s="794"/>
      <c r="Q29" s="794"/>
      <c r="R29" s="794"/>
      <c r="S29" s="794"/>
      <c r="T29" s="794"/>
    </row>
    <row r="30" spans="1:20">
      <c r="A30" s="284" t="s">
        <v>147</v>
      </c>
      <c r="C30" s="202" t="s">
        <v>145</v>
      </c>
      <c r="D30" s="202"/>
      <c r="E30" s="291" t="s">
        <v>1147</v>
      </c>
      <c r="F30" s="291"/>
      <c r="G30" s="292">
        <f>'Attachment H-11A '!I141</f>
        <v>632794.28481395124</v>
      </c>
      <c r="I30" s="293"/>
      <c r="K30" s="794"/>
      <c r="L30" s="794"/>
      <c r="M30" s="794"/>
      <c r="N30" s="794"/>
      <c r="O30" s="794"/>
      <c r="P30" s="794"/>
      <c r="Q30" s="794"/>
      <c r="R30" s="794"/>
      <c r="S30" s="794"/>
      <c r="T30" s="794"/>
    </row>
    <row r="31" spans="1:20">
      <c r="A31" s="284" t="s">
        <v>150</v>
      </c>
      <c r="C31" s="202" t="s">
        <v>146</v>
      </c>
      <c r="D31" s="202"/>
      <c r="E31" s="291" t="s">
        <v>296</v>
      </c>
      <c r="F31" s="291"/>
      <c r="G31" s="293">
        <f>IF(G30=0,0,G30/G18)</f>
        <v>1.1063161262684714E-3</v>
      </c>
      <c r="I31" s="294">
        <f>G31</f>
        <v>1.1063161262684714E-3</v>
      </c>
      <c r="K31" s="794"/>
      <c r="L31" s="794"/>
      <c r="M31" s="794"/>
      <c r="N31" s="794"/>
      <c r="O31" s="794"/>
      <c r="P31" s="794"/>
      <c r="Q31" s="794"/>
      <c r="R31" s="794"/>
      <c r="S31" s="794"/>
      <c r="T31" s="794"/>
    </row>
    <row r="32" spans="1:20">
      <c r="A32" s="284"/>
      <c r="C32" s="202"/>
      <c r="D32" s="202"/>
      <c r="E32" s="291"/>
      <c r="F32" s="291"/>
      <c r="G32" s="293"/>
      <c r="I32" s="294"/>
      <c r="K32" s="794"/>
      <c r="L32" s="794"/>
      <c r="M32" s="794"/>
      <c r="N32" s="794"/>
      <c r="O32" s="794"/>
      <c r="P32" s="794"/>
      <c r="Q32" s="794"/>
      <c r="R32" s="794"/>
      <c r="S32" s="794"/>
      <c r="T32" s="794"/>
    </row>
    <row r="33" spans="1:20" ht="15.75">
      <c r="A33" s="296" t="s">
        <v>151</v>
      </c>
      <c r="B33" s="279"/>
      <c r="C33" s="289" t="s">
        <v>148</v>
      </c>
      <c r="D33" s="289"/>
      <c r="E33" s="285" t="s">
        <v>441</v>
      </c>
      <c r="F33" s="285"/>
      <c r="G33" s="297"/>
      <c r="I33" s="298">
        <f>I23+I27+I31</f>
        <v>4.8430970096840192E-2</v>
      </c>
      <c r="K33" s="794"/>
      <c r="L33" s="794"/>
      <c r="M33" s="794"/>
      <c r="N33" s="794"/>
      <c r="O33" s="794"/>
      <c r="P33" s="794"/>
      <c r="Q33" s="794"/>
      <c r="R33" s="794"/>
      <c r="S33" s="794"/>
      <c r="T33" s="794"/>
    </row>
    <row r="34" spans="1:20">
      <c r="A34" s="284"/>
      <c r="C34" s="202"/>
      <c r="D34" s="202"/>
      <c r="E34" s="291"/>
      <c r="F34" s="291"/>
      <c r="G34" s="286"/>
      <c r="I34" s="293"/>
      <c r="K34" s="794"/>
      <c r="L34" s="794"/>
      <c r="M34" s="794"/>
      <c r="N34" s="794"/>
      <c r="O34" s="794"/>
      <c r="P34" s="794"/>
      <c r="Q34" s="794"/>
      <c r="R34" s="794"/>
      <c r="S34" s="794"/>
      <c r="T34" s="794"/>
    </row>
    <row r="35" spans="1:20">
      <c r="A35" s="284"/>
      <c r="C35" s="286" t="s">
        <v>149</v>
      </c>
      <c r="D35" s="286"/>
      <c r="E35" s="291"/>
      <c r="F35" s="291"/>
      <c r="G35" s="286"/>
      <c r="I35" s="293"/>
      <c r="K35" s="795"/>
      <c r="L35" s="793"/>
      <c r="M35" s="793"/>
      <c r="N35" s="793"/>
      <c r="O35" s="793"/>
      <c r="P35" s="797"/>
      <c r="Q35" s="797"/>
      <c r="R35" s="793"/>
      <c r="S35" s="794"/>
      <c r="T35" s="799"/>
    </row>
    <row r="36" spans="1:20">
      <c r="A36" s="284" t="s">
        <v>153</v>
      </c>
      <c r="C36" s="286" t="s">
        <v>64</v>
      </c>
      <c r="D36" s="286"/>
      <c r="E36" s="291" t="s">
        <v>1148</v>
      </c>
      <c r="F36" s="291"/>
      <c r="G36" s="292">
        <f>'Attachment H-11A '!I156</f>
        <v>6134605.9290562682</v>
      </c>
      <c r="I36" s="293"/>
      <c r="K36" s="795"/>
      <c r="L36" s="793"/>
      <c r="M36" s="793"/>
      <c r="N36" s="793"/>
      <c r="O36" s="793"/>
      <c r="P36" s="797"/>
      <c r="Q36" s="797"/>
      <c r="R36" s="798"/>
      <c r="S36" s="794"/>
      <c r="T36" s="799"/>
    </row>
    <row r="37" spans="1:20">
      <c r="A37" s="284" t="s">
        <v>155</v>
      </c>
      <c r="C37" s="286" t="s">
        <v>152</v>
      </c>
      <c r="D37" s="286"/>
      <c r="E37" s="291" t="s">
        <v>526</v>
      </c>
      <c r="F37" s="291"/>
      <c r="G37" s="293">
        <f>IF(G36=0,0,G36/G19)</f>
        <v>1.6629975157586439E-2</v>
      </c>
      <c r="I37" s="294">
        <f>G37</f>
        <v>1.6629975157586439E-2</v>
      </c>
      <c r="K37" s="795"/>
      <c r="L37" s="793"/>
      <c r="M37" s="793"/>
      <c r="N37" s="793"/>
      <c r="O37" s="793"/>
      <c r="P37" s="797"/>
      <c r="Q37" s="797"/>
      <c r="R37" s="799"/>
      <c r="S37" s="794"/>
      <c r="T37" s="802"/>
    </row>
    <row r="38" spans="1:20">
      <c r="A38" s="284"/>
      <c r="C38" s="286"/>
      <c r="D38" s="286"/>
      <c r="E38" s="291"/>
      <c r="F38" s="291"/>
      <c r="G38" s="286"/>
      <c r="I38" s="293"/>
      <c r="K38" s="795"/>
      <c r="L38" s="793"/>
      <c r="M38" s="793"/>
      <c r="N38" s="793"/>
      <c r="O38" s="793"/>
      <c r="P38" s="797"/>
      <c r="Q38" s="797"/>
      <c r="R38" s="793"/>
      <c r="S38" s="794"/>
      <c r="T38" s="799"/>
    </row>
    <row r="39" spans="1:20">
      <c r="A39" s="284"/>
      <c r="C39" s="202" t="s">
        <v>65</v>
      </c>
      <c r="D39" s="202"/>
      <c r="E39" s="299"/>
      <c r="F39" s="299"/>
      <c r="I39" s="293"/>
      <c r="K39" s="795"/>
      <c r="L39" s="800"/>
      <c r="M39" s="800"/>
      <c r="N39" s="800"/>
      <c r="O39" s="800"/>
      <c r="P39" s="801"/>
      <c r="Q39" s="801"/>
      <c r="R39" s="794"/>
      <c r="S39" s="794"/>
      <c r="T39" s="799"/>
    </row>
    <row r="40" spans="1:20">
      <c r="A40" s="284" t="s">
        <v>157</v>
      </c>
      <c r="C40" s="202" t="s">
        <v>154</v>
      </c>
      <c r="D40" s="202"/>
      <c r="E40" s="291" t="s">
        <v>1149</v>
      </c>
      <c r="F40" s="291"/>
      <c r="G40" s="292">
        <f>'Attachment H-11A '!I158</f>
        <v>24074582.450473018</v>
      </c>
      <c r="I40" s="293"/>
      <c r="K40" s="795"/>
      <c r="L40" s="800"/>
      <c r="M40" s="800"/>
      <c r="N40" s="800"/>
      <c r="O40" s="800"/>
      <c r="P40" s="797"/>
      <c r="Q40" s="797"/>
      <c r="R40" s="798"/>
      <c r="S40" s="794"/>
      <c r="T40" s="799"/>
    </row>
    <row r="41" spans="1:20">
      <c r="A41" s="284" t="s">
        <v>193</v>
      </c>
      <c r="C41" s="286" t="s">
        <v>156</v>
      </c>
      <c r="D41" s="286"/>
      <c r="E41" s="291" t="s">
        <v>349</v>
      </c>
      <c r="F41" s="291"/>
      <c r="G41" s="294">
        <f>IF(G40=0,0,G40/G19)</f>
        <v>6.5262498147492742E-2</v>
      </c>
      <c r="I41" s="294">
        <f>G41</f>
        <v>6.5262498147492742E-2</v>
      </c>
      <c r="K41" s="795"/>
      <c r="L41" s="793"/>
      <c r="M41" s="793"/>
      <c r="N41" s="793"/>
      <c r="O41" s="793"/>
      <c r="P41" s="797"/>
      <c r="Q41" s="797"/>
      <c r="R41" s="802"/>
      <c r="S41" s="794"/>
      <c r="T41" s="802"/>
    </row>
    <row r="42" spans="1:20">
      <c r="A42" s="284"/>
      <c r="C42" s="202"/>
      <c r="D42" s="202"/>
      <c r="E42" s="291"/>
      <c r="F42" s="291"/>
      <c r="G42" s="286"/>
      <c r="I42" s="293"/>
      <c r="K42" s="795"/>
      <c r="L42" s="800"/>
      <c r="M42" s="800"/>
      <c r="N42" s="800"/>
      <c r="O42" s="800"/>
      <c r="P42" s="797"/>
      <c r="Q42" s="797"/>
      <c r="R42" s="793"/>
      <c r="S42" s="794"/>
      <c r="T42" s="799"/>
    </row>
    <row r="43" spans="1:20" ht="15.75">
      <c r="A43" s="296" t="s">
        <v>194</v>
      </c>
      <c r="B43" s="279"/>
      <c r="C43" s="289" t="s">
        <v>158</v>
      </c>
      <c r="D43" s="289"/>
      <c r="E43" s="285" t="s">
        <v>442</v>
      </c>
      <c r="F43" s="285"/>
      <c r="G43" s="297"/>
      <c r="I43" s="298">
        <f>I37+I41</f>
        <v>8.1892473305079178E-2</v>
      </c>
      <c r="K43" s="807"/>
      <c r="L43" s="803"/>
      <c r="M43" s="803"/>
      <c r="N43" s="803"/>
      <c r="O43" s="803"/>
      <c r="P43" s="804"/>
      <c r="Q43" s="804"/>
      <c r="R43" s="805"/>
      <c r="S43" s="794"/>
      <c r="T43" s="808"/>
    </row>
    <row r="44" spans="1:20">
      <c r="K44" s="794"/>
      <c r="L44" s="794"/>
      <c r="M44" s="794"/>
      <c r="N44" s="794"/>
      <c r="O44" s="794"/>
      <c r="P44" s="794"/>
      <c r="Q44" s="794"/>
      <c r="R44" s="794"/>
      <c r="S44" s="794"/>
      <c r="T44" s="794"/>
    </row>
    <row r="45" spans="1:20" ht="15.75">
      <c r="K45" s="807"/>
      <c r="L45" s="809"/>
      <c r="M45" s="809"/>
      <c r="N45" s="794"/>
      <c r="O45" s="794"/>
      <c r="P45" s="804"/>
      <c r="Q45" s="804"/>
      <c r="R45" s="809"/>
      <c r="S45" s="809"/>
      <c r="T45" s="810"/>
    </row>
    <row r="46" spans="1:20">
      <c r="A46" s="280"/>
      <c r="G46" s="286"/>
    </row>
    <row r="47" spans="1:20">
      <c r="O47" s="301"/>
      <c r="R47" s="301"/>
      <c r="T47" s="301" t="str">
        <f>T1</f>
        <v>Attachment H -11A, Attachment 11</v>
      </c>
    </row>
    <row r="48" spans="1:20">
      <c r="O48" s="301"/>
      <c r="R48" s="301"/>
      <c r="T48" s="301" t="s">
        <v>174</v>
      </c>
    </row>
    <row r="49" spans="1:20">
      <c r="O49" s="301"/>
      <c r="R49" s="301"/>
      <c r="T49" s="301" t="str">
        <f>'Attachment H-11A '!K4</f>
        <v>For the 12 months ended 12/31/2022</v>
      </c>
    </row>
    <row r="50" spans="1:20">
      <c r="A50" s="280"/>
      <c r="G50" s="286"/>
    </row>
    <row r="51" spans="1:20">
      <c r="A51" s="280"/>
      <c r="C51" s="202"/>
      <c r="D51" s="202"/>
    </row>
    <row r="52" spans="1:20">
      <c r="A52" s="280"/>
      <c r="C52" s="202"/>
      <c r="D52" s="202"/>
      <c r="L52" s="286"/>
      <c r="M52" s="286"/>
    </row>
    <row r="53" spans="1:20" ht="14.25" customHeight="1">
      <c r="A53" s="280"/>
    </row>
    <row r="54" spans="1:20" ht="15.75">
      <c r="A54" s="1136" t="str">
        <f>A5</f>
        <v>Transmission Enhancement Charge (TEC) Worksheet</v>
      </c>
      <c r="B54" s="1136"/>
      <c r="C54" s="1136"/>
      <c r="D54" s="1136"/>
      <c r="E54" s="1136"/>
      <c r="F54" s="1136"/>
      <c r="G54" s="1136"/>
      <c r="H54" s="1136"/>
      <c r="I54" s="1136"/>
      <c r="J54" s="1136"/>
      <c r="K54" s="1136"/>
      <c r="L54" s="1136"/>
      <c r="M54" s="1136"/>
      <c r="N54" s="1136"/>
      <c r="O54" s="1136"/>
    </row>
    <row r="55" spans="1:20">
      <c r="A55" s="1137" t="str">
        <f>A6</f>
        <v>To be completed in conjunction with Attachment H-11A</v>
      </c>
      <c r="B55" s="1137"/>
      <c r="C55" s="1137"/>
      <c r="D55" s="1137"/>
      <c r="E55" s="1137"/>
      <c r="F55" s="1137"/>
      <c r="G55" s="1137"/>
      <c r="H55" s="1137"/>
      <c r="I55" s="1137"/>
      <c r="J55" s="1137"/>
      <c r="K55" s="1137"/>
      <c r="L55" s="1137"/>
      <c r="M55" s="1137"/>
      <c r="N55" s="1137"/>
      <c r="O55" s="1137"/>
    </row>
    <row r="56" spans="1:20" ht="15.75">
      <c r="A56" s="280"/>
      <c r="E56" s="289"/>
      <c r="H56" s="202"/>
      <c r="I56" s="202"/>
      <c r="J56" s="202"/>
      <c r="K56" s="202"/>
      <c r="L56" s="202"/>
      <c r="M56" s="202"/>
    </row>
    <row r="57" spans="1:20" ht="15.75">
      <c r="A57" s="280"/>
      <c r="E57" s="289"/>
      <c r="F57" s="289"/>
      <c r="H57" s="202"/>
      <c r="I57" s="202"/>
      <c r="J57" s="202"/>
      <c r="K57" s="202"/>
      <c r="L57" s="202"/>
      <c r="M57" s="202"/>
    </row>
    <row r="58" spans="1:20" ht="15.75">
      <c r="A58" s="280"/>
      <c r="C58" s="302">
        <v>-1</v>
      </c>
      <c r="D58" s="302">
        <v>-2</v>
      </c>
      <c r="E58" s="302">
        <v>-3</v>
      </c>
      <c r="F58" s="302">
        <v>-4</v>
      </c>
      <c r="G58" s="302">
        <v>-5</v>
      </c>
      <c r="H58" s="302">
        <v>-6</v>
      </c>
      <c r="I58" s="302">
        <v>-7</v>
      </c>
      <c r="J58" s="302">
        <v>-8</v>
      </c>
      <c r="K58" s="302">
        <v>-9</v>
      </c>
      <c r="L58" s="302">
        <v>-10</v>
      </c>
      <c r="M58" s="302">
        <v>-11</v>
      </c>
      <c r="N58" s="302">
        <v>-12</v>
      </c>
      <c r="O58" s="302">
        <v>-13</v>
      </c>
      <c r="P58" s="302">
        <v>-14</v>
      </c>
      <c r="Q58" s="302">
        <v>-15</v>
      </c>
      <c r="R58" s="302"/>
    </row>
    <row r="59" spans="1:20" ht="68.099999999999994" customHeight="1">
      <c r="A59" s="303" t="s">
        <v>159</v>
      </c>
      <c r="B59" s="304"/>
      <c r="C59" s="305" t="s">
        <v>160</v>
      </c>
      <c r="D59" s="306" t="s">
        <v>175</v>
      </c>
      <c r="E59" s="307" t="s">
        <v>255</v>
      </c>
      <c r="F59" s="307" t="s">
        <v>148</v>
      </c>
      <c r="G59" s="308" t="s">
        <v>161</v>
      </c>
      <c r="H59" s="307" t="s">
        <v>162</v>
      </c>
      <c r="I59" s="307" t="s">
        <v>158</v>
      </c>
      <c r="J59" s="308" t="s">
        <v>163</v>
      </c>
      <c r="K59" s="307" t="s">
        <v>164</v>
      </c>
      <c r="L59" s="309" t="s">
        <v>297</v>
      </c>
      <c r="M59" s="309" t="s">
        <v>769</v>
      </c>
      <c r="N59" s="309" t="s">
        <v>451</v>
      </c>
      <c r="O59" s="309" t="s">
        <v>423</v>
      </c>
      <c r="P59" s="309" t="s">
        <v>233</v>
      </c>
      <c r="Q59" s="309" t="s">
        <v>424</v>
      </c>
    </row>
    <row r="60" spans="1:20" ht="75" customHeight="1">
      <c r="A60" s="695">
        <v>1</v>
      </c>
      <c r="B60" s="311"/>
      <c r="C60" s="311"/>
      <c r="D60" s="311"/>
      <c r="E60" s="312" t="s">
        <v>449</v>
      </c>
      <c r="F60" s="312" t="s">
        <v>447</v>
      </c>
      <c r="G60" s="313" t="s">
        <v>165</v>
      </c>
      <c r="H60" s="312" t="s">
        <v>450</v>
      </c>
      <c r="I60" s="334" t="s">
        <v>448</v>
      </c>
      <c r="J60" s="313" t="s">
        <v>166</v>
      </c>
      <c r="K60" s="312" t="s">
        <v>131</v>
      </c>
      <c r="L60" s="314" t="s">
        <v>298</v>
      </c>
      <c r="M60" s="314" t="s">
        <v>539</v>
      </c>
      <c r="N60" s="881" t="s">
        <v>902</v>
      </c>
      <c r="O60" s="314" t="s">
        <v>767</v>
      </c>
      <c r="P60" s="314" t="s">
        <v>309</v>
      </c>
      <c r="Q60" s="314" t="s">
        <v>768</v>
      </c>
    </row>
    <row r="61" spans="1:20">
      <c r="A61" s="315"/>
      <c r="B61" s="202"/>
      <c r="C61" s="283"/>
      <c r="D61" s="202"/>
      <c r="E61" s="202"/>
      <c r="F61" s="202"/>
      <c r="G61" s="316"/>
      <c r="H61" s="202"/>
      <c r="I61" s="202"/>
      <c r="J61" s="316"/>
      <c r="K61" s="202"/>
      <c r="L61" s="316"/>
      <c r="M61" s="316"/>
      <c r="N61" s="316"/>
      <c r="O61" s="316"/>
      <c r="P61" s="316"/>
      <c r="Q61" s="316"/>
    </row>
    <row r="62" spans="1:20" ht="30">
      <c r="A62" s="393" t="s">
        <v>464</v>
      </c>
      <c r="B62" s="295"/>
      <c r="C62" s="396" t="s">
        <v>1329</v>
      </c>
      <c r="D62" s="394" t="s">
        <v>1330</v>
      </c>
      <c r="E62" s="292">
        <f>'Attach 11a - TEC Cost Support'!E10</f>
        <v>432714.25999999983</v>
      </c>
      <c r="F62" s="294">
        <f>$I$33</f>
        <v>4.8430970096840192E-2</v>
      </c>
      <c r="G62" s="317">
        <f>E62*F62</f>
        <v>20956.771386536326</v>
      </c>
      <c r="H62" s="292">
        <f>'Attach 11a - TEC Cost Support'!AI10</f>
        <v>345070.59665349987</v>
      </c>
      <c r="I62" s="294">
        <f>$I$43</f>
        <v>8.1892473305079178E-2</v>
      </c>
      <c r="J62" s="317">
        <f>H62*I62</f>
        <v>28258.684624814483</v>
      </c>
      <c r="K62" s="318">
        <v>9545.3022309999997</v>
      </c>
      <c r="L62" s="319">
        <f t="shared" ref="L62:L67" si="0">G62+J62+K62</f>
        <v>58760.758242350807</v>
      </c>
      <c r="M62" s="812"/>
      <c r="N62" s="811">
        <f>H62*'Attachment H-11A '!$I$234*(M62/100)</f>
        <v>0</v>
      </c>
      <c r="O62" s="319">
        <f>L62+N62</f>
        <v>58760.758242350807</v>
      </c>
      <c r="P62" s="320"/>
      <c r="Q62" s="319">
        <f>O62+P62</f>
        <v>58760.758242350807</v>
      </c>
    </row>
    <row r="63" spans="1:20">
      <c r="A63" s="393" t="s">
        <v>465</v>
      </c>
      <c r="B63" s="295"/>
      <c r="C63" s="396" t="s">
        <v>1331</v>
      </c>
      <c r="D63" s="394" t="s">
        <v>1332</v>
      </c>
      <c r="E63" s="292">
        <f>'Attach 11a - TEC Cost Support'!E11</f>
        <v>553608.6100000001</v>
      </c>
      <c r="F63" s="294">
        <f>$I$33</f>
        <v>4.8430970096840192E-2</v>
      </c>
      <c r="G63" s="317">
        <f>E63*F63</f>
        <v>26811.802036263271</v>
      </c>
      <c r="H63" s="292">
        <f>'Attach 11a - TEC Cost Support'!AI11</f>
        <v>495134.33740050008</v>
      </c>
      <c r="I63" s="294">
        <f>$I$43</f>
        <v>8.1892473305079178E-2</v>
      </c>
      <c r="J63" s="317">
        <f>H63*I63</f>
        <v>40547.775507998522</v>
      </c>
      <c r="K63" s="318">
        <v>8470.2117330000019</v>
      </c>
      <c r="L63" s="319">
        <f t="shared" si="0"/>
        <v>75829.789277261792</v>
      </c>
      <c r="M63" s="812"/>
      <c r="N63" s="811">
        <f>H63*'Attachment H-11A '!$I$234*(M63/100)</f>
        <v>0</v>
      </c>
      <c r="O63" s="319">
        <f t="shared" ref="O63" si="1">L63+N63</f>
        <v>75829.789277261792</v>
      </c>
      <c r="P63" s="320"/>
      <c r="Q63" s="319">
        <f t="shared" ref="Q63:Q67" si="2">O63+P63</f>
        <v>75829.789277261792</v>
      </c>
    </row>
    <row r="64" spans="1:20" ht="30">
      <c r="A64" s="393" t="s">
        <v>466</v>
      </c>
      <c r="B64" s="295"/>
      <c r="C64" s="396" t="s">
        <v>1333</v>
      </c>
      <c r="D64" s="394" t="s">
        <v>1334</v>
      </c>
      <c r="E64" s="292">
        <f>'Attach 11a - TEC Cost Support'!E12</f>
        <v>101276419.75692306</v>
      </c>
      <c r="F64" s="294">
        <f t="shared" ref="F64:F67" si="3">$I$33</f>
        <v>4.8430970096840192E-2</v>
      </c>
      <c r="G64" s="317">
        <f t="shared" ref="G64:G67" si="4">E64*F64</f>
        <v>4904915.2567625763</v>
      </c>
      <c r="H64" s="292">
        <f>'Attach 11a - TEC Cost Support'!AI12</f>
        <v>100407861.0040762</v>
      </c>
      <c r="I64" s="294">
        <f t="shared" ref="I64:I67" si="5">$I$43</f>
        <v>8.1892473305079178E-2</v>
      </c>
      <c r="J64" s="317">
        <f t="shared" ref="J64:J67" si="6">H64*I64</f>
        <v>8222648.0768964104</v>
      </c>
      <c r="K64" s="318">
        <v>1567130.2196485484</v>
      </c>
      <c r="L64" s="319">
        <f t="shared" si="0"/>
        <v>14694693.553307533</v>
      </c>
      <c r="M64" s="812"/>
      <c r="N64" s="811">
        <f>H64*'Attachment H-11A '!$I$234*(M64/100)</f>
        <v>0</v>
      </c>
      <c r="O64" s="319">
        <f t="shared" ref="O64:O67" si="7">L64+N64</f>
        <v>14694693.553307533</v>
      </c>
      <c r="P64" s="320"/>
      <c r="Q64" s="319">
        <f t="shared" si="2"/>
        <v>14694693.553307533</v>
      </c>
    </row>
    <row r="65" spans="1:17" ht="30">
      <c r="A65" s="393" t="s">
        <v>509</v>
      </c>
      <c r="C65" s="396" t="s">
        <v>1335</v>
      </c>
      <c r="D65" s="394" t="s">
        <v>1336</v>
      </c>
      <c r="E65" s="292">
        <f>'Attach 11a - TEC Cost Support'!E13</f>
        <v>784071.30538461544</v>
      </c>
      <c r="F65" s="294">
        <f t="shared" si="3"/>
        <v>4.8430970096840192E-2</v>
      </c>
      <c r="G65" s="317">
        <f t="shared" si="4"/>
        <v>37973.333944872764</v>
      </c>
      <c r="H65" s="292">
        <f>'Attach 11a - TEC Cost Support'!AI13</f>
        <v>769614.73714349046</v>
      </c>
      <c r="I65" s="294">
        <f t="shared" si="5"/>
        <v>8.1892473305079178E-2</v>
      </c>
      <c r="J65" s="317">
        <f t="shared" si="6"/>
        <v>63025.654316718821</v>
      </c>
      <c r="K65" s="318">
        <v>11996.293427250002</v>
      </c>
      <c r="L65" s="319">
        <f t="shared" si="0"/>
        <v>112995.28168884158</v>
      </c>
      <c r="M65" s="812"/>
      <c r="N65" s="811">
        <f>H65*'Attachment H-11A '!$I$234*(M65/100)</f>
        <v>0</v>
      </c>
      <c r="O65" s="319">
        <f t="shared" si="7"/>
        <v>112995.28168884158</v>
      </c>
      <c r="P65" s="320"/>
      <c r="Q65" s="319">
        <f t="shared" si="2"/>
        <v>112995.28168884158</v>
      </c>
    </row>
    <row r="66" spans="1:17" ht="30">
      <c r="A66" s="393" t="s">
        <v>764</v>
      </c>
      <c r="C66" s="396" t="s">
        <v>1337</v>
      </c>
      <c r="D66" s="394" t="s">
        <v>1338</v>
      </c>
      <c r="E66" s="292">
        <f>'Attach 11a - TEC Cost Support'!E14</f>
        <v>954194.59692307678</v>
      </c>
      <c r="F66" s="294">
        <f t="shared" si="3"/>
        <v>4.8430970096840192E-2</v>
      </c>
      <c r="G66" s="317">
        <f t="shared" si="4"/>
        <v>46212.569990148011</v>
      </c>
      <c r="H66" s="292">
        <f>'Attach 11a - TEC Cost Support'!AI14</f>
        <v>936526.81911296141</v>
      </c>
      <c r="I66" s="294">
        <f t="shared" si="5"/>
        <v>8.1892473305079178E-2</v>
      </c>
      <c r="J66" s="317">
        <f t="shared" si="6"/>
        <v>76694.497533698901</v>
      </c>
      <c r="K66" s="318">
        <v>14599.184092875001</v>
      </c>
      <c r="L66" s="319">
        <f t="shared" si="0"/>
        <v>137506.25161672191</v>
      </c>
      <c r="M66" s="812"/>
      <c r="N66" s="811">
        <f>H66*'Attachment H-11A '!$I$234*(M66/100)</f>
        <v>0</v>
      </c>
      <c r="O66" s="319">
        <f t="shared" si="7"/>
        <v>137506.25161672191</v>
      </c>
      <c r="P66" s="320"/>
      <c r="Q66" s="319">
        <f t="shared" si="2"/>
        <v>137506.25161672191</v>
      </c>
    </row>
    <row r="67" spans="1:17" ht="30">
      <c r="A67" s="393" t="s">
        <v>765</v>
      </c>
      <c r="C67" s="396" t="s">
        <v>1339</v>
      </c>
      <c r="D67" s="394" t="s">
        <v>1340</v>
      </c>
      <c r="E67" s="292">
        <f>'Attach 11a - TEC Cost Support'!E15</f>
        <v>9923463.046923073</v>
      </c>
      <c r="F67" s="294">
        <f t="shared" si="3"/>
        <v>4.8430970096840192E-2</v>
      </c>
      <c r="G67" s="317">
        <f t="shared" si="4"/>
        <v>480602.94208263</v>
      </c>
      <c r="H67" s="292">
        <f>'Attach 11a - TEC Cost Support'!AI15</f>
        <v>9560490.5774952341</v>
      </c>
      <c r="I67" s="294">
        <f t="shared" si="5"/>
        <v>8.1892473305079178E-2</v>
      </c>
      <c r="J67" s="317">
        <f t="shared" si="6"/>
        <v>782932.21940098947</v>
      </c>
      <c r="K67" s="318">
        <v>189680.38465005689</v>
      </c>
      <c r="L67" s="319">
        <f t="shared" si="0"/>
        <v>1453215.5461336763</v>
      </c>
      <c r="M67" s="812"/>
      <c r="N67" s="811">
        <f>H67*'Attachment H-11A '!$I$234*(M67/100)</f>
        <v>0</v>
      </c>
      <c r="O67" s="319">
        <f t="shared" si="7"/>
        <v>1453215.5461336763</v>
      </c>
      <c r="P67" s="320"/>
      <c r="Q67" s="319">
        <f t="shared" si="2"/>
        <v>1453215.5461336763</v>
      </c>
    </row>
    <row r="68" spans="1:17">
      <c r="A68" s="282"/>
      <c r="C68" s="187"/>
      <c r="D68" s="187"/>
      <c r="E68" s="187"/>
      <c r="F68" s="187"/>
      <c r="G68" s="321"/>
      <c r="H68" s="187"/>
      <c r="I68" s="187"/>
      <c r="J68" s="321"/>
      <c r="K68" s="187"/>
      <c r="L68" s="321"/>
      <c r="M68" s="321"/>
      <c r="N68" s="321"/>
      <c r="O68" s="321"/>
      <c r="P68" s="321"/>
      <c r="Q68" s="321"/>
    </row>
    <row r="69" spans="1:17">
      <c r="A69" s="282"/>
      <c r="C69" s="187"/>
      <c r="D69" s="187"/>
      <c r="E69" s="187"/>
      <c r="F69" s="187"/>
      <c r="G69" s="321"/>
      <c r="H69" s="187"/>
      <c r="I69" s="187"/>
      <c r="J69" s="321"/>
      <c r="K69" s="187"/>
      <c r="L69" s="321"/>
      <c r="M69" s="321"/>
      <c r="N69" s="321"/>
      <c r="O69" s="321"/>
      <c r="P69" s="321"/>
      <c r="Q69" s="321"/>
    </row>
    <row r="70" spans="1:17">
      <c r="A70" s="282"/>
      <c r="C70" s="187"/>
      <c r="D70" s="187"/>
      <c r="E70" s="187"/>
      <c r="F70" s="187"/>
      <c r="G70" s="321"/>
      <c r="H70" s="187"/>
      <c r="I70" s="187"/>
      <c r="J70" s="321"/>
      <c r="K70" s="187"/>
      <c r="L70" s="321"/>
      <c r="M70" s="321"/>
      <c r="N70" s="321"/>
      <c r="O70" s="321"/>
      <c r="P70" s="321"/>
      <c r="Q70" s="321"/>
    </row>
    <row r="71" spans="1:17">
      <c r="A71" s="282"/>
      <c r="C71" s="187"/>
      <c r="D71" s="187"/>
      <c r="E71" s="187"/>
      <c r="F71" s="187"/>
      <c r="G71" s="321"/>
      <c r="H71" s="187"/>
      <c r="I71" s="187"/>
      <c r="J71" s="321"/>
      <c r="K71" s="187"/>
      <c r="L71" s="321"/>
      <c r="M71" s="321"/>
      <c r="N71" s="321"/>
      <c r="O71" s="321"/>
      <c r="P71" s="321"/>
      <c r="Q71" s="321"/>
    </row>
    <row r="72" spans="1:17">
      <c r="A72" s="282"/>
      <c r="C72" s="187"/>
      <c r="D72" s="187"/>
      <c r="E72" s="187"/>
      <c r="F72" s="187"/>
      <c r="G72" s="321"/>
      <c r="H72" s="187"/>
      <c r="I72" s="187"/>
      <c r="J72" s="321"/>
      <c r="K72" s="187"/>
      <c r="L72" s="321"/>
      <c r="M72" s="321"/>
      <c r="N72" s="321"/>
      <c r="O72" s="321"/>
      <c r="P72" s="321"/>
      <c r="Q72" s="321"/>
    </row>
    <row r="73" spans="1:17">
      <c r="A73" s="282"/>
      <c r="C73" s="187"/>
      <c r="D73" s="187"/>
      <c r="E73" s="187"/>
      <c r="F73" s="187"/>
      <c r="G73" s="321"/>
      <c r="H73" s="187"/>
      <c r="I73" s="187"/>
      <c r="J73" s="321"/>
      <c r="K73" s="187"/>
      <c r="L73" s="321"/>
      <c r="M73" s="321"/>
      <c r="N73" s="321"/>
      <c r="O73" s="321"/>
      <c r="P73" s="321"/>
      <c r="Q73" s="321"/>
    </row>
    <row r="74" spans="1:17">
      <c r="A74" s="282"/>
      <c r="C74" s="187"/>
      <c r="D74" s="187"/>
      <c r="E74" s="187"/>
      <c r="F74" s="187"/>
      <c r="G74" s="321"/>
      <c r="H74" s="187"/>
      <c r="I74" s="187"/>
      <c r="J74" s="321"/>
      <c r="K74" s="187"/>
      <c r="L74" s="321"/>
      <c r="M74" s="321"/>
      <c r="N74" s="321"/>
      <c r="O74" s="321"/>
      <c r="P74" s="321"/>
      <c r="Q74" s="321"/>
    </row>
    <row r="75" spans="1:17">
      <c r="A75" s="282"/>
      <c r="C75" s="187"/>
      <c r="D75" s="187"/>
      <c r="E75" s="187"/>
      <c r="F75" s="187"/>
      <c r="G75" s="321"/>
      <c r="H75" s="187"/>
      <c r="I75" s="187"/>
      <c r="J75" s="321"/>
      <c r="K75" s="187"/>
      <c r="L75" s="321"/>
      <c r="M75" s="321"/>
      <c r="N75" s="321"/>
      <c r="O75" s="321"/>
      <c r="P75" s="321"/>
      <c r="Q75" s="321"/>
    </row>
    <row r="76" spans="1:17">
      <c r="A76" s="282"/>
      <c r="C76" s="187"/>
      <c r="D76" s="187"/>
      <c r="E76" s="187"/>
      <c r="F76" s="187"/>
      <c r="G76" s="321"/>
      <c r="H76" s="187"/>
      <c r="I76" s="187"/>
      <c r="J76" s="321"/>
      <c r="K76" s="187"/>
      <c r="L76" s="321"/>
      <c r="M76" s="321"/>
      <c r="N76" s="321"/>
      <c r="O76" s="321"/>
      <c r="P76" s="321"/>
      <c r="Q76" s="321"/>
    </row>
    <row r="77" spans="1:17">
      <c r="A77" s="322"/>
      <c r="B77" s="300"/>
      <c r="C77" s="323"/>
      <c r="D77" s="323"/>
      <c r="E77" s="323"/>
      <c r="F77" s="323"/>
      <c r="G77" s="324"/>
      <c r="H77" s="323"/>
      <c r="I77" s="323"/>
      <c r="J77" s="324"/>
      <c r="K77" s="323"/>
      <c r="L77" s="324"/>
      <c r="M77" s="324"/>
      <c r="N77" s="324"/>
      <c r="O77" s="324"/>
      <c r="P77" s="324"/>
      <c r="Q77" s="324"/>
    </row>
    <row r="78" spans="1:17">
      <c r="A78" s="284" t="s">
        <v>191</v>
      </c>
      <c r="C78" s="78" t="s">
        <v>1141</v>
      </c>
      <c r="D78" s="202"/>
      <c r="E78" s="295"/>
      <c r="F78" s="295"/>
      <c r="G78" s="286"/>
      <c r="H78" s="286"/>
      <c r="I78" s="286"/>
      <c r="J78" s="286"/>
      <c r="K78" s="286"/>
      <c r="L78" s="325"/>
      <c r="M78" s="325"/>
      <c r="N78" s="325"/>
      <c r="O78" s="673">
        <f>SUM(O62:O77)</f>
        <v>16533001.180266386</v>
      </c>
      <c r="P78" s="292"/>
      <c r="Q78" s="325"/>
    </row>
    <row r="79" spans="1:17">
      <c r="A79" s="326" t="s">
        <v>192</v>
      </c>
      <c r="B79" s="187"/>
      <c r="C79" s="78" t="s">
        <v>1142</v>
      </c>
      <c r="D79" s="187"/>
      <c r="E79" s="187"/>
      <c r="F79" s="187"/>
      <c r="G79" s="187"/>
      <c r="H79" s="187"/>
      <c r="I79" s="187"/>
      <c r="J79" s="187"/>
      <c r="K79" s="187"/>
      <c r="L79" s="187"/>
      <c r="M79" s="187"/>
      <c r="N79" s="78">
        <f>SUM(N62:N77)</f>
        <v>0</v>
      </c>
      <c r="O79" s="187"/>
      <c r="P79" s="187"/>
    </row>
    <row r="80" spans="1:17">
      <c r="A80" s="187"/>
      <c r="B80" s="187"/>
      <c r="C80" s="187"/>
      <c r="D80" s="187"/>
      <c r="E80" s="187"/>
      <c r="F80" s="187"/>
      <c r="G80" s="187"/>
      <c r="H80" s="187"/>
      <c r="I80" s="187"/>
      <c r="J80" s="187"/>
      <c r="K80" s="187"/>
      <c r="L80" s="187"/>
      <c r="M80" s="187"/>
      <c r="N80" s="187"/>
      <c r="O80" s="187"/>
      <c r="P80" s="187"/>
    </row>
    <row r="81" spans="1:13">
      <c r="A81" s="327" t="s">
        <v>176</v>
      </c>
      <c r="B81" s="187"/>
      <c r="C81" s="187"/>
      <c r="D81" s="187"/>
      <c r="E81" s="187"/>
      <c r="F81" s="187"/>
      <c r="G81" s="187"/>
      <c r="H81" s="187"/>
      <c r="I81" s="187"/>
      <c r="J81" s="187"/>
      <c r="K81" s="187"/>
      <c r="L81" s="187"/>
      <c r="M81" s="187"/>
    </row>
    <row r="82" spans="1:13">
      <c r="A82" s="295" t="s">
        <v>101</v>
      </c>
      <c r="C82" s="1135" t="s">
        <v>903</v>
      </c>
      <c r="D82" s="1135"/>
      <c r="E82" s="1135"/>
      <c r="F82" s="1135"/>
      <c r="G82" s="1135"/>
      <c r="H82" s="1135"/>
      <c r="I82" s="1135"/>
      <c r="J82" s="1135"/>
      <c r="K82" s="1135"/>
      <c r="L82" s="1135"/>
      <c r="M82" s="762"/>
    </row>
    <row r="83" spans="1:13">
      <c r="A83" s="295" t="s">
        <v>102</v>
      </c>
      <c r="C83" s="1135" t="s">
        <v>904</v>
      </c>
      <c r="D83" s="1135"/>
      <c r="E83" s="1135"/>
      <c r="F83" s="1135"/>
      <c r="G83" s="1135"/>
      <c r="H83" s="1135"/>
      <c r="I83" s="1135"/>
      <c r="J83" s="1135"/>
      <c r="K83" s="1135"/>
      <c r="L83" s="1135"/>
      <c r="M83" s="762"/>
    </row>
    <row r="84" spans="1:13" ht="15" customHeight="1">
      <c r="A84" s="328" t="s">
        <v>103</v>
      </c>
      <c r="C84" s="1140" t="s">
        <v>178</v>
      </c>
      <c r="D84" s="1140"/>
      <c r="E84" s="1140"/>
      <c r="F84" s="1140"/>
      <c r="G84" s="1140"/>
      <c r="H84" s="1140"/>
      <c r="I84" s="1140"/>
      <c r="J84" s="1140"/>
      <c r="K84" s="1140"/>
      <c r="L84" s="1140"/>
      <c r="M84" s="763"/>
    </row>
    <row r="85" spans="1:13">
      <c r="A85" s="328" t="s">
        <v>104</v>
      </c>
      <c r="C85" s="1140" t="s">
        <v>167</v>
      </c>
      <c r="D85" s="1140"/>
      <c r="E85" s="1140"/>
      <c r="F85" s="1140"/>
      <c r="G85" s="1140"/>
      <c r="H85" s="1140"/>
      <c r="I85" s="1140"/>
      <c r="J85" s="1140"/>
      <c r="K85" s="1140"/>
      <c r="L85" s="1140"/>
      <c r="M85" s="763"/>
    </row>
    <row r="86" spans="1:13">
      <c r="A86" s="295" t="s">
        <v>105</v>
      </c>
      <c r="C86" s="1135" t="s">
        <v>1143</v>
      </c>
      <c r="D86" s="1135"/>
      <c r="E86" s="1135"/>
      <c r="F86" s="1135"/>
      <c r="G86" s="1135"/>
      <c r="H86" s="1135"/>
      <c r="I86" s="1135"/>
      <c r="J86" s="1135"/>
      <c r="K86" s="1135"/>
      <c r="L86" s="1135"/>
      <c r="M86" s="762"/>
    </row>
    <row r="87" spans="1:13">
      <c r="A87" s="295" t="s">
        <v>106</v>
      </c>
      <c r="C87" s="78" t="s">
        <v>913</v>
      </c>
    </row>
    <row r="88" spans="1:13">
      <c r="A88" s="295" t="s">
        <v>107</v>
      </c>
      <c r="C88" s="78" t="s">
        <v>908</v>
      </c>
    </row>
    <row r="89" spans="1:13">
      <c r="A89" s="295" t="s">
        <v>109</v>
      </c>
      <c r="C89" s="78" t="s">
        <v>348</v>
      </c>
      <c r="D89" s="284"/>
      <c r="E89" s="295"/>
      <c r="F89" s="295"/>
      <c r="G89" s="286"/>
      <c r="J89" s="330"/>
    </row>
    <row r="90" spans="1:13">
      <c r="A90" s="284"/>
      <c r="C90" s="347"/>
      <c r="D90" s="284"/>
      <c r="E90" s="295"/>
      <c r="F90" s="295"/>
      <c r="G90" s="286"/>
      <c r="J90" s="330"/>
    </row>
    <row r="91" spans="1:13">
      <c r="C91" s="187"/>
      <c r="D91" s="187"/>
      <c r="E91" s="187"/>
      <c r="F91" s="187"/>
      <c r="G91" s="187"/>
      <c r="H91" s="187"/>
      <c r="I91" s="187"/>
      <c r="J91" s="187"/>
      <c r="K91" s="187"/>
      <c r="L91" s="187"/>
      <c r="M91" s="187"/>
    </row>
    <row r="92" spans="1:13">
      <c r="C92" s="187"/>
      <c r="D92" s="187"/>
      <c r="E92" s="187"/>
      <c r="F92" s="187"/>
      <c r="G92" s="187"/>
      <c r="H92" s="187"/>
      <c r="I92" s="187"/>
      <c r="J92" s="187"/>
      <c r="K92" s="187"/>
      <c r="L92" s="187"/>
      <c r="M92" s="187"/>
    </row>
    <row r="93" spans="1:13">
      <c r="C93" s="187"/>
      <c r="D93" s="187"/>
      <c r="E93" s="187"/>
      <c r="F93" s="187"/>
      <c r="G93" s="187"/>
      <c r="H93" s="187"/>
      <c r="I93" s="187"/>
      <c r="J93" s="187"/>
      <c r="K93" s="187"/>
      <c r="L93" s="187"/>
      <c r="M93" s="187"/>
    </row>
    <row r="94" spans="1:13">
      <c r="C94" s="187"/>
      <c r="D94" s="187"/>
      <c r="E94" s="187"/>
      <c r="F94" s="187"/>
      <c r="G94" s="187"/>
      <c r="H94" s="187"/>
      <c r="I94" s="187"/>
      <c r="J94" s="187"/>
      <c r="K94" s="187"/>
      <c r="L94" s="187"/>
      <c r="M94" s="187"/>
    </row>
    <row r="95" spans="1:13">
      <c r="C95" s="187"/>
      <c r="D95" s="187"/>
      <c r="E95" s="187"/>
      <c r="F95" s="187"/>
      <c r="G95" s="187"/>
      <c r="H95" s="187"/>
      <c r="I95" s="187"/>
      <c r="J95" s="187"/>
      <c r="K95" s="187"/>
      <c r="L95" s="187"/>
      <c r="M95" s="187"/>
    </row>
    <row r="96" spans="1:13">
      <c r="C96" s="187"/>
      <c r="D96" s="187"/>
      <c r="E96" s="187"/>
      <c r="F96" s="187"/>
      <c r="G96" s="187"/>
      <c r="H96" s="187"/>
      <c r="I96" s="187"/>
      <c r="J96" s="187"/>
      <c r="K96" s="187"/>
      <c r="L96" s="187"/>
      <c r="M96" s="187"/>
    </row>
    <row r="97" spans="3:13">
      <c r="C97" s="187"/>
      <c r="D97" s="187"/>
      <c r="E97" s="187"/>
      <c r="F97" s="187"/>
      <c r="G97" s="187"/>
      <c r="H97" s="187"/>
      <c r="I97" s="187"/>
      <c r="J97" s="187"/>
      <c r="K97" s="187"/>
      <c r="L97" s="187"/>
      <c r="M97" s="187"/>
    </row>
    <row r="98" spans="3:13">
      <c r="C98" s="187"/>
      <c r="D98" s="187"/>
      <c r="E98" s="187"/>
      <c r="F98" s="187"/>
      <c r="G98" s="187"/>
      <c r="H98" s="187"/>
      <c r="I98" s="187"/>
      <c r="J98" s="187"/>
      <c r="K98" s="187"/>
      <c r="L98" s="187"/>
      <c r="M98" s="187"/>
    </row>
    <row r="99" spans="3:13">
      <c r="C99" s="187"/>
      <c r="D99" s="187"/>
      <c r="E99" s="187"/>
      <c r="F99" s="187"/>
      <c r="G99" s="187"/>
      <c r="H99" s="187"/>
      <c r="I99" s="187"/>
      <c r="J99" s="187"/>
      <c r="K99" s="187"/>
      <c r="L99" s="187"/>
      <c r="M99" s="187"/>
    </row>
    <row r="100" spans="3:13">
      <c r="C100" s="187"/>
      <c r="D100" s="187"/>
      <c r="E100" s="187"/>
      <c r="F100" s="187"/>
      <c r="G100" s="187"/>
      <c r="H100" s="187"/>
      <c r="I100" s="187"/>
      <c r="J100" s="187"/>
      <c r="K100" s="187"/>
      <c r="L100" s="187"/>
      <c r="M100" s="187"/>
    </row>
    <row r="101" spans="3:13">
      <c r="C101" s="187"/>
      <c r="D101" s="187"/>
      <c r="E101" s="187"/>
      <c r="F101" s="187"/>
      <c r="G101" s="187"/>
      <c r="H101" s="187"/>
      <c r="I101" s="187"/>
      <c r="J101" s="187"/>
      <c r="K101" s="187"/>
      <c r="L101" s="187"/>
      <c r="M101" s="187"/>
    </row>
    <row r="102" spans="3:13">
      <c r="C102" s="187"/>
      <c r="D102" s="187"/>
      <c r="E102" s="187"/>
      <c r="F102" s="187"/>
      <c r="G102" s="187"/>
      <c r="H102" s="187"/>
      <c r="I102" s="187"/>
      <c r="J102" s="187"/>
      <c r="K102" s="187"/>
      <c r="L102" s="187"/>
      <c r="M102" s="187"/>
    </row>
    <row r="103" spans="3:13">
      <c r="C103" s="187"/>
      <c r="D103" s="187"/>
      <c r="E103" s="187"/>
      <c r="F103" s="187"/>
      <c r="G103" s="187"/>
      <c r="H103" s="187"/>
      <c r="I103" s="187"/>
      <c r="J103" s="187"/>
      <c r="K103" s="187"/>
      <c r="L103" s="187"/>
      <c r="M103" s="187"/>
    </row>
    <row r="104" spans="3:13">
      <c r="C104" s="187"/>
      <c r="D104" s="187"/>
      <c r="E104" s="187"/>
      <c r="F104" s="187"/>
      <c r="G104" s="187"/>
      <c r="H104" s="187"/>
      <c r="I104" s="187"/>
      <c r="J104" s="187"/>
      <c r="K104" s="187"/>
      <c r="L104" s="187"/>
      <c r="M104" s="187"/>
    </row>
    <row r="105" spans="3:13">
      <c r="C105" s="187"/>
      <c r="D105" s="187"/>
      <c r="E105" s="187"/>
      <c r="F105" s="187"/>
      <c r="G105" s="187"/>
      <c r="H105" s="187"/>
      <c r="I105" s="187"/>
      <c r="J105" s="187"/>
      <c r="K105" s="187"/>
      <c r="L105" s="187"/>
      <c r="M105" s="187"/>
    </row>
    <row r="106" spans="3:13">
      <c r="C106" s="187"/>
      <c r="D106" s="187"/>
      <c r="E106" s="187"/>
      <c r="F106" s="187"/>
      <c r="G106" s="187"/>
      <c r="H106" s="187"/>
      <c r="I106" s="187"/>
      <c r="J106" s="187"/>
      <c r="K106" s="187"/>
      <c r="L106" s="187"/>
      <c r="M106" s="187"/>
    </row>
    <row r="107" spans="3:13">
      <c r="C107" s="187"/>
      <c r="D107" s="187"/>
      <c r="E107" s="187"/>
      <c r="F107" s="187"/>
      <c r="G107" s="187"/>
      <c r="H107" s="187"/>
      <c r="I107" s="187"/>
      <c r="J107" s="187"/>
      <c r="K107" s="187"/>
      <c r="L107" s="187"/>
      <c r="M107" s="187"/>
    </row>
    <row r="108" spans="3:13">
      <c r="C108" s="187"/>
      <c r="D108" s="187"/>
      <c r="E108" s="187"/>
      <c r="F108" s="187"/>
      <c r="G108" s="187"/>
      <c r="H108" s="187"/>
      <c r="I108" s="187"/>
      <c r="J108" s="187"/>
      <c r="K108" s="187"/>
      <c r="L108" s="187"/>
      <c r="M108" s="187"/>
    </row>
    <row r="109" spans="3:13">
      <c r="C109" s="187"/>
      <c r="D109" s="187"/>
      <c r="E109" s="187"/>
      <c r="F109" s="187"/>
      <c r="G109" s="187"/>
      <c r="H109" s="187"/>
      <c r="I109" s="187"/>
      <c r="J109" s="187"/>
      <c r="K109" s="187"/>
      <c r="L109" s="187"/>
      <c r="M109" s="187"/>
    </row>
    <row r="110" spans="3:13">
      <c r="C110" s="187"/>
      <c r="D110" s="187"/>
      <c r="E110" s="187"/>
      <c r="F110" s="187"/>
      <c r="G110" s="187"/>
      <c r="H110" s="187"/>
      <c r="I110" s="187"/>
      <c r="J110" s="187"/>
      <c r="K110" s="187"/>
      <c r="L110" s="187"/>
      <c r="M110" s="187"/>
    </row>
    <row r="111" spans="3:13">
      <c r="C111" s="187"/>
      <c r="D111" s="187"/>
      <c r="E111" s="187"/>
      <c r="F111" s="187"/>
      <c r="G111" s="187"/>
      <c r="H111" s="187"/>
      <c r="I111" s="187"/>
      <c r="J111" s="187"/>
      <c r="K111" s="187"/>
      <c r="L111" s="187"/>
      <c r="M111" s="187"/>
    </row>
    <row r="112" spans="3:13">
      <c r="C112" s="187"/>
      <c r="D112" s="187"/>
      <c r="E112" s="187"/>
      <c r="F112" s="187"/>
      <c r="G112" s="187"/>
      <c r="H112" s="187"/>
      <c r="I112" s="187"/>
      <c r="J112" s="187"/>
      <c r="K112" s="187"/>
      <c r="L112" s="187"/>
      <c r="M112" s="187"/>
    </row>
    <row r="113" spans="3:13">
      <c r="C113" s="187"/>
      <c r="D113" s="187"/>
      <c r="E113" s="187"/>
      <c r="F113" s="187"/>
      <c r="G113" s="187"/>
      <c r="H113" s="187"/>
      <c r="I113" s="187"/>
      <c r="J113" s="187"/>
      <c r="K113" s="187"/>
      <c r="L113" s="187"/>
      <c r="M113" s="187"/>
    </row>
    <row r="114" spans="3:13">
      <c r="C114" s="187"/>
      <c r="D114" s="187"/>
      <c r="E114" s="187"/>
      <c r="F114" s="187"/>
      <c r="G114" s="187"/>
      <c r="H114" s="187"/>
      <c r="I114" s="187"/>
      <c r="J114" s="187"/>
      <c r="K114" s="187"/>
      <c r="L114" s="187"/>
      <c r="M114" s="187"/>
    </row>
    <row r="115" spans="3:13">
      <c r="C115" s="187"/>
      <c r="D115" s="187"/>
      <c r="E115" s="187"/>
      <c r="F115" s="187"/>
      <c r="G115" s="187"/>
      <c r="H115" s="187"/>
      <c r="I115" s="187"/>
      <c r="J115" s="187"/>
      <c r="K115" s="187"/>
      <c r="L115" s="187"/>
      <c r="M115" s="187"/>
    </row>
    <row r="116" spans="3:13">
      <c r="C116" s="187"/>
      <c r="D116" s="187"/>
      <c r="E116" s="187"/>
      <c r="F116" s="187"/>
      <c r="G116" s="187"/>
      <c r="H116" s="187"/>
      <c r="I116" s="187"/>
      <c r="J116" s="187"/>
      <c r="K116" s="187"/>
      <c r="L116" s="187"/>
      <c r="M116" s="187"/>
    </row>
    <row r="117" spans="3:13">
      <c r="C117" s="187"/>
      <c r="D117" s="187"/>
      <c r="E117" s="187"/>
      <c r="F117" s="187"/>
      <c r="G117" s="187"/>
      <c r="H117" s="187"/>
      <c r="I117" s="187"/>
      <c r="J117" s="187"/>
      <c r="K117" s="187"/>
      <c r="L117" s="187"/>
      <c r="M117" s="187"/>
    </row>
    <row r="118" spans="3:13">
      <c r="C118" s="187"/>
      <c r="D118" s="187"/>
      <c r="E118" s="187"/>
      <c r="F118" s="187"/>
      <c r="G118" s="187"/>
      <c r="H118" s="187"/>
      <c r="I118" s="187"/>
      <c r="J118" s="187"/>
      <c r="K118" s="187"/>
      <c r="L118" s="187"/>
      <c r="M118" s="187"/>
    </row>
    <row r="119" spans="3:13">
      <c r="C119" s="187"/>
      <c r="D119" s="187"/>
      <c r="E119" s="187"/>
      <c r="F119" s="187"/>
      <c r="G119" s="187"/>
      <c r="H119" s="187"/>
      <c r="I119" s="187"/>
      <c r="J119" s="187"/>
      <c r="K119" s="187"/>
      <c r="L119" s="187"/>
      <c r="M119" s="187"/>
    </row>
    <row r="120" spans="3:13">
      <c r="C120" s="187"/>
      <c r="D120" s="187"/>
      <c r="E120" s="187"/>
      <c r="F120" s="187"/>
      <c r="G120" s="187"/>
      <c r="H120" s="187"/>
      <c r="I120" s="187"/>
      <c r="J120" s="187"/>
      <c r="K120" s="187"/>
      <c r="L120" s="187"/>
      <c r="M120" s="187"/>
    </row>
    <row r="121" spans="3:13">
      <c r="C121" s="187"/>
      <c r="D121" s="187"/>
      <c r="E121" s="187"/>
      <c r="F121" s="187"/>
      <c r="G121" s="187"/>
      <c r="H121" s="187"/>
      <c r="I121" s="187"/>
      <c r="J121" s="187"/>
      <c r="K121" s="187"/>
      <c r="L121" s="187"/>
      <c r="M121" s="187"/>
    </row>
    <row r="122" spans="3:13">
      <c r="C122" s="187"/>
      <c r="D122" s="187"/>
      <c r="E122" s="187"/>
      <c r="F122" s="187"/>
      <c r="G122" s="187"/>
      <c r="H122" s="187"/>
      <c r="I122" s="187"/>
      <c r="J122" s="187"/>
      <c r="K122" s="187"/>
      <c r="L122" s="187"/>
      <c r="M122" s="187"/>
    </row>
    <row r="123" spans="3:13">
      <c r="C123" s="187"/>
      <c r="D123" s="187"/>
      <c r="E123" s="187"/>
      <c r="F123" s="187"/>
      <c r="G123" s="187"/>
      <c r="H123" s="187"/>
      <c r="I123" s="187"/>
      <c r="J123" s="187"/>
      <c r="K123" s="187"/>
      <c r="L123" s="187"/>
      <c r="M123" s="187"/>
    </row>
    <row r="124" spans="3:13">
      <c r="C124" s="187"/>
      <c r="D124" s="187"/>
      <c r="E124" s="187"/>
      <c r="F124" s="187"/>
      <c r="G124" s="187"/>
      <c r="H124" s="187"/>
      <c r="I124" s="187"/>
      <c r="J124" s="187"/>
      <c r="K124" s="187"/>
      <c r="L124" s="187"/>
      <c r="M124" s="187"/>
    </row>
    <row r="125" spans="3:13">
      <c r="C125" s="187"/>
      <c r="D125" s="187"/>
      <c r="E125" s="187"/>
      <c r="F125" s="187"/>
      <c r="G125" s="187"/>
      <c r="H125" s="187"/>
      <c r="I125" s="187"/>
      <c r="J125" s="187"/>
      <c r="K125" s="187"/>
      <c r="L125" s="187"/>
      <c r="M125" s="187"/>
    </row>
    <row r="126" spans="3:13">
      <c r="C126" s="187"/>
      <c r="D126" s="187"/>
      <c r="E126" s="187"/>
      <c r="F126" s="187"/>
      <c r="G126" s="187"/>
      <c r="H126" s="187"/>
      <c r="I126" s="187"/>
      <c r="J126" s="187"/>
      <c r="K126" s="187"/>
      <c r="L126" s="187"/>
      <c r="M126" s="187"/>
    </row>
    <row r="127" spans="3:13">
      <c r="C127" s="187"/>
      <c r="D127" s="187"/>
      <c r="E127" s="187"/>
      <c r="F127" s="187"/>
      <c r="G127" s="187"/>
      <c r="H127" s="187"/>
      <c r="I127" s="187"/>
      <c r="J127" s="187"/>
      <c r="K127" s="187"/>
      <c r="L127" s="187"/>
      <c r="M127" s="187"/>
    </row>
    <row r="128" spans="3:13">
      <c r="C128" s="187"/>
      <c r="D128" s="187"/>
      <c r="E128" s="187"/>
      <c r="F128" s="187"/>
      <c r="G128" s="187"/>
      <c r="H128" s="187"/>
      <c r="I128" s="187"/>
      <c r="J128" s="187"/>
      <c r="K128" s="187"/>
      <c r="L128" s="187"/>
      <c r="M128" s="187"/>
    </row>
    <row r="129" spans="3:13">
      <c r="C129" s="187"/>
      <c r="D129" s="187"/>
      <c r="E129" s="187"/>
      <c r="F129" s="187"/>
      <c r="G129" s="187"/>
      <c r="H129" s="187"/>
      <c r="I129" s="187"/>
      <c r="J129" s="187"/>
      <c r="K129" s="187"/>
      <c r="L129" s="187"/>
      <c r="M129" s="187"/>
    </row>
    <row r="130" spans="3:13">
      <c r="C130" s="187"/>
      <c r="D130" s="187"/>
      <c r="E130" s="187"/>
      <c r="F130" s="187"/>
      <c r="G130" s="187"/>
      <c r="H130" s="187"/>
      <c r="I130" s="187"/>
      <c r="J130" s="187"/>
      <c r="K130" s="187"/>
      <c r="L130" s="187"/>
      <c r="M130" s="187"/>
    </row>
    <row r="131" spans="3:13">
      <c r="C131" s="187"/>
      <c r="D131" s="187"/>
      <c r="E131" s="187"/>
      <c r="F131" s="187"/>
      <c r="G131" s="187"/>
      <c r="H131" s="187"/>
      <c r="I131" s="187"/>
      <c r="J131" s="187"/>
      <c r="K131" s="187"/>
      <c r="L131" s="187"/>
      <c r="M131" s="187"/>
    </row>
    <row r="132" spans="3:13">
      <c r="C132" s="187"/>
      <c r="D132" s="187"/>
      <c r="E132" s="187"/>
      <c r="F132" s="187"/>
      <c r="G132" s="187"/>
      <c r="H132" s="187"/>
      <c r="I132" s="187"/>
      <c r="J132" s="187"/>
      <c r="K132" s="187"/>
      <c r="L132" s="187"/>
      <c r="M132" s="187"/>
    </row>
    <row r="133" spans="3:13">
      <c r="C133" s="187"/>
      <c r="D133" s="187"/>
      <c r="E133" s="187"/>
      <c r="F133" s="187"/>
      <c r="G133" s="187"/>
      <c r="H133" s="187"/>
      <c r="I133" s="187"/>
      <c r="J133" s="187"/>
      <c r="K133" s="187"/>
      <c r="L133" s="187"/>
      <c r="M133" s="187"/>
    </row>
    <row r="134" spans="3:13">
      <c r="C134" s="187"/>
      <c r="D134" s="187"/>
      <c r="E134" s="187"/>
      <c r="F134" s="187"/>
      <c r="G134" s="187"/>
      <c r="H134" s="187"/>
      <c r="I134" s="187"/>
      <c r="J134" s="187"/>
      <c r="K134" s="187"/>
      <c r="L134" s="187"/>
      <c r="M134" s="187"/>
    </row>
    <row r="135" spans="3:13">
      <c r="C135" s="187"/>
      <c r="D135" s="187"/>
      <c r="E135" s="187"/>
      <c r="F135" s="187"/>
      <c r="G135" s="187"/>
      <c r="H135" s="187"/>
      <c r="I135" s="187"/>
      <c r="J135" s="187"/>
      <c r="K135" s="187"/>
      <c r="L135" s="187"/>
      <c r="M135" s="187"/>
    </row>
    <row r="136" spans="3:13">
      <c r="C136" s="187"/>
      <c r="D136" s="187"/>
      <c r="E136" s="187"/>
      <c r="F136" s="187"/>
      <c r="G136" s="187"/>
      <c r="H136" s="187"/>
      <c r="I136" s="187"/>
      <c r="J136" s="187"/>
      <c r="K136" s="187"/>
      <c r="L136" s="187"/>
      <c r="M136" s="187"/>
    </row>
    <row r="137" spans="3:13">
      <c r="C137" s="187"/>
      <c r="D137" s="187"/>
      <c r="E137" s="187"/>
      <c r="F137" s="187"/>
      <c r="G137" s="187"/>
      <c r="H137" s="187"/>
      <c r="I137" s="187"/>
      <c r="J137" s="187"/>
      <c r="K137" s="187"/>
      <c r="L137" s="187"/>
      <c r="M137" s="187"/>
    </row>
    <row r="138" spans="3:13">
      <c r="C138" s="187"/>
      <c r="D138" s="187"/>
      <c r="E138" s="187"/>
      <c r="F138" s="187"/>
      <c r="G138" s="187"/>
      <c r="H138" s="187"/>
      <c r="I138" s="187"/>
      <c r="J138" s="187"/>
      <c r="K138" s="187"/>
      <c r="L138" s="187"/>
      <c r="M138" s="187"/>
    </row>
    <row r="139" spans="3:13">
      <c r="C139" s="187"/>
      <c r="D139" s="187"/>
      <c r="E139" s="187"/>
      <c r="F139" s="187"/>
      <c r="G139" s="187"/>
      <c r="H139" s="187"/>
      <c r="I139" s="187"/>
      <c r="J139" s="187"/>
      <c r="K139" s="187"/>
      <c r="L139" s="187"/>
      <c r="M139" s="187"/>
    </row>
    <row r="140" spans="3:13">
      <c r="C140" s="187"/>
      <c r="D140" s="187"/>
      <c r="E140" s="187"/>
      <c r="F140" s="187"/>
      <c r="G140" s="187"/>
      <c r="H140" s="187"/>
      <c r="I140" s="187"/>
      <c r="J140" s="187"/>
      <c r="K140" s="187"/>
      <c r="L140" s="187"/>
      <c r="M140" s="187"/>
    </row>
    <row r="141" spans="3:13">
      <c r="C141" s="187"/>
      <c r="D141" s="187"/>
      <c r="E141" s="187"/>
      <c r="F141" s="187"/>
      <c r="G141" s="187"/>
      <c r="H141" s="187"/>
      <c r="I141" s="187"/>
      <c r="J141" s="187"/>
      <c r="K141" s="187"/>
      <c r="L141" s="187"/>
      <c r="M141" s="187"/>
    </row>
    <row r="142" spans="3:13">
      <c r="C142" s="187"/>
      <c r="D142" s="187"/>
      <c r="E142" s="187"/>
      <c r="F142" s="187"/>
      <c r="G142" s="187"/>
      <c r="H142" s="187"/>
      <c r="I142" s="187"/>
      <c r="J142" s="187"/>
      <c r="K142" s="187"/>
      <c r="L142" s="187"/>
      <c r="M142" s="187"/>
    </row>
    <row r="143" spans="3:13">
      <c r="C143" s="187"/>
      <c r="D143" s="187"/>
      <c r="E143" s="187"/>
      <c r="F143" s="187"/>
      <c r="G143" s="187"/>
      <c r="H143" s="187"/>
      <c r="I143" s="187"/>
      <c r="J143" s="187"/>
      <c r="K143" s="187"/>
      <c r="L143" s="187"/>
      <c r="M143" s="187"/>
    </row>
    <row r="144" spans="3:13">
      <c r="C144" s="187"/>
      <c r="D144" s="187"/>
      <c r="E144" s="187"/>
      <c r="F144" s="187"/>
      <c r="G144" s="187"/>
      <c r="H144" s="187"/>
      <c r="I144" s="187"/>
      <c r="J144" s="187"/>
      <c r="K144" s="187"/>
      <c r="L144" s="187"/>
      <c r="M144" s="187"/>
    </row>
    <row r="145" spans="3:13">
      <c r="C145" s="187"/>
      <c r="D145" s="187"/>
      <c r="E145" s="187"/>
      <c r="F145" s="187"/>
      <c r="G145" s="187"/>
      <c r="H145" s="187"/>
      <c r="I145" s="187"/>
      <c r="J145" s="187"/>
      <c r="K145" s="187"/>
      <c r="L145" s="187"/>
      <c r="M145" s="187"/>
    </row>
    <row r="146" spans="3:13">
      <c r="C146" s="187"/>
      <c r="D146" s="187"/>
      <c r="E146" s="187"/>
      <c r="F146" s="187"/>
      <c r="G146" s="187"/>
      <c r="H146" s="187"/>
      <c r="I146" s="187"/>
      <c r="J146" s="187"/>
      <c r="K146" s="187"/>
      <c r="L146" s="187"/>
      <c r="M146" s="187"/>
    </row>
    <row r="147" spans="3:13">
      <c r="C147" s="187"/>
      <c r="D147" s="187"/>
      <c r="E147" s="187"/>
      <c r="F147" s="187"/>
      <c r="G147" s="187"/>
      <c r="H147" s="187"/>
      <c r="I147" s="187"/>
      <c r="J147" s="187"/>
      <c r="K147" s="187"/>
      <c r="L147" s="187"/>
      <c r="M147" s="187"/>
    </row>
    <row r="148" spans="3:13">
      <c r="C148" s="187"/>
      <c r="D148" s="187"/>
      <c r="E148" s="187"/>
      <c r="F148" s="187"/>
      <c r="G148" s="187"/>
      <c r="H148" s="187"/>
      <c r="I148" s="187"/>
      <c r="J148" s="187"/>
      <c r="K148" s="187"/>
      <c r="L148" s="187"/>
      <c r="M148" s="187"/>
    </row>
    <row r="149" spans="3:13">
      <c r="C149" s="187"/>
      <c r="D149" s="187"/>
      <c r="E149" s="187"/>
      <c r="F149" s="187"/>
      <c r="G149" s="187"/>
      <c r="H149" s="187"/>
      <c r="I149" s="187"/>
      <c r="J149" s="187"/>
      <c r="K149" s="187"/>
      <c r="L149" s="187"/>
      <c r="M149" s="187"/>
    </row>
    <row r="150" spans="3:13">
      <c r="C150" s="187"/>
      <c r="D150" s="187"/>
      <c r="E150" s="187"/>
      <c r="F150" s="187"/>
      <c r="G150" s="187"/>
      <c r="H150" s="187"/>
      <c r="I150" s="187"/>
      <c r="J150" s="187"/>
      <c r="K150" s="187"/>
      <c r="L150" s="187"/>
      <c r="M150" s="187"/>
    </row>
    <row r="151" spans="3:13">
      <c r="C151" s="187"/>
      <c r="D151" s="187"/>
      <c r="E151" s="187"/>
      <c r="F151" s="187"/>
      <c r="G151" s="187"/>
      <c r="H151" s="187"/>
      <c r="I151" s="187"/>
      <c r="J151" s="187"/>
      <c r="K151" s="187"/>
      <c r="L151" s="187"/>
      <c r="M151" s="187"/>
    </row>
    <row r="152" spans="3:13">
      <c r="C152" s="187"/>
      <c r="D152" s="187"/>
      <c r="E152" s="187"/>
      <c r="F152" s="187"/>
      <c r="G152" s="187"/>
      <c r="H152" s="187"/>
      <c r="I152" s="187"/>
      <c r="J152" s="187"/>
      <c r="K152" s="187"/>
      <c r="L152" s="187"/>
      <c r="M152" s="187"/>
    </row>
    <row r="153" spans="3:13">
      <c r="C153" s="187"/>
      <c r="D153" s="187"/>
      <c r="E153" s="187"/>
      <c r="F153" s="187"/>
      <c r="G153" s="187"/>
      <c r="H153" s="187"/>
      <c r="I153" s="187"/>
      <c r="J153" s="187"/>
      <c r="K153" s="187"/>
      <c r="L153" s="187"/>
      <c r="M153" s="187"/>
    </row>
    <row r="154" spans="3:13">
      <c r="C154" s="187"/>
      <c r="D154" s="187"/>
      <c r="E154" s="187"/>
      <c r="F154" s="187"/>
      <c r="G154" s="187"/>
      <c r="H154" s="187"/>
      <c r="I154" s="187"/>
      <c r="J154" s="187"/>
      <c r="K154" s="187"/>
      <c r="L154" s="187"/>
      <c r="M154" s="187"/>
    </row>
    <row r="155" spans="3:13">
      <c r="C155" s="187"/>
      <c r="D155" s="187"/>
      <c r="E155" s="187"/>
      <c r="F155" s="187"/>
      <c r="G155" s="187"/>
      <c r="H155" s="187"/>
      <c r="I155" s="187"/>
      <c r="J155" s="187"/>
      <c r="K155" s="187"/>
      <c r="L155" s="187"/>
      <c r="M155" s="187"/>
    </row>
    <row r="156" spans="3:13">
      <c r="C156" s="187"/>
      <c r="D156" s="187"/>
      <c r="E156" s="187"/>
      <c r="F156" s="187"/>
      <c r="G156" s="187"/>
      <c r="H156" s="187"/>
      <c r="I156" s="187"/>
      <c r="J156" s="187"/>
      <c r="K156" s="187"/>
      <c r="L156" s="187"/>
      <c r="M156" s="187"/>
    </row>
    <row r="157" spans="3:13">
      <c r="C157" s="187"/>
      <c r="D157" s="187"/>
      <c r="E157" s="187"/>
      <c r="F157" s="187"/>
      <c r="G157" s="187"/>
      <c r="H157" s="187"/>
      <c r="I157" s="187"/>
      <c r="J157" s="187"/>
      <c r="K157" s="187"/>
      <c r="L157" s="187"/>
      <c r="M157" s="187"/>
    </row>
    <row r="158" spans="3:13">
      <c r="C158" s="187"/>
      <c r="D158" s="187"/>
      <c r="E158" s="187"/>
      <c r="F158" s="187"/>
      <c r="G158" s="187"/>
      <c r="H158" s="187"/>
      <c r="I158" s="187"/>
      <c r="J158" s="187"/>
      <c r="K158" s="187"/>
      <c r="L158" s="187"/>
      <c r="M158" s="187"/>
    </row>
    <row r="159" spans="3:13">
      <c r="C159" s="187"/>
      <c r="D159" s="187"/>
      <c r="E159" s="187"/>
      <c r="F159" s="187"/>
      <c r="G159" s="187"/>
      <c r="H159" s="187"/>
      <c r="I159" s="187"/>
      <c r="J159" s="187"/>
      <c r="K159" s="187"/>
      <c r="L159" s="187"/>
      <c r="M159" s="187"/>
    </row>
    <row r="160" spans="3:13">
      <c r="C160" s="187"/>
      <c r="D160" s="187"/>
      <c r="E160" s="187"/>
      <c r="F160" s="187"/>
      <c r="G160" s="187"/>
      <c r="H160" s="187"/>
      <c r="I160" s="187"/>
      <c r="J160" s="187"/>
      <c r="K160" s="187"/>
      <c r="L160" s="187"/>
      <c r="M160" s="187"/>
    </row>
    <row r="161" spans="3:13">
      <c r="C161" s="187"/>
      <c r="D161" s="187"/>
      <c r="E161" s="187"/>
      <c r="F161" s="187"/>
      <c r="G161" s="187"/>
      <c r="H161" s="187"/>
      <c r="I161" s="187"/>
      <c r="J161" s="187"/>
      <c r="K161" s="187"/>
      <c r="L161" s="187"/>
      <c r="M161" s="187"/>
    </row>
    <row r="162" spans="3:13">
      <c r="C162" s="187"/>
      <c r="D162" s="187"/>
      <c r="E162" s="187"/>
      <c r="F162" s="187"/>
      <c r="G162" s="187"/>
      <c r="H162" s="187"/>
      <c r="I162" s="187"/>
      <c r="J162" s="187"/>
      <c r="K162" s="187"/>
      <c r="L162" s="187"/>
      <c r="M162" s="187"/>
    </row>
    <row r="163" spans="3:13">
      <c r="C163" s="187"/>
      <c r="D163" s="187"/>
      <c r="E163" s="187"/>
      <c r="F163" s="187"/>
      <c r="G163" s="187"/>
      <c r="H163" s="187"/>
      <c r="I163" s="187"/>
      <c r="J163" s="187"/>
      <c r="K163" s="187"/>
      <c r="L163" s="187"/>
      <c r="M163" s="187"/>
    </row>
    <row r="164" spans="3:13">
      <c r="C164" s="187"/>
      <c r="D164" s="187"/>
      <c r="E164" s="187"/>
      <c r="F164" s="187"/>
      <c r="G164" s="187"/>
      <c r="H164" s="187"/>
      <c r="I164" s="187"/>
      <c r="J164" s="187"/>
      <c r="K164" s="187"/>
      <c r="L164" s="187"/>
      <c r="M164" s="187"/>
    </row>
    <row r="165" spans="3:13">
      <c r="C165" s="187"/>
      <c r="D165" s="187"/>
      <c r="E165" s="187"/>
      <c r="F165" s="187"/>
      <c r="G165" s="187"/>
      <c r="H165" s="187"/>
      <c r="I165" s="187"/>
      <c r="J165" s="187"/>
      <c r="K165" s="187"/>
      <c r="L165" s="187"/>
      <c r="M165" s="187"/>
    </row>
    <row r="166" spans="3:13">
      <c r="C166" s="187"/>
      <c r="D166" s="187"/>
      <c r="E166" s="187"/>
      <c r="F166" s="187"/>
      <c r="G166" s="187"/>
      <c r="H166" s="187"/>
      <c r="I166" s="187"/>
      <c r="J166" s="187"/>
      <c r="K166" s="187"/>
      <c r="L166" s="187"/>
      <c r="M166" s="187"/>
    </row>
    <row r="167" spans="3:13">
      <c r="C167" s="187"/>
      <c r="D167" s="187"/>
      <c r="E167" s="187"/>
      <c r="F167" s="187"/>
      <c r="G167" s="187"/>
      <c r="H167" s="187"/>
      <c r="I167" s="187"/>
      <c r="J167" s="187"/>
      <c r="K167" s="187"/>
      <c r="L167" s="187"/>
      <c r="M167" s="187"/>
    </row>
    <row r="168" spans="3:13">
      <c r="C168" s="187"/>
      <c r="D168" s="187"/>
      <c r="E168" s="187"/>
      <c r="F168" s="187"/>
      <c r="G168" s="187"/>
      <c r="H168" s="187"/>
      <c r="I168" s="187"/>
      <c r="J168" s="187"/>
      <c r="K168" s="187"/>
      <c r="L168" s="187"/>
      <c r="M168" s="187"/>
    </row>
    <row r="169" spans="3:13">
      <c r="C169" s="187"/>
      <c r="D169" s="187"/>
      <c r="E169" s="187"/>
      <c r="F169" s="187"/>
      <c r="G169" s="187"/>
      <c r="H169" s="187"/>
      <c r="I169" s="187"/>
      <c r="J169" s="187"/>
      <c r="K169" s="187"/>
      <c r="L169" s="187"/>
      <c r="M169" s="187"/>
    </row>
    <row r="170" spans="3:13">
      <c r="C170" s="187"/>
      <c r="D170" s="187"/>
      <c r="E170" s="187"/>
      <c r="F170" s="187"/>
      <c r="G170" s="187"/>
      <c r="H170" s="187"/>
      <c r="I170" s="187"/>
      <c r="J170" s="187"/>
      <c r="K170" s="187"/>
      <c r="L170" s="187"/>
      <c r="M170" s="187"/>
    </row>
    <row r="171" spans="3:13">
      <c r="C171" s="187"/>
      <c r="D171" s="187"/>
      <c r="E171" s="187"/>
      <c r="F171" s="187"/>
      <c r="G171" s="187"/>
      <c r="H171" s="187"/>
      <c r="I171" s="187"/>
      <c r="J171" s="187"/>
      <c r="K171" s="187"/>
      <c r="L171" s="187"/>
      <c r="M171" s="187"/>
    </row>
    <row r="172" spans="3:13">
      <c r="C172" s="187"/>
      <c r="D172" s="187"/>
      <c r="E172" s="187"/>
      <c r="F172" s="187"/>
      <c r="G172" s="187"/>
      <c r="H172" s="187"/>
      <c r="I172" s="187"/>
      <c r="J172" s="187"/>
      <c r="K172" s="187"/>
      <c r="L172" s="187"/>
      <c r="M172" s="187"/>
    </row>
    <row r="173" spans="3:13">
      <c r="C173" s="187"/>
      <c r="D173" s="187"/>
      <c r="E173" s="187"/>
      <c r="F173" s="187"/>
      <c r="G173" s="187"/>
      <c r="H173" s="187"/>
      <c r="I173" s="187"/>
      <c r="J173" s="187"/>
      <c r="K173" s="187"/>
      <c r="L173" s="187"/>
      <c r="M173" s="187"/>
    </row>
    <row r="174" spans="3:13">
      <c r="C174" s="187"/>
      <c r="D174" s="187"/>
      <c r="E174" s="187"/>
      <c r="F174" s="187"/>
      <c r="G174" s="187"/>
      <c r="H174" s="187"/>
      <c r="I174" s="187"/>
      <c r="J174" s="187"/>
      <c r="K174" s="187"/>
      <c r="L174" s="187"/>
      <c r="M174" s="187"/>
    </row>
    <row r="175" spans="3:13">
      <c r="C175" s="187"/>
      <c r="D175" s="187"/>
      <c r="E175" s="187"/>
      <c r="F175" s="187"/>
      <c r="G175" s="187"/>
      <c r="H175" s="187"/>
      <c r="I175" s="187"/>
      <c r="J175" s="187"/>
      <c r="K175" s="187"/>
      <c r="L175" s="187"/>
      <c r="M175" s="187"/>
    </row>
    <row r="176" spans="3:13">
      <c r="C176" s="187"/>
      <c r="D176" s="187"/>
      <c r="E176" s="187"/>
      <c r="F176" s="187"/>
      <c r="G176" s="187"/>
      <c r="H176" s="187"/>
      <c r="I176" s="187"/>
      <c r="J176" s="187"/>
      <c r="K176" s="187"/>
      <c r="L176" s="187"/>
      <c r="M176" s="187"/>
    </row>
    <row r="177" spans="3:13">
      <c r="C177" s="187"/>
      <c r="D177" s="187"/>
      <c r="E177" s="187"/>
      <c r="F177" s="187"/>
      <c r="G177" s="187"/>
      <c r="H177" s="187"/>
      <c r="I177" s="187"/>
      <c r="J177" s="187"/>
      <c r="K177" s="187"/>
      <c r="L177" s="187"/>
      <c r="M177" s="187"/>
    </row>
    <row r="178" spans="3:13">
      <c r="C178" s="187"/>
      <c r="D178" s="187"/>
      <c r="E178" s="187"/>
      <c r="F178" s="187"/>
      <c r="G178" s="187"/>
      <c r="H178" s="187"/>
      <c r="I178" s="187"/>
      <c r="J178" s="187"/>
      <c r="K178" s="187"/>
      <c r="L178" s="187"/>
      <c r="M178" s="187"/>
    </row>
    <row r="179" spans="3:13">
      <c r="C179" s="187"/>
      <c r="D179" s="187"/>
      <c r="E179" s="187"/>
      <c r="F179" s="187"/>
      <c r="G179" s="187"/>
      <c r="H179" s="187"/>
      <c r="I179" s="187"/>
      <c r="J179" s="187"/>
      <c r="K179" s="187"/>
      <c r="L179" s="187"/>
      <c r="M179" s="187"/>
    </row>
    <row r="180" spans="3:13">
      <c r="C180" s="187"/>
      <c r="D180" s="187"/>
      <c r="E180" s="187"/>
      <c r="F180" s="187"/>
      <c r="G180" s="187"/>
      <c r="H180" s="187"/>
      <c r="I180" s="187"/>
      <c r="J180" s="187"/>
      <c r="K180" s="187"/>
      <c r="L180" s="187"/>
      <c r="M180" s="187"/>
    </row>
    <row r="181" spans="3:13">
      <c r="C181" s="187"/>
      <c r="D181" s="187"/>
      <c r="E181" s="187"/>
      <c r="F181" s="187"/>
      <c r="G181" s="187"/>
      <c r="H181" s="187"/>
      <c r="I181" s="187"/>
      <c r="J181" s="187"/>
      <c r="K181" s="187"/>
      <c r="L181" s="187"/>
      <c r="M181" s="187"/>
    </row>
    <row r="182" spans="3:13">
      <c r="C182" s="187"/>
      <c r="D182" s="187"/>
      <c r="E182" s="187"/>
      <c r="F182" s="187"/>
      <c r="G182" s="187"/>
      <c r="H182" s="187"/>
      <c r="I182" s="187"/>
      <c r="J182" s="187"/>
      <c r="K182" s="187"/>
      <c r="L182" s="187"/>
      <c r="M182" s="187"/>
    </row>
    <row r="183" spans="3:13">
      <c r="C183" s="187"/>
      <c r="D183" s="187"/>
      <c r="E183" s="187"/>
      <c r="F183" s="187"/>
      <c r="G183" s="187"/>
      <c r="H183" s="187"/>
      <c r="I183" s="187"/>
      <c r="J183" s="187"/>
      <c r="K183" s="187"/>
      <c r="L183" s="187"/>
      <c r="M183" s="187"/>
    </row>
    <row r="184" spans="3:13">
      <c r="C184" s="187"/>
      <c r="D184" s="187"/>
      <c r="E184" s="187"/>
      <c r="F184" s="187"/>
      <c r="G184" s="187"/>
      <c r="H184" s="187"/>
      <c r="I184" s="187"/>
      <c r="J184" s="187"/>
      <c r="K184" s="187"/>
      <c r="L184" s="187"/>
      <c r="M184" s="187"/>
    </row>
    <row r="185" spans="3:13">
      <c r="C185" s="187"/>
      <c r="D185" s="187"/>
      <c r="E185" s="187"/>
      <c r="F185" s="187"/>
      <c r="G185" s="187"/>
      <c r="H185" s="187"/>
      <c r="I185" s="187"/>
      <c r="J185" s="187"/>
      <c r="K185" s="187"/>
      <c r="L185" s="187"/>
      <c r="M185" s="187"/>
    </row>
    <row r="186" spans="3:13">
      <c r="C186" s="187"/>
      <c r="D186" s="187"/>
      <c r="E186" s="187"/>
      <c r="F186" s="187"/>
      <c r="G186" s="187"/>
      <c r="H186" s="187"/>
      <c r="I186" s="187"/>
      <c r="J186" s="187"/>
      <c r="K186" s="187"/>
      <c r="L186" s="187"/>
      <c r="M186" s="187"/>
    </row>
    <row r="187" spans="3:13">
      <c r="C187" s="187"/>
      <c r="D187" s="187"/>
      <c r="E187" s="187"/>
      <c r="F187" s="187"/>
      <c r="G187" s="187"/>
      <c r="H187" s="187"/>
      <c r="I187" s="187"/>
      <c r="J187" s="187"/>
      <c r="K187" s="187"/>
      <c r="L187" s="187"/>
      <c r="M187" s="187"/>
    </row>
    <row r="188" spans="3:13">
      <c r="C188" s="187"/>
      <c r="D188" s="187"/>
      <c r="E188" s="187"/>
      <c r="F188" s="187"/>
      <c r="G188" s="187"/>
      <c r="H188" s="187"/>
      <c r="I188" s="187"/>
      <c r="J188" s="187"/>
      <c r="K188" s="187"/>
      <c r="L188" s="187"/>
      <c r="M188" s="187"/>
    </row>
    <row r="189" spans="3:13">
      <c r="C189" s="187"/>
      <c r="D189" s="187"/>
      <c r="E189" s="187"/>
      <c r="F189" s="187"/>
      <c r="G189" s="187"/>
      <c r="H189" s="187"/>
      <c r="I189" s="187"/>
      <c r="J189" s="187"/>
      <c r="K189" s="187"/>
      <c r="L189" s="187"/>
      <c r="M189" s="187"/>
    </row>
    <row r="190" spans="3:13">
      <c r="C190" s="187"/>
      <c r="D190" s="187"/>
      <c r="E190" s="187"/>
      <c r="F190" s="187"/>
      <c r="G190" s="187"/>
      <c r="H190" s="187"/>
      <c r="I190" s="187"/>
      <c r="J190" s="187"/>
      <c r="K190" s="187"/>
      <c r="L190" s="187"/>
      <c r="M190" s="187"/>
    </row>
    <row r="191" spans="3:13">
      <c r="C191" s="187"/>
      <c r="D191" s="187"/>
      <c r="E191" s="187"/>
      <c r="F191" s="187"/>
      <c r="G191" s="187"/>
      <c r="H191" s="187"/>
      <c r="I191" s="187"/>
      <c r="J191" s="187"/>
      <c r="K191" s="187"/>
      <c r="L191" s="187"/>
      <c r="M191" s="187"/>
    </row>
    <row r="192" spans="3:13">
      <c r="C192" s="187"/>
      <c r="D192" s="187"/>
      <c r="E192" s="187"/>
      <c r="F192" s="187"/>
      <c r="G192" s="187"/>
      <c r="H192" s="187"/>
      <c r="I192" s="187"/>
      <c r="J192" s="187"/>
      <c r="K192" s="187"/>
      <c r="L192" s="187"/>
      <c r="M192" s="187"/>
    </row>
    <row r="193" spans="3:13">
      <c r="C193" s="187"/>
      <c r="D193" s="187"/>
      <c r="E193" s="187"/>
      <c r="F193" s="187"/>
      <c r="G193" s="187"/>
      <c r="H193" s="187"/>
      <c r="I193" s="187"/>
      <c r="J193" s="187"/>
      <c r="K193" s="187"/>
      <c r="L193" s="187"/>
      <c r="M193" s="187"/>
    </row>
    <row r="194" spans="3:13">
      <c r="C194" s="187"/>
      <c r="D194" s="187"/>
      <c r="E194" s="187"/>
      <c r="F194" s="187"/>
      <c r="G194" s="187"/>
      <c r="H194" s="187"/>
      <c r="I194" s="187"/>
      <c r="J194" s="187"/>
      <c r="K194" s="187"/>
      <c r="L194" s="187"/>
      <c r="M194" s="187"/>
    </row>
    <row r="195" spans="3:13">
      <c r="C195" s="187"/>
      <c r="D195" s="187"/>
      <c r="E195" s="187"/>
      <c r="F195" s="187"/>
      <c r="G195" s="187"/>
      <c r="H195" s="187"/>
      <c r="I195" s="187"/>
      <c r="J195" s="187"/>
      <c r="K195" s="187"/>
      <c r="L195" s="187"/>
      <c r="M195" s="187"/>
    </row>
    <row r="196" spans="3:13">
      <c r="C196" s="187"/>
      <c r="D196" s="187"/>
      <c r="E196" s="187"/>
      <c r="F196" s="187"/>
      <c r="G196" s="187"/>
      <c r="H196" s="187"/>
      <c r="I196" s="187"/>
      <c r="J196" s="187"/>
      <c r="K196" s="187"/>
      <c r="L196" s="187"/>
      <c r="M196" s="187"/>
    </row>
    <row r="197" spans="3:13">
      <c r="C197" s="187"/>
      <c r="D197" s="187"/>
      <c r="E197" s="187"/>
      <c r="F197" s="187"/>
      <c r="G197" s="187"/>
      <c r="H197" s="187"/>
      <c r="I197" s="187"/>
      <c r="J197" s="187"/>
      <c r="K197" s="187"/>
      <c r="L197" s="187"/>
      <c r="M197" s="187"/>
    </row>
    <row r="198" spans="3:13">
      <c r="C198" s="187"/>
      <c r="D198" s="187"/>
      <c r="E198" s="187"/>
      <c r="F198" s="187"/>
      <c r="G198" s="187"/>
      <c r="H198" s="187"/>
      <c r="I198" s="187"/>
      <c r="J198" s="187"/>
      <c r="K198" s="187"/>
      <c r="L198" s="187"/>
      <c r="M198" s="187"/>
    </row>
    <row r="199" spans="3:13">
      <c r="C199" s="187"/>
      <c r="D199" s="187"/>
      <c r="E199" s="187"/>
      <c r="F199" s="187"/>
      <c r="G199" s="187"/>
      <c r="H199" s="187"/>
      <c r="I199" s="187"/>
      <c r="J199" s="187"/>
      <c r="K199" s="187"/>
      <c r="L199" s="187"/>
      <c r="M199" s="187"/>
    </row>
    <row r="200" spans="3:13">
      <c r="C200" s="187"/>
      <c r="D200" s="187"/>
      <c r="E200" s="187"/>
      <c r="F200" s="187"/>
      <c r="G200" s="187"/>
      <c r="H200" s="187"/>
      <c r="I200" s="187"/>
      <c r="J200" s="187"/>
      <c r="K200" s="187"/>
      <c r="L200" s="187"/>
      <c r="M200" s="187"/>
    </row>
    <row r="201" spans="3:13">
      <c r="C201" s="187"/>
      <c r="D201" s="187"/>
      <c r="E201" s="187"/>
      <c r="F201" s="187"/>
      <c r="G201" s="187"/>
      <c r="H201" s="187"/>
      <c r="I201" s="187"/>
      <c r="J201" s="187"/>
      <c r="K201" s="187"/>
      <c r="L201" s="187"/>
      <c r="M201" s="187"/>
    </row>
    <row r="202" spans="3:13">
      <c r="C202" s="187"/>
      <c r="D202" s="187"/>
      <c r="E202" s="187"/>
      <c r="F202" s="187"/>
      <c r="G202" s="187"/>
      <c r="H202" s="187"/>
      <c r="I202" s="187"/>
      <c r="J202" s="187"/>
      <c r="K202" s="187"/>
      <c r="L202" s="187"/>
      <c r="M202" s="187"/>
    </row>
    <row r="203" spans="3:13">
      <c r="C203" s="187"/>
      <c r="D203" s="187"/>
      <c r="E203" s="187"/>
      <c r="F203" s="187"/>
      <c r="G203" s="187"/>
      <c r="H203" s="187"/>
      <c r="I203" s="187"/>
      <c r="J203" s="187"/>
      <c r="K203" s="187"/>
      <c r="L203" s="187"/>
      <c r="M203" s="187"/>
    </row>
    <row r="204" spans="3:13">
      <c r="C204" s="187"/>
      <c r="D204" s="187"/>
      <c r="E204" s="187"/>
      <c r="F204" s="187"/>
      <c r="G204" s="187"/>
      <c r="H204" s="187"/>
      <c r="I204" s="187"/>
      <c r="J204" s="187"/>
      <c r="K204" s="187"/>
      <c r="L204" s="187"/>
      <c r="M204" s="187"/>
    </row>
    <row r="205" spans="3:13">
      <c r="C205" s="187"/>
      <c r="D205" s="187"/>
      <c r="E205" s="187"/>
      <c r="F205" s="187"/>
      <c r="G205" s="187"/>
      <c r="H205" s="187"/>
      <c r="I205" s="187"/>
      <c r="J205" s="187"/>
      <c r="K205" s="187"/>
      <c r="L205" s="187"/>
      <c r="M205" s="187"/>
    </row>
    <row r="206" spans="3:13">
      <c r="C206" s="187"/>
      <c r="D206" s="187"/>
      <c r="E206" s="187"/>
      <c r="F206" s="187"/>
      <c r="G206" s="187"/>
      <c r="H206" s="187"/>
      <c r="I206" s="187"/>
      <c r="J206" s="187"/>
      <c r="K206" s="187"/>
      <c r="L206" s="187"/>
      <c r="M206" s="187"/>
    </row>
    <row r="207" spans="3:13">
      <c r="C207" s="187"/>
      <c r="D207" s="187"/>
      <c r="E207" s="187"/>
      <c r="F207" s="187"/>
      <c r="G207" s="187"/>
      <c r="H207" s="187"/>
      <c r="I207" s="187"/>
      <c r="J207" s="187"/>
      <c r="K207" s="187"/>
      <c r="L207" s="187"/>
      <c r="M207" s="187"/>
    </row>
    <row r="208" spans="3:13">
      <c r="C208" s="187"/>
      <c r="D208" s="187"/>
      <c r="E208" s="187"/>
      <c r="F208" s="187"/>
      <c r="G208" s="187"/>
      <c r="H208" s="187"/>
      <c r="I208" s="187"/>
      <c r="J208" s="187"/>
      <c r="K208" s="187"/>
      <c r="L208" s="187"/>
      <c r="M208" s="187"/>
    </row>
    <row r="209" spans="3:13">
      <c r="C209" s="187"/>
      <c r="D209" s="187"/>
      <c r="E209" s="187"/>
      <c r="F209" s="187"/>
      <c r="G209" s="187"/>
      <c r="H209" s="187"/>
      <c r="I209" s="187"/>
      <c r="J209" s="187"/>
      <c r="K209" s="187"/>
      <c r="L209" s="187"/>
      <c r="M209" s="187"/>
    </row>
    <row r="210" spans="3:13">
      <c r="C210" s="187"/>
      <c r="D210" s="187"/>
      <c r="E210" s="187"/>
      <c r="F210" s="187"/>
      <c r="G210" s="187"/>
      <c r="H210" s="187"/>
      <c r="I210" s="187"/>
      <c r="J210" s="187"/>
      <c r="K210" s="187"/>
      <c r="L210" s="187"/>
      <c r="M210" s="187"/>
    </row>
    <row r="211" spans="3:13">
      <c r="C211" s="187"/>
      <c r="D211" s="187"/>
      <c r="E211" s="187"/>
      <c r="F211" s="187"/>
      <c r="G211" s="187"/>
      <c r="H211" s="187"/>
      <c r="I211" s="187"/>
      <c r="J211" s="187"/>
      <c r="K211" s="187"/>
      <c r="L211" s="187"/>
      <c r="M211" s="187"/>
    </row>
    <row r="212" spans="3:13">
      <c r="C212" s="187"/>
      <c r="D212" s="187"/>
      <c r="E212" s="187"/>
      <c r="F212" s="187"/>
      <c r="G212" s="187"/>
      <c r="H212" s="187"/>
      <c r="I212" s="187"/>
      <c r="J212" s="187"/>
      <c r="K212" s="187"/>
      <c r="L212" s="187"/>
      <c r="M212" s="187"/>
    </row>
    <row r="213" spans="3:13">
      <c r="C213" s="187"/>
      <c r="D213" s="187"/>
      <c r="E213" s="187"/>
      <c r="F213" s="187"/>
      <c r="G213" s="187"/>
      <c r="H213" s="187"/>
      <c r="I213" s="187"/>
      <c r="J213" s="187"/>
      <c r="K213" s="187"/>
      <c r="L213" s="187"/>
      <c r="M213" s="187"/>
    </row>
    <row r="214" spans="3:13">
      <c r="C214" s="187"/>
      <c r="D214" s="187"/>
      <c r="E214" s="187"/>
      <c r="F214" s="187"/>
      <c r="G214" s="187"/>
      <c r="H214" s="187"/>
      <c r="I214" s="187"/>
      <c r="J214" s="187"/>
      <c r="K214" s="187"/>
      <c r="L214" s="187"/>
      <c r="M214" s="187"/>
    </row>
    <row r="215" spans="3:13">
      <c r="C215" s="187"/>
      <c r="D215" s="187"/>
      <c r="E215" s="187"/>
      <c r="F215" s="187"/>
      <c r="G215" s="187"/>
      <c r="H215" s="187"/>
      <c r="I215" s="187"/>
      <c r="J215" s="187"/>
      <c r="K215" s="187"/>
      <c r="L215" s="187"/>
      <c r="M215" s="187"/>
    </row>
    <row r="216" spans="3:13">
      <c r="C216" s="187"/>
      <c r="D216" s="187"/>
      <c r="E216" s="187"/>
      <c r="F216" s="187"/>
      <c r="G216" s="187"/>
      <c r="H216" s="187"/>
      <c r="I216" s="187"/>
      <c r="J216" s="187"/>
      <c r="K216" s="187"/>
      <c r="L216" s="187"/>
      <c r="M216" s="187"/>
    </row>
    <row r="217" spans="3:13">
      <c r="C217" s="187"/>
      <c r="D217" s="187"/>
      <c r="E217" s="187"/>
      <c r="F217" s="187"/>
      <c r="G217" s="187"/>
      <c r="H217" s="187"/>
      <c r="I217" s="187"/>
      <c r="J217" s="187"/>
      <c r="K217" s="187"/>
      <c r="L217" s="187"/>
      <c r="M217" s="187"/>
    </row>
    <row r="218" spans="3:13">
      <c r="C218" s="187"/>
      <c r="D218" s="187"/>
      <c r="E218" s="187"/>
      <c r="F218" s="187"/>
      <c r="G218" s="187"/>
      <c r="H218" s="187"/>
      <c r="I218" s="187"/>
      <c r="J218" s="187"/>
      <c r="K218" s="187"/>
      <c r="L218" s="187"/>
      <c r="M218" s="187"/>
    </row>
    <row r="219" spans="3:13">
      <c r="C219" s="187"/>
      <c r="D219" s="187"/>
      <c r="E219" s="187"/>
      <c r="F219" s="187"/>
      <c r="G219" s="187"/>
      <c r="H219" s="187"/>
      <c r="I219" s="187"/>
      <c r="J219" s="187"/>
      <c r="K219" s="187"/>
      <c r="L219" s="187"/>
      <c r="M219" s="187"/>
    </row>
    <row r="220" spans="3:13">
      <c r="C220" s="187"/>
      <c r="D220" s="187"/>
      <c r="E220" s="187"/>
      <c r="F220" s="187"/>
      <c r="G220" s="187"/>
      <c r="H220" s="187"/>
      <c r="I220" s="187"/>
      <c r="J220" s="187"/>
      <c r="K220" s="187"/>
      <c r="L220" s="187"/>
      <c r="M220" s="187"/>
    </row>
    <row r="221" spans="3:13">
      <c r="C221" s="187"/>
      <c r="D221" s="187"/>
      <c r="E221" s="187"/>
      <c r="F221" s="187"/>
      <c r="G221" s="187"/>
      <c r="H221" s="187"/>
      <c r="I221" s="187"/>
      <c r="J221" s="187"/>
      <c r="K221" s="187"/>
      <c r="L221" s="187"/>
      <c r="M221" s="187"/>
    </row>
    <row r="222" spans="3:13">
      <c r="C222" s="187"/>
      <c r="D222" s="187"/>
      <c r="E222" s="187"/>
      <c r="F222" s="187"/>
      <c r="G222" s="187"/>
      <c r="H222" s="187"/>
      <c r="I222" s="187"/>
      <c r="J222" s="187"/>
      <c r="K222" s="187"/>
      <c r="L222" s="187"/>
      <c r="M222" s="187"/>
    </row>
    <row r="223" spans="3:13">
      <c r="C223" s="187"/>
      <c r="D223" s="187"/>
      <c r="E223" s="187"/>
      <c r="F223" s="187"/>
      <c r="G223" s="187"/>
      <c r="H223" s="187"/>
      <c r="I223" s="187"/>
      <c r="J223" s="187"/>
      <c r="K223" s="187"/>
      <c r="L223" s="187"/>
      <c r="M223" s="187"/>
    </row>
    <row r="224" spans="3:13">
      <c r="C224" s="187"/>
      <c r="D224" s="187"/>
      <c r="E224" s="187"/>
      <c r="F224" s="187"/>
      <c r="G224" s="187"/>
      <c r="H224" s="187"/>
      <c r="I224" s="187"/>
      <c r="J224" s="187"/>
      <c r="K224" s="187"/>
      <c r="L224" s="187"/>
      <c r="M224" s="187"/>
    </row>
    <row r="225" spans="3:13">
      <c r="C225" s="187"/>
      <c r="D225" s="187"/>
      <c r="E225" s="187"/>
      <c r="F225" s="187"/>
      <c r="G225" s="187"/>
      <c r="H225" s="187"/>
      <c r="I225" s="187"/>
      <c r="J225" s="187"/>
      <c r="K225" s="187"/>
      <c r="L225" s="187"/>
      <c r="M225" s="187"/>
    </row>
    <row r="226" spans="3:13">
      <c r="C226" s="187"/>
      <c r="D226" s="187"/>
      <c r="E226" s="187"/>
      <c r="F226" s="187"/>
      <c r="G226" s="187"/>
      <c r="H226" s="187"/>
      <c r="I226" s="187"/>
      <c r="J226" s="187"/>
      <c r="K226" s="187"/>
      <c r="L226" s="187"/>
      <c r="M226" s="187"/>
    </row>
    <row r="227" spans="3:13">
      <c r="C227" s="187"/>
      <c r="D227" s="187"/>
      <c r="E227" s="187"/>
      <c r="F227" s="187"/>
      <c r="G227" s="187"/>
      <c r="H227" s="187"/>
      <c r="I227" s="187"/>
      <c r="J227" s="187"/>
      <c r="K227" s="187"/>
      <c r="L227" s="187"/>
      <c r="M227" s="187"/>
    </row>
    <row r="228" spans="3:13">
      <c r="C228" s="187"/>
      <c r="D228" s="187"/>
      <c r="E228" s="187"/>
      <c r="F228" s="187"/>
      <c r="G228" s="187"/>
      <c r="H228" s="187"/>
      <c r="I228" s="187"/>
      <c r="J228" s="187"/>
      <c r="K228" s="187"/>
      <c r="L228" s="187"/>
      <c r="M228" s="187"/>
    </row>
    <row r="229" spans="3:13">
      <c r="C229" s="187"/>
      <c r="D229" s="187"/>
      <c r="E229" s="187"/>
      <c r="F229" s="187"/>
      <c r="G229" s="187"/>
      <c r="H229" s="187"/>
      <c r="I229" s="187"/>
      <c r="J229" s="187"/>
      <c r="K229" s="187"/>
      <c r="L229" s="187"/>
      <c r="M229" s="187"/>
    </row>
    <row r="230" spans="3:13">
      <c r="C230" s="187"/>
      <c r="D230" s="187"/>
      <c r="E230" s="187"/>
      <c r="F230" s="187"/>
      <c r="G230" s="187"/>
      <c r="H230" s="187"/>
      <c r="I230" s="187"/>
      <c r="J230" s="187"/>
      <c r="K230" s="187"/>
      <c r="L230" s="187"/>
      <c r="M230" s="187"/>
    </row>
    <row r="231" spans="3:13">
      <c r="C231" s="187"/>
      <c r="D231" s="187"/>
      <c r="E231" s="187"/>
      <c r="F231" s="187"/>
      <c r="G231" s="187"/>
      <c r="H231" s="187"/>
      <c r="I231" s="187"/>
      <c r="J231" s="187"/>
      <c r="K231" s="187"/>
      <c r="L231" s="187"/>
      <c r="M231" s="187"/>
    </row>
    <row r="232" spans="3:13">
      <c r="C232" s="187"/>
      <c r="D232" s="187"/>
      <c r="E232" s="187"/>
      <c r="F232" s="187"/>
      <c r="G232" s="187"/>
      <c r="H232" s="187"/>
      <c r="I232" s="187"/>
      <c r="J232" s="187"/>
      <c r="K232" s="187"/>
      <c r="L232" s="187"/>
      <c r="M232" s="187"/>
    </row>
    <row r="233" spans="3:13">
      <c r="C233" s="187"/>
      <c r="D233" s="187"/>
      <c r="E233" s="187"/>
      <c r="F233" s="187"/>
      <c r="G233" s="187"/>
      <c r="H233" s="187"/>
      <c r="I233" s="187"/>
      <c r="J233" s="187"/>
      <c r="K233" s="187"/>
      <c r="L233" s="187"/>
      <c r="M233" s="187"/>
    </row>
    <row r="234" spans="3:13">
      <c r="C234" s="187"/>
      <c r="D234" s="187"/>
      <c r="E234" s="187"/>
      <c r="F234" s="187"/>
      <c r="G234" s="187"/>
      <c r="H234" s="187"/>
      <c r="I234" s="187"/>
      <c r="J234" s="187"/>
      <c r="K234" s="187"/>
      <c r="L234" s="187"/>
      <c r="M234" s="187"/>
    </row>
    <row r="235" spans="3:13">
      <c r="C235" s="187"/>
      <c r="D235" s="187"/>
      <c r="E235" s="187"/>
      <c r="F235" s="187"/>
      <c r="G235" s="187"/>
      <c r="H235" s="187"/>
      <c r="I235" s="187"/>
      <c r="J235" s="187"/>
      <c r="K235" s="187"/>
      <c r="L235" s="187"/>
      <c r="M235" s="187"/>
    </row>
    <row r="236" spans="3:13">
      <c r="C236" s="187"/>
      <c r="D236" s="187"/>
      <c r="E236" s="187"/>
      <c r="F236" s="187"/>
      <c r="G236" s="187"/>
      <c r="H236" s="187"/>
      <c r="I236" s="187"/>
      <c r="J236" s="187"/>
      <c r="K236" s="187"/>
      <c r="L236" s="187"/>
      <c r="M236" s="187"/>
    </row>
    <row r="237" spans="3:13">
      <c r="C237" s="187"/>
      <c r="D237" s="187"/>
      <c r="E237" s="187"/>
      <c r="F237" s="187"/>
      <c r="G237" s="187"/>
      <c r="H237" s="187"/>
      <c r="I237" s="187"/>
      <c r="J237" s="187"/>
      <c r="K237" s="187"/>
      <c r="L237" s="187"/>
      <c r="M237" s="187"/>
    </row>
    <row r="238" spans="3:13">
      <c r="C238" s="187"/>
      <c r="D238" s="187"/>
      <c r="E238" s="187"/>
      <c r="F238" s="187"/>
      <c r="G238" s="187"/>
      <c r="H238" s="187"/>
      <c r="I238" s="187"/>
      <c r="J238" s="187"/>
      <c r="K238" s="187"/>
      <c r="L238" s="187"/>
      <c r="M238" s="187"/>
    </row>
    <row r="239" spans="3:13">
      <c r="C239" s="187"/>
      <c r="D239" s="187"/>
      <c r="E239" s="187"/>
      <c r="F239" s="187"/>
      <c r="G239" s="187"/>
      <c r="H239" s="187"/>
      <c r="I239" s="187"/>
      <c r="J239" s="187"/>
      <c r="K239" s="187"/>
      <c r="L239" s="187"/>
      <c r="M239" s="187"/>
    </row>
    <row r="240" spans="3:13">
      <c r="C240" s="187"/>
      <c r="D240" s="187"/>
      <c r="E240" s="187"/>
      <c r="F240" s="187"/>
      <c r="G240" s="187"/>
      <c r="H240" s="187"/>
      <c r="I240" s="187"/>
      <c r="J240" s="187"/>
      <c r="K240" s="187"/>
      <c r="L240" s="187"/>
      <c r="M240" s="187"/>
    </row>
    <row r="241" spans="3:13">
      <c r="C241" s="187"/>
      <c r="D241" s="187"/>
      <c r="E241" s="187"/>
      <c r="F241" s="187"/>
      <c r="G241" s="187"/>
      <c r="H241" s="187"/>
      <c r="I241" s="187"/>
      <c r="J241" s="187"/>
      <c r="K241" s="187"/>
      <c r="L241" s="187"/>
      <c r="M241" s="187"/>
    </row>
    <row r="242" spans="3:13">
      <c r="C242" s="187"/>
      <c r="D242" s="187"/>
      <c r="E242" s="187"/>
      <c r="F242" s="187"/>
      <c r="G242" s="187"/>
      <c r="H242" s="187"/>
      <c r="I242" s="187"/>
      <c r="J242" s="187"/>
      <c r="K242" s="187"/>
      <c r="L242" s="187"/>
      <c r="M242" s="187"/>
    </row>
    <row r="243" spans="3:13">
      <c r="C243" s="187"/>
      <c r="D243" s="187"/>
      <c r="E243" s="187"/>
      <c r="F243" s="187"/>
      <c r="G243" s="187"/>
      <c r="H243" s="187"/>
      <c r="I243" s="187"/>
      <c r="J243" s="187"/>
      <c r="K243" s="187"/>
      <c r="L243" s="187"/>
      <c r="M243" s="187"/>
    </row>
    <row r="244" spans="3:13">
      <c r="C244" s="187"/>
      <c r="D244" s="187"/>
      <c r="E244" s="187"/>
      <c r="F244" s="187"/>
      <c r="G244" s="187"/>
      <c r="H244" s="187"/>
      <c r="I244" s="187"/>
      <c r="J244" s="187"/>
      <c r="K244" s="187"/>
      <c r="L244" s="187"/>
      <c r="M244" s="187"/>
    </row>
    <row r="245" spans="3:13">
      <c r="C245" s="187"/>
      <c r="D245" s="187"/>
      <c r="E245" s="187"/>
      <c r="F245" s="187"/>
      <c r="G245" s="187"/>
      <c r="H245" s="187"/>
      <c r="I245" s="187"/>
      <c r="J245" s="187"/>
      <c r="K245" s="187"/>
      <c r="L245" s="187"/>
      <c r="M245" s="187"/>
    </row>
    <row r="246" spans="3:13">
      <c r="C246" s="187"/>
      <c r="D246" s="187"/>
      <c r="E246" s="187"/>
      <c r="F246" s="187"/>
      <c r="G246" s="187"/>
      <c r="H246" s="187"/>
      <c r="I246" s="187"/>
      <c r="J246" s="187"/>
      <c r="K246" s="187"/>
      <c r="L246" s="187"/>
      <c r="M246" s="187"/>
    </row>
    <row r="247" spans="3:13">
      <c r="C247" s="187"/>
      <c r="D247" s="187"/>
      <c r="E247" s="187"/>
      <c r="F247" s="187"/>
      <c r="G247" s="187"/>
      <c r="H247" s="187"/>
      <c r="I247" s="187"/>
      <c r="J247" s="187"/>
      <c r="K247" s="187"/>
      <c r="L247" s="187"/>
      <c r="M247" s="187"/>
    </row>
    <row r="248" spans="3:13">
      <c r="C248" s="187"/>
      <c r="D248" s="187"/>
      <c r="E248" s="187"/>
      <c r="F248" s="187"/>
      <c r="G248" s="187"/>
      <c r="H248" s="187"/>
      <c r="I248" s="187"/>
      <c r="J248" s="187"/>
      <c r="K248" s="187"/>
      <c r="L248" s="187"/>
      <c r="M248" s="187"/>
    </row>
    <row r="249" spans="3:13">
      <c r="C249" s="187"/>
      <c r="D249" s="187"/>
      <c r="E249" s="187"/>
      <c r="F249" s="187"/>
      <c r="G249" s="187"/>
      <c r="H249" s="187"/>
      <c r="I249" s="187"/>
      <c r="J249" s="187"/>
      <c r="K249" s="187"/>
      <c r="L249" s="187"/>
      <c r="M249" s="187"/>
    </row>
    <row r="250" spans="3:13">
      <c r="C250" s="187"/>
      <c r="D250" s="187"/>
      <c r="E250" s="187"/>
      <c r="F250" s="187"/>
      <c r="G250" s="187"/>
      <c r="H250" s="187"/>
      <c r="I250" s="187"/>
      <c r="J250" s="187"/>
      <c r="K250" s="187"/>
      <c r="L250" s="187"/>
      <c r="M250" s="187"/>
    </row>
    <row r="251" spans="3:13">
      <c r="C251" s="187"/>
      <c r="D251" s="187"/>
      <c r="E251" s="187"/>
      <c r="F251" s="187"/>
      <c r="G251" s="187"/>
      <c r="H251" s="187"/>
      <c r="I251" s="187"/>
      <c r="J251" s="187"/>
      <c r="K251" s="187"/>
      <c r="L251" s="187"/>
      <c r="M251" s="187"/>
    </row>
    <row r="252" spans="3:13">
      <c r="C252" s="187"/>
      <c r="D252" s="187"/>
      <c r="E252" s="187"/>
      <c r="F252" s="187"/>
      <c r="G252" s="187"/>
      <c r="H252" s="187"/>
      <c r="I252" s="187"/>
      <c r="J252" s="187"/>
      <c r="K252" s="187"/>
      <c r="L252" s="187"/>
      <c r="M252" s="187"/>
    </row>
    <row r="253" spans="3:13">
      <c r="C253" s="187"/>
      <c r="D253" s="187"/>
      <c r="E253" s="187"/>
      <c r="F253" s="187"/>
      <c r="G253" s="187"/>
      <c r="H253" s="187"/>
      <c r="I253" s="187"/>
      <c r="J253" s="187"/>
      <c r="K253" s="187"/>
      <c r="L253" s="187"/>
      <c r="M253" s="187"/>
    </row>
    <row r="254" spans="3:13">
      <c r="C254" s="187"/>
      <c r="D254" s="187"/>
      <c r="E254" s="187"/>
      <c r="F254" s="187"/>
      <c r="G254" s="187"/>
      <c r="H254" s="187"/>
      <c r="I254" s="187"/>
      <c r="J254" s="187"/>
      <c r="K254" s="187"/>
      <c r="L254" s="187"/>
      <c r="M254" s="187"/>
    </row>
    <row r="255" spans="3:13">
      <c r="C255" s="187"/>
      <c r="D255" s="187"/>
      <c r="E255" s="187"/>
      <c r="F255" s="187"/>
      <c r="G255" s="187"/>
      <c r="H255" s="187"/>
      <c r="I255" s="187"/>
      <c r="J255" s="187"/>
      <c r="K255" s="187"/>
      <c r="L255" s="187"/>
      <c r="M255" s="187"/>
    </row>
    <row r="256" spans="3:13">
      <c r="C256" s="187"/>
      <c r="D256" s="187"/>
      <c r="E256" s="187"/>
      <c r="F256" s="187"/>
      <c r="G256" s="187"/>
      <c r="H256" s="187"/>
      <c r="I256" s="187"/>
      <c r="J256" s="187"/>
      <c r="K256" s="187"/>
      <c r="L256" s="187"/>
      <c r="M256" s="187"/>
    </row>
    <row r="257" spans="3:13">
      <c r="C257" s="187"/>
      <c r="D257" s="187"/>
      <c r="E257" s="187"/>
      <c r="F257" s="187"/>
      <c r="G257" s="187"/>
      <c r="H257" s="187"/>
      <c r="I257" s="187"/>
      <c r="J257" s="187"/>
      <c r="K257" s="187"/>
      <c r="L257" s="187"/>
      <c r="M257" s="187"/>
    </row>
    <row r="258" spans="3:13">
      <c r="C258" s="187"/>
      <c r="D258" s="187"/>
      <c r="E258" s="187"/>
      <c r="F258" s="187"/>
      <c r="G258" s="187"/>
      <c r="H258" s="187"/>
      <c r="I258" s="187"/>
      <c r="J258" s="187"/>
      <c r="K258" s="187"/>
      <c r="L258" s="187"/>
      <c r="M258" s="187"/>
    </row>
    <row r="259" spans="3:13">
      <c r="C259" s="187"/>
      <c r="D259" s="187"/>
      <c r="E259" s="187"/>
      <c r="F259" s="187"/>
      <c r="G259" s="187"/>
      <c r="H259" s="187"/>
      <c r="I259" s="187"/>
      <c r="J259" s="187"/>
      <c r="K259" s="187"/>
      <c r="L259" s="187"/>
      <c r="M259" s="187"/>
    </row>
    <row r="260" spans="3:13">
      <c r="C260" s="187"/>
      <c r="D260" s="187"/>
      <c r="E260" s="187"/>
      <c r="F260" s="187"/>
      <c r="G260" s="187"/>
      <c r="H260" s="187"/>
      <c r="I260" s="187"/>
      <c r="J260" s="187"/>
      <c r="K260" s="187"/>
      <c r="L260" s="187"/>
      <c r="M260" s="187"/>
    </row>
    <row r="261" spans="3:13">
      <c r="C261" s="187"/>
      <c r="D261" s="187"/>
      <c r="E261" s="187"/>
      <c r="F261" s="187"/>
      <c r="G261" s="187"/>
      <c r="H261" s="187"/>
      <c r="I261" s="187"/>
      <c r="J261" s="187"/>
      <c r="K261" s="187"/>
      <c r="L261" s="187"/>
      <c r="M261" s="187"/>
    </row>
    <row r="262" spans="3:13">
      <c r="C262" s="187"/>
      <c r="D262" s="187"/>
      <c r="E262" s="187"/>
      <c r="F262" s="187"/>
      <c r="G262" s="187"/>
      <c r="H262" s="187"/>
      <c r="I262" s="187"/>
      <c r="J262" s="187"/>
      <c r="K262" s="187"/>
      <c r="L262" s="187"/>
      <c r="M262" s="187"/>
    </row>
    <row r="263" spans="3:13">
      <c r="C263" s="187"/>
      <c r="D263" s="187"/>
      <c r="E263" s="187"/>
      <c r="F263" s="187"/>
      <c r="G263" s="187"/>
      <c r="H263" s="187"/>
      <c r="I263" s="187"/>
      <c r="J263" s="187"/>
      <c r="K263" s="187"/>
      <c r="L263" s="187"/>
      <c r="M263" s="187"/>
    </row>
    <row r="264" spans="3:13">
      <c r="C264" s="187"/>
      <c r="D264" s="187"/>
      <c r="E264" s="187"/>
      <c r="F264" s="187"/>
      <c r="G264" s="187"/>
      <c r="H264" s="187"/>
      <c r="I264" s="187"/>
      <c r="J264" s="187"/>
      <c r="K264" s="187"/>
      <c r="L264" s="187"/>
      <c r="M264" s="187"/>
    </row>
    <row r="265" spans="3:13">
      <c r="C265" s="187"/>
      <c r="D265" s="187"/>
      <c r="E265" s="187"/>
      <c r="F265" s="187"/>
      <c r="G265" s="187"/>
      <c r="H265" s="187"/>
      <c r="I265" s="187"/>
      <c r="J265" s="187"/>
      <c r="K265" s="187"/>
      <c r="L265" s="187"/>
      <c r="M265" s="187"/>
    </row>
    <row r="266" spans="3:13">
      <c r="C266" s="187"/>
      <c r="D266" s="187"/>
      <c r="E266" s="187"/>
      <c r="F266" s="187"/>
      <c r="G266" s="187"/>
      <c r="H266" s="187"/>
      <c r="I266" s="187"/>
      <c r="J266" s="187"/>
      <c r="K266" s="187"/>
      <c r="L266" s="187"/>
      <c r="M266" s="187"/>
    </row>
    <row r="267" spans="3:13">
      <c r="C267" s="187"/>
      <c r="D267" s="187"/>
      <c r="E267" s="187"/>
      <c r="F267" s="187"/>
      <c r="G267" s="187"/>
      <c r="H267" s="187"/>
      <c r="I267" s="187"/>
      <c r="J267" s="187"/>
      <c r="K267" s="187"/>
      <c r="L267" s="187"/>
      <c r="M267" s="187"/>
    </row>
    <row r="268" spans="3:13">
      <c r="C268" s="187"/>
      <c r="D268" s="187"/>
      <c r="E268" s="187"/>
      <c r="F268" s="187"/>
      <c r="G268" s="187"/>
      <c r="H268" s="187"/>
      <c r="I268" s="187"/>
      <c r="J268" s="187"/>
      <c r="K268" s="187"/>
      <c r="L268" s="187"/>
      <c r="M268" s="187"/>
    </row>
    <row r="269" spans="3:13">
      <c r="C269" s="187"/>
      <c r="D269" s="187"/>
      <c r="E269" s="187"/>
      <c r="F269" s="187"/>
      <c r="G269" s="187"/>
      <c r="H269" s="187"/>
      <c r="I269" s="187"/>
      <c r="J269" s="187"/>
      <c r="K269" s="187"/>
      <c r="L269" s="187"/>
      <c r="M269" s="187"/>
    </row>
    <row r="270" spans="3:13">
      <c r="C270" s="187"/>
      <c r="D270" s="187"/>
      <c r="E270" s="187"/>
      <c r="F270" s="187"/>
      <c r="G270" s="187"/>
      <c r="H270" s="187"/>
      <c r="I270" s="187"/>
      <c r="J270" s="187"/>
      <c r="K270" s="187"/>
      <c r="L270" s="187"/>
      <c r="M270" s="187"/>
    </row>
    <row r="271" spans="3:13">
      <c r="C271" s="187"/>
      <c r="D271" s="187"/>
      <c r="E271" s="187"/>
      <c r="F271" s="187"/>
      <c r="G271" s="187"/>
      <c r="H271" s="187"/>
      <c r="I271" s="187"/>
      <c r="J271" s="187"/>
      <c r="K271" s="187"/>
      <c r="L271" s="187"/>
      <c r="M271" s="187"/>
    </row>
    <row r="272" spans="3:13">
      <c r="C272" s="187"/>
      <c r="D272" s="187"/>
      <c r="E272" s="187"/>
      <c r="F272" s="187"/>
      <c r="G272" s="187"/>
      <c r="H272" s="187"/>
      <c r="I272" s="187"/>
      <c r="J272" s="187"/>
      <c r="K272" s="187"/>
      <c r="L272" s="187"/>
      <c r="M272" s="187"/>
    </row>
    <row r="273" spans="3:13">
      <c r="C273" s="187"/>
      <c r="D273" s="187"/>
      <c r="E273" s="187"/>
      <c r="F273" s="187"/>
      <c r="G273" s="187"/>
      <c r="H273" s="187"/>
      <c r="I273" s="187"/>
      <c r="J273" s="187"/>
      <c r="K273" s="187"/>
      <c r="L273" s="187"/>
      <c r="M273" s="187"/>
    </row>
    <row r="274" spans="3:13">
      <c r="C274" s="187"/>
      <c r="D274" s="187"/>
      <c r="E274" s="187"/>
      <c r="F274" s="187"/>
      <c r="G274" s="187"/>
      <c r="H274" s="187"/>
      <c r="I274" s="187"/>
      <c r="J274" s="187"/>
      <c r="K274" s="187"/>
      <c r="L274" s="187"/>
      <c r="M274" s="187"/>
    </row>
    <row r="275" spans="3:13">
      <c r="C275" s="187"/>
      <c r="D275" s="187"/>
      <c r="E275" s="187"/>
      <c r="F275" s="187"/>
      <c r="G275" s="187"/>
      <c r="H275" s="187"/>
      <c r="I275" s="187"/>
      <c r="J275" s="187"/>
      <c r="K275" s="187"/>
      <c r="L275" s="187"/>
      <c r="M275" s="187"/>
    </row>
    <row r="276" spans="3:13">
      <c r="C276" s="187"/>
      <c r="D276" s="187"/>
      <c r="E276" s="187"/>
      <c r="F276" s="187"/>
      <c r="G276" s="187"/>
      <c r="H276" s="187"/>
      <c r="I276" s="187"/>
      <c r="J276" s="187"/>
      <c r="K276" s="187"/>
      <c r="L276" s="187"/>
      <c r="M276" s="187"/>
    </row>
    <row r="277" spans="3:13">
      <c r="C277" s="187"/>
      <c r="D277" s="187"/>
      <c r="E277" s="187"/>
      <c r="F277" s="187"/>
      <c r="G277" s="187"/>
      <c r="H277" s="187"/>
      <c r="I277" s="187"/>
      <c r="J277" s="187"/>
      <c r="K277" s="187"/>
      <c r="L277" s="187"/>
      <c r="M277" s="187"/>
    </row>
    <row r="278" spans="3:13">
      <c r="C278" s="187"/>
      <c r="D278" s="187"/>
      <c r="E278" s="187"/>
      <c r="F278" s="187"/>
      <c r="G278" s="187"/>
      <c r="H278" s="187"/>
      <c r="I278" s="187"/>
      <c r="J278" s="187"/>
      <c r="K278" s="187"/>
      <c r="L278" s="187"/>
      <c r="M278" s="187"/>
    </row>
    <row r="279" spans="3:13">
      <c r="C279" s="187"/>
      <c r="D279" s="187"/>
      <c r="E279" s="187"/>
      <c r="F279" s="187"/>
      <c r="G279" s="187"/>
      <c r="H279" s="187"/>
      <c r="I279" s="187"/>
      <c r="J279" s="187"/>
      <c r="K279" s="187"/>
      <c r="L279" s="187"/>
      <c r="M279" s="187"/>
    </row>
    <row r="280" spans="3:13">
      <c r="C280" s="187"/>
      <c r="D280" s="187"/>
      <c r="E280" s="187"/>
      <c r="F280" s="187"/>
      <c r="G280" s="187"/>
      <c r="H280" s="187"/>
      <c r="I280" s="187"/>
      <c r="J280" s="187"/>
      <c r="K280" s="187"/>
      <c r="L280" s="187"/>
      <c r="M280" s="187"/>
    </row>
    <row r="281" spans="3:13">
      <c r="C281" s="187"/>
      <c r="D281" s="187"/>
      <c r="E281" s="187"/>
      <c r="F281" s="187"/>
      <c r="G281" s="187"/>
      <c r="H281" s="187"/>
      <c r="I281" s="187"/>
      <c r="J281" s="187"/>
      <c r="K281" s="187"/>
      <c r="L281" s="187"/>
      <c r="M281" s="187"/>
    </row>
    <row r="282" spans="3:13">
      <c r="C282" s="187"/>
      <c r="D282" s="187"/>
      <c r="E282" s="187"/>
      <c r="F282" s="187"/>
      <c r="G282" s="187"/>
      <c r="H282" s="187"/>
      <c r="I282" s="187"/>
      <c r="J282" s="187"/>
      <c r="K282" s="187"/>
      <c r="L282" s="187"/>
      <c r="M282" s="187"/>
    </row>
    <row r="283" spans="3:13">
      <c r="C283" s="187"/>
      <c r="D283" s="187"/>
      <c r="E283" s="187"/>
      <c r="F283" s="187"/>
      <c r="G283" s="187"/>
      <c r="H283" s="187"/>
      <c r="I283" s="187"/>
      <c r="J283" s="187"/>
      <c r="K283" s="187"/>
      <c r="L283" s="187"/>
      <c r="M283" s="187"/>
    </row>
    <row r="284" spans="3:13">
      <c r="C284" s="187"/>
      <c r="D284" s="187"/>
      <c r="E284" s="187"/>
      <c r="F284" s="187"/>
      <c r="G284" s="187"/>
      <c r="H284" s="187"/>
      <c r="I284" s="187"/>
      <c r="J284" s="187"/>
      <c r="K284" s="187"/>
      <c r="L284" s="187"/>
      <c r="M284" s="187"/>
    </row>
    <row r="285" spans="3:13">
      <c r="C285" s="187"/>
      <c r="D285" s="187"/>
      <c r="E285" s="187"/>
      <c r="F285" s="187"/>
      <c r="G285" s="187"/>
      <c r="H285" s="187"/>
      <c r="I285" s="187"/>
      <c r="J285" s="187"/>
      <c r="K285" s="187"/>
      <c r="L285" s="187"/>
      <c r="M285" s="187"/>
    </row>
    <row r="286" spans="3:13">
      <c r="C286" s="187"/>
      <c r="D286" s="187"/>
      <c r="E286" s="187"/>
      <c r="F286" s="187"/>
      <c r="G286" s="187"/>
      <c r="H286" s="187"/>
      <c r="I286" s="187"/>
      <c r="J286" s="187"/>
      <c r="K286" s="187"/>
      <c r="L286" s="187"/>
      <c r="M286" s="187"/>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A5:O5"/>
    <mergeCell ref="A6:O6"/>
    <mergeCell ref="A7:L7"/>
    <mergeCell ref="C84:L84"/>
    <mergeCell ref="C85:L85"/>
    <mergeCell ref="K11:T11"/>
    <mergeCell ref="C86:L86"/>
    <mergeCell ref="C82:L82"/>
    <mergeCell ref="C83:L83"/>
    <mergeCell ref="A54:O54"/>
    <mergeCell ref="A55:O55"/>
  </mergeCells>
  <phoneticPr fontId="18" type="noConversion"/>
  <printOptions horizontalCentered="1"/>
  <pageMargins left="0.7" right="0.7" top="0.75" bottom="0.75" header="0.3" footer="0.3"/>
  <pageSetup scale="21" fitToHeight="0" orientation="landscape" r:id="rId2"/>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7"/>
  <sheetViews>
    <sheetView view="pageBreakPreview" zoomScale="60" zoomScaleNormal="70" workbookViewId="0">
      <pane xSplit="5" ySplit="8" topLeftCell="K9" activePane="bottomRight" state="frozen"/>
      <selection pane="topRight" activeCell="F1" sqref="F1"/>
      <selection pane="bottomLeft" activeCell="A9" sqref="A9"/>
      <selection pane="bottomRight" sqref="A1:N1"/>
    </sheetView>
  </sheetViews>
  <sheetFormatPr defaultRowHeight="15"/>
  <cols>
    <col min="1" max="1" width="7.5546875" customWidth="1"/>
    <col min="2" max="2" width="2.5546875" customWidth="1"/>
    <col min="3" max="3" width="41.6640625" customWidth="1"/>
    <col min="4" max="4" width="14.44140625" customWidth="1"/>
    <col min="5" max="5" width="15.109375" customWidth="1"/>
    <col min="6" max="7" width="14.21875" bestFit="1" customWidth="1"/>
    <col min="8" max="8" width="13.77734375" bestFit="1" customWidth="1"/>
    <col min="9" max="10" width="13.109375" bestFit="1" customWidth="1"/>
    <col min="11" max="11" width="13.77734375" bestFit="1" customWidth="1"/>
    <col min="12" max="18" width="16" bestFit="1" customWidth="1"/>
    <col min="19" max="19" width="3.88671875" customWidth="1"/>
    <col min="20" max="20" width="15.33203125" bestFit="1" customWidth="1"/>
    <col min="21" max="21" width="15.44140625" customWidth="1"/>
    <col min="22" max="29" width="12.5546875" customWidth="1"/>
    <col min="30" max="30" width="14.88671875" customWidth="1"/>
    <col min="31" max="31" width="12.88671875" bestFit="1" customWidth="1"/>
    <col min="32" max="32" width="13.6640625" bestFit="1" customWidth="1"/>
    <col min="33" max="33" width="13.109375" bestFit="1" customWidth="1"/>
    <col min="34" max="34" width="3.88671875" customWidth="1"/>
    <col min="35" max="35" width="17" customWidth="1"/>
  </cols>
  <sheetData>
    <row r="1" spans="1:48" ht="15.75">
      <c r="A1" s="1101" t="s">
        <v>566</v>
      </c>
      <c r="B1" s="1101"/>
      <c r="C1" s="1101"/>
      <c r="D1" s="1101"/>
      <c r="E1" s="1101"/>
      <c r="F1" s="1101"/>
      <c r="G1" s="1101"/>
      <c r="H1" s="1101"/>
      <c r="I1" s="1101"/>
      <c r="J1" s="1101"/>
      <c r="K1" s="1101"/>
      <c r="L1" s="1101"/>
      <c r="M1" s="1101"/>
      <c r="N1" s="1101"/>
      <c r="O1" s="18"/>
      <c r="R1" s="3"/>
      <c r="S1" s="3" t="str">
        <f>'Attachment H-11A '!K1&amp;""&amp;", Attachment 11a"</f>
        <v>Attachment H -11A, Attachment 11a</v>
      </c>
      <c r="T1" s="1101" t="str">
        <f>A1</f>
        <v>TEC Worksheet Support</v>
      </c>
      <c r="U1" s="1101"/>
      <c r="V1" s="1101"/>
      <c r="W1" s="1101"/>
      <c r="X1" s="1101"/>
      <c r="Y1" s="1101"/>
      <c r="Z1" s="1101"/>
      <c r="AA1" s="1101"/>
      <c r="AB1" s="1101"/>
      <c r="AC1" s="1101"/>
      <c r="AD1" s="1101"/>
      <c r="AE1" s="1101"/>
      <c r="AF1" s="18"/>
      <c r="AG1" s="18"/>
      <c r="AH1" s="18"/>
      <c r="AI1" s="3" t="str">
        <f>S1</f>
        <v>Attachment H -11A, Attachment 11a</v>
      </c>
    </row>
    <row r="2" spans="1:48" ht="15.75">
      <c r="A2" s="1102" t="s">
        <v>347</v>
      </c>
      <c r="B2" s="1102"/>
      <c r="C2" s="1102"/>
      <c r="D2" s="1102"/>
      <c r="E2" s="1102"/>
      <c r="F2" s="1102"/>
      <c r="G2" s="1102"/>
      <c r="H2" s="1102"/>
      <c r="I2" s="1102"/>
      <c r="J2" s="1102"/>
      <c r="K2" s="1102"/>
      <c r="L2" s="1102"/>
      <c r="M2" s="1102"/>
      <c r="N2" s="1102"/>
      <c r="O2" s="235"/>
      <c r="R2" s="3"/>
      <c r="S2" s="3" t="s">
        <v>171</v>
      </c>
      <c r="T2" s="1102" t="s">
        <v>347</v>
      </c>
      <c r="U2" s="1102"/>
      <c r="V2" s="1102"/>
      <c r="W2" s="1102"/>
      <c r="X2" s="1102"/>
      <c r="Y2" s="1102"/>
      <c r="Z2" s="1102"/>
      <c r="AA2" s="1102"/>
      <c r="AB2" s="1102"/>
      <c r="AC2" s="1102"/>
      <c r="AD2" s="1102"/>
      <c r="AE2" s="1102"/>
      <c r="AF2" s="235"/>
      <c r="AG2" s="235"/>
      <c r="AH2" s="235"/>
      <c r="AI2" s="3" t="s">
        <v>174</v>
      </c>
    </row>
    <row r="3" spans="1:48" ht="15.75">
      <c r="A3" s="235"/>
      <c r="B3" s="236"/>
      <c r="C3" s="236"/>
      <c r="D3" s="236"/>
      <c r="E3" s="236"/>
      <c r="F3" s="236"/>
      <c r="G3" s="236"/>
      <c r="H3" s="236"/>
      <c r="I3" s="236"/>
      <c r="J3" s="236"/>
      <c r="K3" s="236"/>
      <c r="L3" s="236"/>
      <c r="M3" s="3"/>
      <c r="R3" s="3"/>
      <c r="S3" s="3" t="str">
        <f>'Attachment H-11A '!K4</f>
        <v>For the 12 months ended 12/31/2022</v>
      </c>
      <c r="AI3" s="3" t="str">
        <f>S3</f>
        <v>For the 12 months ended 12/31/2022</v>
      </c>
    </row>
    <row r="4" spans="1:48" ht="15.75">
      <c r="A4" s="235"/>
      <c r="B4" s="236"/>
      <c r="C4" s="236"/>
      <c r="D4" s="236"/>
      <c r="E4" s="236"/>
      <c r="F4" s="236"/>
      <c r="G4" s="236"/>
      <c r="H4" s="236"/>
      <c r="I4" s="236"/>
      <c r="J4" s="236"/>
      <c r="K4" s="236"/>
      <c r="L4" s="236"/>
      <c r="M4" s="3"/>
    </row>
    <row r="5" spans="1:48" ht="15.75">
      <c r="A5" s="235"/>
      <c r="B5" s="236"/>
      <c r="C5" s="236"/>
      <c r="D5" s="236"/>
      <c r="E5" s="236"/>
      <c r="F5" s="236"/>
      <c r="G5" s="236"/>
      <c r="H5" s="236"/>
      <c r="I5" s="236"/>
      <c r="J5" s="236"/>
      <c r="K5" s="236"/>
      <c r="L5" s="236"/>
      <c r="M5" s="3"/>
    </row>
    <row r="6" spans="1:48" ht="50.25" customHeight="1">
      <c r="A6" s="19" t="s">
        <v>159</v>
      </c>
      <c r="B6" s="20"/>
      <c r="C6" s="30" t="s">
        <v>160</v>
      </c>
      <c r="D6" s="21" t="s">
        <v>175</v>
      </c>
      <c r="E6" s="22" t="s">
        <v>255</v>
      </c>
      <c r="F6" s="489">
        <v>44550</v>
      </c>
      <c r="G6" s="237">
        <f>F6+31</f>
        <v>44581</v>
      </c>
      <c r="H6" s="237">
        <f>G6+31</f>
        <v>44612</v>
      </c>
      <c r="I6" s="237">
        <f>H6+31</f>
        <v>44643</v>
      </c>
      <c r="J6" s="237">
        <f>I6+31</f>
        <v>44674</v>
      </c>
      <c r="K6" s="237">
        <f t="shared" ref="K6:Q6" si="0">J6+31</f>
        <v>44705</v>
      </c>
      <c r="L6" s="237">
        <f t="shared" si="0"/>
        <v>44736</v>
      </c>
      <c r="M6" s="237">
        <f t="shared" si="0"/>
        <v>44767</v>
      </c>
      <c r="N6" s="237">
        <f t="shared" si="0"/>
        <v>44798</v>
      </c>
      <c r="O6" s="237">
        <f t="shared" si="0"/>
        <v>44829</v>
      </c>
      <c r="P6" s="237">
        <f t="shared" si="0"/>
        <v>44860</v>
      </c>
      <c r="Q6" s="237">
        <f t="shared" si="0"/>
        <v>44891</v>
      </c>
      <c r="R6" s="237">
        <f>Q6+31</f>
        <v>44922</v>
      </c>
      <c r="S6" s="237"/>
      <c r="T6" s="22" t="s">
        <v>345</v>
      </c>
      <c r="U6" s="237">
        <f>F6</f>
        <v>44550</v>
      </c>
      <c r="V6" s="237">
        <f t="shared" ref="V6:AG6" si="1">G6</f>
        <v>44581</v>
      </c>
      <c r="W6" s="237">
        <f t="shared" si="1"/>
        <v>44612</v>
      </c>
      <c r="X6" s="237">
        <f t="shared" si="1"/>
        <v>44643</v>
      </c>
      <c r="Y6" s="237">
        <f t="shared" si="1"/>
        <v>44674</v>
      </c>
      <c r="Z6" s="237">
        <f t="shared" si="1"/>
        <v>44705</v>
      </c>
      <c r="AA6" s="237">
        <f t="shared" si="1"/>
        <v>44736</v>
      </c>
      <c r="AB6" s="237">
        <f t="shared" si="1"/>
        <v>44767</v>
      </c>
      <c r="AC6" s="237">
        <f t="shared" si="1"/>
        <v>44798</v>
      </c>
      <c r="AD6" s="237">
        <f t="shared" si="1"/>
        <v>44829</v>
      </c>
      <c r="AE6" s="237">
        <f t="shared" si="1"/>
        <v>44860</v>
      </c>
      <c r="AF6" s="237">
        <f t="shared" si="1"/>
        <v>44891</v>
      </c>
      <c r="AG6" s="237">
        <f t="shared" si="1"/>
        <v>44922</v>
      </c>
      <c r="AH6" s="238"/>
      <c r="AI6" s="241" t="s">
        <v>346</v>
      </c>
      <c r="AJ6" s="240"/>
      <c r="AK6" s="240"/>
      <c r="AL6" s="240"/>
      <c r="AM6" s="240"/>
      <c r="AN6" s="240"/>
      <c r="AO6" s="240"/>
      <c r="AP6" s="240"/>
      <c r="AQ6" s="240"/>
      <c r="AR6" s="240"/>
      <c r="AS6" s="240"/>
      <c r="AT6" s="240"/>
      <c r="AU6" s="240"/>
      <c r="AV6" s="240"/>
    </row>
    <row r="7" spans="1:48" ht="15.75">
      <c r="A7" s="23"/>
      <c r="B7" s="24"/>
      <c r="C7" s="24"/>
      <c r="D7" s="24"/>
      <c r="E7" s="25" t="s">
        <v>13</v>
      </c>
      <c r="F7" s="25" t="s">
        <v>16</v>
      </c>
      <c r="G7" s="25" t="s">
        <v>16</v>
      </c>
      <c r="H7" s="25" t="s">
        <v>16</v>
      </c>
      <c r="I7" s="25" t="s">
        <v>16</v>
      </c>
      <c r="J7" s="25" t="s">
        <v>16</v>
      </c>
      <c r="K7" s="25" t="s">
        <v>16</v>
      </c>
      <c r="L7" s="25" t="s">
        <v>16</v>
      </c>
      <c r="M7" s="25" t="s">
        <v>16</v>
      </c>
      <c r="N7" s="25" t="s">
        <v>16</v>
      </c>
      <c r="O7" s="25" t="s">
        <v>16</v>
      </c>
      <c r="P7" s="25" t="s">
        <v>16</v>
      </c>
      <c r="Q7" s="25" t="s">
        <v>16</v>
      </c>
      <c r="R7" s="25" t="s">
        <v>16</v>
      </c>
      <c r="S7" s="25"/>
      <c r="T7" s="25" t="s">
        <v>14</v>
      </c>
      <c r="U7" s="25" t="s">
        <v>16</v>
      </c>
      <c r="V7" s="25" t="s">
        <v>16</v>
      </c>
      <c r="W7" s="25" t="s">
        <v>16</v>
      </c>
      <c r="X7" s="25" t="s">
        <v>16</v>
      </c>
      <c r="Y7" s="25" t="s">
        <v>16</v>
      </c>
      <c r="Z7" s="25" t="s">
        <v>16</v>
      </c>
      <c r="AA7" s="25" t="s">
        <v>16</v>
      </c>
      <c r="AB7" s="25" t="s">
        <v>16</v>
      </c>
      <c r="AC7" s="25" t="s">
        <v>16</v>
      </c>
      <c r="AD7" s="25" t="s">
        <v>16</v>
      </c>
      <c r="AE7" s="25" t="s">
        <v>16</v>
      </c>
      <c r="AF7" s="25" t="s">
        <v>16</v>
      </c>
      <c r="AG7" s="25" t="s">
        <v>16</v>
      </c>
      <c r="AH7" s="239"/>
      <c r="AI7" s="60" t="s">
        <v>443</v>
      </c>
    </row>
    <row r="8" spans="1:48" ht="15.75">
      <c r="A8" s="26"/>
      <c r="B8" s="2"/>
      <c r="C8" s="2"/>
      <c r="D8" s="2"/>
      <c r="E8" s="2"/>
      <c r="F8" s="2"/>
      <c r="G8" s="2"/>
      <c r="H8" s="2"/>
      <c r="I8" s="2"/>
      <c r="J8" s="2"/>
      <c r="K8" s="2"/>
      <c r="L8" s="2"/>
      <c r="M8" s="2"/>
      <c r="N8" s="2"/>
      <c r="O8" s="2"/>
      <c r="P8" s="2"/>
      <c r="Q8" s="2"/>
      <c r="R8" s="2"/>
      <c r="S8" s="2"/>
      <c r="AH8" s="242"/>
      <c r="AI8" s="243"/>
    </row>
    <row r="9" spans="1:48" ht="15.75">
      <c r="A9" s="273"/>
      <c r="B9" s="17"/>
      <c r="C9" s="17"/>
      <c r="D9" s="27"/>
      <c r="E9" s="9"/>
      <c r="F9" s="9"/>
      <c r="G9" s="9"/>
      <c r="H9" s="9"/>
      <c r="I9" s="9"/>
      <c r="J9" s="9"/>
      <c r="K9" s="9"/>
      <c r="L9" s="9"/>
      <c r="M9" s="9"/>
      <c r="N9" s="9"/>
      <c r="O9" s="9"/>
      <c r="P9" s="9"/>
      <c r="Q9" s="9"/>
      <c r="R9" s="9"/>
      <c r="S9" s="9"/>
      <c r="U9" s="9"/>
      <c r="V9" s="9"/>
      <c r="W9" s="9"/>
      <c r="X9" s="9"/>
      <c r="Y9" s="9"/>
      <c r="Z9" s="9"/>
      <c r="AA9" s="9"/>
      <c r="AB9" s="9"/>
      <c r="AC9" s="9"/>
      <c r="AD9" s="9"/>
      <c r="AE9" s="9"/>
      <c r="AF9" s="9"/>
      <c r="AG9" s="9"/>
      <c r="AH9" s="242"/>
      <c r="AI9" s="243"/>
    </row>
    <row r="10" spans="1:48" ht="47.25">
      <c r="A10" s="688" t="str">
        <f>'Attachment 11 - TEC'!A62</f>
        <v>1a</v>
      </c>
      <c r="B10" s="689"/>
      <c r="C10" s="690" t="str">
        <f>'Attachment 11 - TEC'!C62</f>
        <v>Install a steel pole at the crossing of the Elrama to Woodville 138 kV line and the Peters to Bethel Park 138 kV line</v>
      </c>
      <c r="D10" s="691" t="str">
        <f>'Attachment 11 - TEC'!D62</f>
        <v>b1022.11</v>
      </c>
      <c r="E10" s="9">
        <f>AVERAGE(F10:R10)</f>
        <v>432714.25999999983</v>
      </c>
      <c r="F10" s="59">
        <v>432714.26</v>
      </c>
      <c r="G10" s="59">
        <v>432714.26</v>
      </c>
      <c r="H10" s="59">
        <v>432714.26</v>
      </c>
      <c r="I10" s="59">
        <v>432714.26</v>
      </c>
      <c r="J10" s="59">
        <v>432714.26</v>
      </c>
      <c r="K10" s="59">
        <v>432714.26</v>
      </c>
      <c r="L10" s="59">
        <v>432714.26</v>
      </c>
      <c r="M10" s="59">
        <v>432714.26</v>
      </c>
      <c r="N10" s="59">
        <v>432714.26</v>
      </c>
      <c r="O10" s="59">
        <v>432714.26</v>
      </c>
      <c r="P10" s="59">
        <v>432714.26</v>
      </c>
      <c r="Q10" s="59">
        <v>432714.26</v>
      </c>
      <c r="R10" s="59">
        <v>432714.26</v>
      </c>
      <c r="S10" s="9"/>
      <c r="T10" s="9">
        <f>AVERAGE(U10:AG10)</f>
        <v>87643.663346499976</v>
      </c>
      <c r="U10" s="59">
        <v>82871.012230999986</v>
      </c>
      <c r="V10" s="59">
        <v>83666.454083583318</v>
      </c>
      <c r="W10" s="59">
        <v>84461.895936166649</v>
      </c>
      <c r="X10" s="59">
        <v>85257.337788749981</v>
      </c>
      <c r="Y10" s="59">
        <v>86052.779641333313</v>
      </c>
      <c r="Z10" s="59">
        <v>86848.221493916644</v>
      </c>
      <c r="AA10" s="59">
        <v>87643.663346499976</v>
      </c>
      <c r="AB10" s="59">
        <v>88439.105199083308</v>
      </c>
      <c r="AC10" s="59">
        <v>89234.547051666639</v>
      </c>
      <c r="AD10" s="59">
        <v>90029.988904249971</v>
      </c>
      <c r="AE10" s="59">
        <v>90825.430756833302</v>
      </c>
      <c r="AF10" s="59">
        <v>91620.872609416634</v>
      </c>
      <c r="AG10" s="59">
        <v>92416.314461999966</v>
      </c>
      <c r="AH10" s="242"/>
      <c r="AI10" s="490">
        <f t="shared" ref="AI10:AI15" si="2">E10-T10</f>
        <v>345070.59665349987</v>
      </c>
    </row>
    <row r="11" spans="1:48" ht="84.6" customHeight="1">
      <c r="A11" s="688" t="str">
        <f>'Attachment 11 - TEC'!A63</f>
        <v>1b</v>
      </c>
      <c r="B11" s="689"/>
      <c r="C11" s="690" t="str">
        <f>'Attachment 11 - TEC'!C63</f>
        <v>Add static capacitors at South Fayette 138 kV</v>
      </c>
      <c r="D11" s="691" t="str">
        <f>'Attachment 11 - TEC'!D63</f>
        <v>b1022.5</v>
      </c>
      <c r="E11" s="9">
        <f t="shared" ref="E11" si="3">AVERAGE(F11:R11)</f>
        <v>553608.6100000001</v>
      </c>
      <c r="F11" s="59">
        <v>553608.61</v>
      </c>
      <c r="G11" s="59">
        <v>553608.61</v>
      </c>
      <c r="H11" s="59">
        <v>553608.61</v>
      </c>
      <c r="I11" s="59">
        <v>553608.61</v>
      </c>
      <c r="J11" s="59">
        <v>553608.61</v>
      </c>
      <c r="K11" s="59">
        <v>553608.61</v>
      </c>
      <c r="L11" s="59">
        <v>553608.61</v>
      </c>
      <c r="M11" s="59">
        <v>553608.61</v>
      </c>
      <c r="N11" s="59">
        <v>553608.61</v>
      </c>
      <c r="O11" s="59">
        <v>553608.61</v>
      </c>
      <c r="P11" s="59">
        <v>553608.61</v>
      </c>
      <c r="Q11" s="59">
        <v>553608.61</v>
      </c>
      <c r="R11" s="59">
        <v>553608.61</v>
      </c>
      <c r="S11" s="9"/>
      <c r="T11" s="9">
        <f t="shared" ref="T11:T15" si="4">AVERAGE(U11:AG11)</f>
        <v>58474.272599500015</v>
      </c>
      <c r="U11" s="59">
        <v>54239.166733000005</v>
      </c>
      <c r="V11" s="59">
        <v>54945.017710750006</v>
      </c>
      <c r="W11" s="59">
        <v>55650.868688500006</v>
      </c>
      <c r="X11" s="59">
        <v>56356.719666250006</v>
      </c>
      <c r="Y11" s="59">
        <v>57062.570644000007</v>
      </c>
      <c r="Z11" s="59">
        <v>57768.421621750007</v>
      </c>
      <c r="AA11" s="59">
        <v>58474.272599500007</v>
      </c>
      <c r="AB11" s="59">
        <v>59180.123577250008</v>
      </c>
      <c r="AC11" s="59">
        <v>59885.974555000008</v>
      </c>
      <c r="AD11" s="59">
        <v>60591.825532750008</v>
      </c>
      <c r="AE11" s="59">
        <v>61297.676510500009</v>
      </c>
      <c r="AF11" s="59">
        <v>62003.527488250009</v>
      </c>
      <c r="AG11" s="59">
        <v>62709.378466000009</v>
      </c>
      <c r="AH11" s="242"/>
      <c r="AI11" s="490">
        <f t="shared" si="2"/>
        <v>495134.33740050008</v>
      </c>
    </row>
    <row r="12" spans="1:48" ht="31.5">
      <c r="A12" s="688" t="str">
        <f>'Attachment 11 - TEC'!A64</f>
        <v>1c</v>
      </c>
      <c r="B12" s="689"/>
      <c r="C12" s="690" t="str">
        <f>'Attachment 11 - TEC'!C64</f>
        <v>Replace four Yukon 500/138 kV transformers with three transformers with higher rating and reconfigure 500 kV bus</v>
      </c>
      <c r="D12" s="691" t="str">
        <f>'Attachment 11 - TEC'!D64</f>
        <v>b3006</v>
      </c>
      <c r="E12" s="9">
        <f t="shared" ref="E12:E15" si="5">AVERAGE(F12:R12)</f>
        <v>101276419.75692306</v>
      </c>
      <c r="F12" s="59">
        <v>100585482.19</v>
      </c>
      <c r="G12" s="59">
        <v>100895898.53</v>
      </c>
      <c r="H12" s="59">
        <v>101026658.30999999</v>
      </c>
      <c r="I12" s="59">
        <v>101152522.77</v>
      </c>
      <c r="J12" s="59">
        <v>101175617.56999999</v>
      </c>
      <c r="K12" s="59">
        <v>101293046.91</v>
      </c>
      <c r="L12" s="59">
        <v>101267534.3</v>
      </c>
      <c r="M12" s="59">
        <v>101253214.11999999</v>
      </c>
      <c r="N12" s="59">
        <v>101271251.02</v>
      </c>
      <c r="O12" s="59">
        <v>101653086.53999999</v>
      </c>
      <c r="P12" s="59">
        <v>101666266.95</v>
      </c>
      <c r="Q12" s="59">
        <v>101675047.44999999</v>
      </c>
      <c r="R12" s="59">
        <v>101677830.17999999</v>
      </c>
      <c r="T12" s="9">
        <f t="shared" si="4"/>
        <v>868558.75284686987</v>
      </c>
      <c r="U12" s="59">
        <v>86095.648591935518</v>
      </c>
      <c r="V12" s="59">
        <v>215983.54809345555</v>
      </c>
      <c r="W12" s="59">
        <v>346155.85819079471</v>
      </c>
      <c r="X12" s="59">
        <v>476493.60483306745</v>
      </c>
      <c r="Y12" s="59">
        <v>606927.38022660033</v>
      </c>
      <c r="Z12" s="59">
        <v>737451.74654872739</v>
      </c>
      <c r="AA12" s="59">
        <v>868035.36832635151</v>
      </c>
      <c r="AB12" s="59">
        <v>998593.31131715223</v>
      </c>
      <c r="AC12" s="59">
        <v>1129153.6503455029</v>
      </c>
      <c r="AD12" s="59">
        <v>1259971.7729393463</v>
      </c>
      <c r="AE12" s="59">
        <v>1391044.5482918415</v>
      </c>
      <c r="AF12" s="59">
        <v>1522131.4810640491</v>
      </c>
      <c r="AG12" s="59">
        <v>1653225.8682404838</v>
      </c>
      <c r="AH12" s="242"/>
      <c r="AI12" s="490">
        <f t="shared" si="2"/>
        <v>100407861.0040762</v>
      </c>
    </row>
    <row r="13" spans="1:48" ht="47.25">
      <c r="A13" s="688" t="str">
        <f>'Attachment 11 - TEC'!A65</f>
        <v>1d</v>
      </c>
      <c r="B13" s="689"/>
      <c r="C13" s="690" t="str">
        <f>'Attachment 11 - TEC'!C65</f>
        <v>Upgrade terminal equipment at Yukon to increase rating on Yukon to Charleroi #2 138 kV line (New Yukon to Route 51 #4 138 kV line)</v>
      </c>
      <c r="D13" s="691" t="str">
        <f>'Attachment 11 - TEC'!D65</f>
        <v>b3011.2</v>
      </c>
      <c r="E13" s="9">
        <f t="shared" si="5"/>
        <v>784071.30538461544</v>
      </c>
      <c r="F13" s="59">
        <v>783987.85</v>
      </c>
      <c r="G13" s="59">
        <v>783999.23</v>
      </c>
      <c r="H13" s="59">
        <v>783999.23</v>
      </c>
      <c r="I13" s="59">
        <v>783999.23</v>
      </c>
      <c r="J13" s="59">
        <v>783999.23</v>
      </c>
      <c r="K13" s="59">
        <v>783999.23</v>
      </c>
      <c r="L13" s="59">
        <v>784094.89</v>
      </c>
      <c r="M13" s="59">
        <v>784093.53</v>
      </c>
      <c r="N13" s="59">
        <v>784150.91</v>
      </c>
      <c r="O13" s="59">
        <v>784150.91</v>
      </c>
      <c r="P13" s="59">
        <v>784150.91</v>
      </c>
      <c r="Q13" s="59">
        <v>784150.91</v>
      </c>
      <c r="R13" s="59">
        <v>784150.91</v>
      </c>
      <c r="T13" s="9">
        <f t="shared" si="4"/>
        <v>14456.568241125002</v>
      </c>
      <c r="U13" s="59">
        <v>8458.6830236250007</v>
      </c>
      <c r="V13" s="59">
        <v>9458.2747871250012</v>
      </c>
      <c r="W13" s="59">
        <v>10457.873805375002</v>
      </c>
      <c r="X13" s="59">
        <v>11457.472823625003</v>
      </c>
      <c r="Y13" s="59">
        <v>12457.071841875004</v>
      </c>
      <c r="Z13" s="59">
        <v>13456.670860125005</v>
      </c>
      <c r="AA13" s="59">
        <v>14456.330861625005</v>
      </c>
      <c r="AB13" s="59">
        <v>15456.050979375004</v>
      </c>
      <c r="AC13" s="59">
        <v>16455.806809875005</v>
      </c>
      <c r="AD13" s="59">
        <v>17455.599220125005</v>
      </c>
      <c r="AE13" s="59">
        <v>18455.391630375005</v>
      </c>
      <c r="AF13" s="59">
        <v>19455.184040625005</v>
      </c>
      <c r="AG13" s="59">
        <v>20454.976450875005</v>
      </c>
      <c r="AH13" s="242"/>
      <c r="AI13" s="490">
        <f t="shared" si="2"/>
        <v>769614.73714349046</v>
      </c>
    </row>
    <row r="14" spans="1:48" ht="15.6" customHeight="1">
      <c r="A14" s="688" t="str">
        <f>'Attachment 11 - TEC'!A66</f>
        <v>1e</v>
      </c>
      <c r="B14" s="689"/>
      <c r="C14" s="690" t="str">
        <f>'Attachment 11 - TEC'!C66</f>
        <v>Upgrade terminal equipment at Yukon to increase rating on Yukon to Route 51 #3 138 kV line</v>
      </c>
      <c r="D14" s="691" t="str">
        <f>'Attachment 11 - TEC'!D66</f>
        <v>b3011.5</v>
      </c>
      <c r="E14" s="9">
        <f t="shared" si="5"/>
        <v>954194.59692307678</v>
      </c>
      <c r="F14" s="59">
        <v>954121.23</v>
      </c>
      <c r="G14" s="59">
        <v>954132.75</v>
      </c>
      <c r="H14" s="59">
        <v>954132.75</v>
      </c>
      <c r="I14" s="59">
        <v>954132.75</v>
      </c>
      <c r="J14" s="59">
        <v>954132.75</v>
      </c>
      <c r="K14" s="59">
        <v>954132.75</v>
      </c>
      <c r="L14" s="59">
        <v>954229.68</v>
      </c>
      <c r="M14" s="59">
        <v>954228.3</v>
      </c>
      <c r="N14" s="59">
        <v>954257.36</v>
      </c>
      <c r="O14" s="59">
        <v>954257.36</v>
      </c>
      <c r="P14" s="59">
        <v>954257.36</v>
      </c>
      <c r="Q14" s="59">
        <v>954257.36</v>
      </c>
      <c r="R14" s="59">
        <v>954257.36</v>
      </c>
      <c r="T14" s="9">
        <f t="shared" si="4"/>
        <v>17667.777810115389</v>
      </c>
      <c r="U14" s="59">
        <v>10368.402949875002</v>
      </c>
      <c r="V14" s="59">
        <v>11584.914862125002</v>
      </c>
      <c r="W14" s="59">
        <v>12801.434118375002</v>
      </c>
      <c r="X14" s="59">
        <v>14017.953374625002</v>
      </c>
      <c r="Y14" s="59">
        <v>15234.472630875001</v>
      </c>
      <c r="Z14" s="59">
        <v>16450.991887125001</v>
      </c>
      <c r="AA14" s="59">
        <v>17667.572936250002</v>
      </c>
      <c r="AB14" s="59">
        <v>18884.214898500002</v>
      </c>
      <c r="AC14" s="59">
        <v>20100.874506750002</v>
      </c>
      <c r="AD14" s="59">
        <v>21317.552640750004</v>
      </c>
      <c r="AE14" s="59">
        <v>22534.230774750005</v>
      </c>
      <c r="AF14" s="59">
        <v>23750.908908750007</v>
      </c>
      <c r="AG14" s="59">
        <v>24967.587042750009</v>
      </c>
      <c r="AH14" s="242"/>
      <c r="AI14" s="490">
        <f t="shared" si="2"/>
        <v>936526.81911296141</v>
      </c>
    </row>
    <row r="15" spans="1:48" ht="47.25">
      <c r="A15" s="688" t="str">
        <f>'Attachment 11 - TEC'!A67</f>
        <v>1f</v>
      </c>
      <c r="B15" s="689"/>
      <c r="C15" s="690" t="str">
        <f>'Attachment 11 - TEC'!C67</f>
        <v>Reconductor the Charleroi –Allenport 138KV Line with 954 ACSR Conductor, Replace Breaker Risers at Charleroi and Allenport</v>
      </c>
      <c r="D15" s="691" t="str">
        <f>'Attachment 11 - TEC'!D67</f>
        <v>b2965</v>
      </c>
      <c r="E15" s="9">
        <f t="shared" si="5"/>
        <v>9923463.046923073</v>
      </c>
      <c r="F15" s="59">
        <v>9933561.5899999999</v>
      </c>
      <c r="G15" s="59">
        <v>9935593.2899999991</v>
      </c>
      <c r="H15" s="59">
        <v>9922159.9900000002</v>
      </c>
      <c r="I15" s="59">
        <v>9921070.0899999999</v>
      </c>
      <c r="J15" s="59">
        <v>9921403.8499999996</v>
      </c>
      <c r="K15" s="59">
        <v>9921403.8499999996</v>
      </c>
      <c r="L15" s="59">
        <v>9921403.8499999996</v>
      </c>
      <c r="M15" s="59">
        <v>9921403.8499999996</v>
      </c>
      <c r="N15" s="59">
        <v>9921403.8499999996</v>
      </c>
      <c r="O15" s="59">
        <v>9921403.8499999996</v>
      </c>
      <c r="P15" s="59">
        <v>9921403.8499999996</v>
      </c>
      <c r="Q15" s="59">
        <v>9921403.8499999996</v>
      </c>
      <c r="R15" s="59">
        <v>9921403.8499999996</v>
      </c>
      <c r="T15" s="9">
        <f t="shared" si="4"/>
        <v>362972.46942783956</v>
      </c>
      <c r="U15" s="59">
        <v>268119.23918428627</v>
      </c>
      <c r="V15" s="59">
        <v>283944.17577073682</v>
      </c>
      <c r="W15" s="59">
        <v>299760.0314678353</v>
      </c>
      <c r="X15" s="59">
        <v>315564.32005398115</v>
      </c>
      <c r="Y15" s="59">
        <v>331368.00640678481</v>
      </c>
      <c r="Z15" s="59">
        <v>347171.95858522959</v>
      </c>
      <c r="AA15" s="59">
        <v>362975.91076367436</v>
      </c>
      <c r="AB15" s="59">
        <v>378779.86294211913</v>
      </c>
      <c r="AC15" s="59">
        <v>394583.8151205639</v>
      </c>
      <c r="AD15" s="59">
        <v>410387.76729900867</v>
      </c>
      <c r="AE15" s="59">
        <v>426191.71947745344</v>
      </c>
      <c r="AF15" s="59">
        <v>441995.67165589822</v>
      </c>
      <c r="AG15" s="59">
        <v>457799.62383434299</v>
      </c>
      <c r="AH15" s="242"/>
      <c r="AI15" s="490">
        <f t="shared" si="2"/>
        <v>9560490.5774952341</v>
      </c>
    </row>
    <row r="16" spans="1:48" ht="15.75">
      <c r="A16" s="244"/>
      <c r="X16" s="683"/>
      <c r="Y16" s="683"/>
      <c r="Z16" s="683"/>
      <c r="AA16" s="683"/>
      <c r="AB16" s="683"/>
      <c r="AI16" s="243"/>
    </row>
    <row r="17" spans="1:35" ht="15.75">
      <c r="A17" s="244"/>
      <c r="X17" s="683"/>
      <c r="Y17" s="683"/>
      <c r="Z17" s="683"/>
      <c r="AA17" s="683"/>
      <c r="AB17" s="683"/>
      <c r="AI17" s="243"/>
    </row>
    <row r="18" spans="1:35">
      <c r="A18" s="244"/>
      <c r="AI18" s="243"/>
    </row>
    <row r="19" spans="1:35">
      <c r="A19" s="244"/>
      <c r="AI19" s="243"/>
    </row>
    <row r="20" spans="1:35">
      <c r="A20" s="244"/>
      <c r="AI20" s="243"/>
    </row>
    <row r="21" spans="1:35">
      <c r="A21" s="244"/>
      <c r="AI21" s="243"/>
    </row>
    <row r="22" spans="1:35">
      <c r="A22" s="244"/>
      <c r="AI22" s="243"/>
    </row>
    <row r="23" spans="1:35">
      <c r="A23" s="244"/>
      <c r="AI23" s="243"/>
    </row>
    <row r="24" spans="1:35">
      <c r="A24" s="24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7"/>
    </row>
    <row r="26" spans="1:35" ht="15.75">
      <c r="A26" s="1" t="s">
        <v>247</v>
      </c>
      <c r="B26" s="1"/>
      <c r="C26" s="1"/>
      <c r="S26" s="28"/>
      <c r="T26" s="1" t="s">
        <v>247</v>
      </c>
      <c r="U26" s="1"/>
    </row>
    <row r="27" spans="1:35" ht="15.75" customHeight="1">
      <c r="A27" s="29"/>
      <c r="B27" s="1" t="s">
        <v>205</v>
      </c>
      <c r="C27" s="1" t="s">
        <v>794</v>
      </c>
      <c r="D27" s="1"/>
      <c r="E27" s="1"/>
      <c r="F27" s="1"/>
      <c r="G27" s="1"/>
      <c r="H27" s="1"/>
      <c r="I27" s="1"/>
      <c r="J27" s="1"/>
      <c r="K27" s="1"/>
      <c r="M27" s="1" t="s">
        <v>569</v>
      </c>
      <c r="S27" s="29"/>
      <c r="T27" s="16" t="s">
        <v>218</v>
      </c>
      <c r="U27" s="1" t="s">
        <v>503</v>
      </c>
      <c r="AA27" t="s">
        <v>569</v>
      </c>
    </row>
  </sheetData>
  <mergeCells count="4">
    <mergeCell ref="T1:AE1"/>
    <mergeCell ref="T2:AE2"/>
    <mergeCell ref="A1:N1"/>
    <mergeCell ref="A2:N2"/>
  </mergeCells>
  <pageMargins left="0.7" right="0.7" top="0.75" bottom="0.75" header="0.3" footer="0.3"/>
  <pageSetup scale="36" orientation="landscape" r:id="rId1"/>
  <colBreaks count="1" manualBreakCount="1">
    <brk id="19" max="2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237"/>
  <sheetViews>
    <sheetView view="pageBreakPreview" zoomScale="90" zoomScaleNormal="80" zoomScaleSheetLayoutView="90" workbookViewId="0"/>
  </sheetViews>
  <sheetFormatPr defaultColWidth="8.88671875" defaultRowHeight="15"/>
  <cols>
    <col min="1" max="1" width="6" style="78" customWidth="1"/>
    <col min="2" max="2" width="3.33203125" style="78" customWidth="1"/>
    <col min="3" max="3" width="39.109375" style="78" customWidth="1"/>
    <col min="4" max="4" width="12" style="78" customWidth="1"/>
    <col min="5" max="5" width="14.44140625" style="78" customWidth="1"/>
    <col min="6" max="6" width="14.88671875" style="78" bestFit="1" customWidth="1"/>
    <col min="7" max="7" width="14.109375" style="78" customWidth="1"/>
    <col min="8" max="8" width="13.88671875" style="78" customWidth="1"/>
    <col min="9" max="10" width="13.88671875" style="78" bestFit="1" customWidth="1"/>
    <col min="11" max="11" width="13.5546875" style="78" customWidth="1"/>
    <col min="12" max="12" width="15.33203125" style="78" customWidth="1"/>
    <col min="13" max="13" width="1.5546875" style="78" customWidth="1"/>
    <col min="14" max="16384" width="8.88671875" style="78"/>
  </cols>
  <sheetData>
    <row r="1" spans="1:13">
      <c r="M1" s="301" t="str">
        <f>'Attachment H-11A '!K1&amp;""&amp;", Attachment 12"</f>
        <v>Attachment H -11A, Attachment 12</v>
      </c>
    </row>
    <row r="2" spans="1:13" ht="14.45" customHeight="1">
      <c r="L2" s="854"/>
      <c r="M2" s="301" t="s">
        <v>168</v>
      </c>
    </row>
    <row r="3" spans="1:13">
      <c r="M3" s="301" t="str">
        <f>'Attachment H-11A '!K4</f>
        <v>For the 12 months ended 12/31/2022</v>
      </c>
    </row>
    <row r="4" spans="1:13">
      <c r="A4" s="280"/>
      <c r="G4" s="286"/>
    </row>
    <row r="5" spans="1:13">
      <c r="A5" s="280"/>
      <c r="C5" s="202"/>
      <c r="D5" s="202"/>
    </row>
    <row r="6" spans="1:13">
      <c r="A6" s="280"/>
      <c r="C6" s="202"/>
      <c r="D6" s="202"/>
      <c r="L6" s="286"/>
    </row>
    <row r="7" spans="1:13" ht="14.25" customHeight="1">
      <c r="A7" s="280"/>
    </row>
    <row r="8" spans="1:13" ht="15.75">
      <c r="A8" s="1136" t="s">
        <v>567</v>
      </c>
      <c r="B8" s="1136"/>
      <c r="C8" s="1136"/>
      <c r="D8" s="1136"/>
      <c r="E8" s="1136"/>
      <c r="F8" s="1136"/>
      <c r="G8" s="1136"/>
      <c r="H8" s="1136"/>
      <c r="I8" s="1136"/>
      <c r="J8" s="1136"/>
      <c r="K8" s="1136"/>
      <c r="L8" s="1136"/>
    </row>
    <row r="9" spans="1:13">
      <c r="A9" s="1137" t="s">
        <v>502</v>
      </c>
      <c r="B9" s="1142"/>
      <c r="C9" s="1142"/>
      <c r="D9" s="1142"/>
      <c r="E9" s="1142"/>
      <c r="F9" s="1142"/>
      <c r="G9" s="1142"/>
      <c r="H9" s="1142"/>
      <c r="I9" s="1142"/>
      <c r="J9" s="1142"/>
      <c r="K9" s="1142"/>
      <c r="L9" s="1142"/>
    </row>
    <row r="10" spans="1:13" ht="15.75">
      <c r="A10" s="280"/>
      <c r="E10" s="289"/>
      <c r="H10" s="202"/>
      <c r="I10" s="202"/>
      <c r="J10" s="202"/>
      <c r="K10" s="202"/>
      <c r="L10" s="202"/>
    </row>
    <row r="11" spans="1:13" ht="15.75">
      <c r="A11" s="280"/>
      <c r="E11" s="289"/>
      <c r="F11" s="289"/>
      <c r="H11" s="202"/>
      <c r="I11" s="202"/>
      <c r="J11" s="202"/>
      <c r="K11" s="202"/>
      <c r="L11" s="202"/>
    </row>
    <row r="12" spans="1:13" ht="15.75">
      <c r="A12" s="280"/>
      <c r="C12" s="302" t="s">
        <v>237</v>
      </c>
      <c r="D12" s="302" t="s">
        <v>238</v>
      </c>
      <c r="E12" s="302" t="s">
        <v>239</v>
      </c>
      <c r="F12" s="302" t="s">
        <v>240</v>
      </c>
      <c r="G12" s="302" t="s">
        <v>241</v>
      </c>
      <c r="H12" s="302" t="s">
        <v>242</v>
      </c>
      <c r="I12" s="302" t="s">
        <v>243</v>
      </c>
      <c r="J12" s="302" t="s">
        <v>244</v>
      </c>
      <c r="K12" s="302" t="s">
        <v>245</v>
      </c>
      <c r="L12" s="302" t="s">
        <v>246</v>
      </c>
      <c r="M12" s="302"/>
    </row>
    <row r="13" spans="1:13" s="333" customFormat="1" ht="80.099999999999994" customHeight="1">
      <c r="A13" s="303" t="s">
        <v>159</v>
      </c>
      <c r="B13" s="331"/>
      <c r="C13" s="306" t="s">
        <v>160</v>
      </c>
      <c r="D13" s="306" t="s">
        <v>175</v>
      </c>
      <c r="E13" s="307" t="s">
        <v>508</v>
      </c>
      <c r="F13" s="307" t="s">
        <v>234</v>
      </c>
      <c r="G13" s="306" t="s">
        <v>430</v>
      </c>
      <c r="H13" s="306" t="s">
        <v>431</v>
      </c>
      <c r="I13" s="307" t="s">
        <v>235</v>
      </c>
      <c r="J13" s="307" t="s">
        <v>543</v>
      </c>
      <c r="K13" s="306" t="s">
        <v>544</v>
      </c>
      <c r="L13" s="307" t="s">
        <v>770</v>
      </c>
      <c r="M13" s="332"/>
    </row>
    <row r="14" spans="1:13" ht="66.75" customHeight="1">
      <c r="A14" s="310"/>
      <c r="B14" s="311"/>
      <c r="C14" s="311"/>
      <c r="D14" s="311"/>
      <c r="E14" s="334" t="s">
        <v>692</v>
      </c>
      <c r="F14" s="334" t="s">
        <v>761</v>
      </c>
      <c r="G14" s="334" t="s">
        <v>571</v>
      </c>
      <c r="H14" s="334" t="s">
        <v>432</v>
      </c>
      <c r="I14" s="334" t="s">
        <v>762</v>
      </c>
      <c r="J14" s="312" t="s">
        <v>811</v>
      </c>
      <c r="K14" s="334" t="s">
        <v>812</v>
      </c>
      <c r="L14" s="334" t="s">
        <v>440</v>
      </c>
      <c r="M14" s="335"/>
    </row>
    <row r="15" spans="1:13">
      <c r="A15" s="336">
        <v>1</v>
      </c>
      <c r="B15" s="202" t="s">
        <v>205</v>
      </c>
      <c r="C15" s="202" t="s">
        <v>438</v>
      </c>
      <c r="D15" s="202"/>
      <c r="E15" s="1063">
        <f>'Attachment 13b - PJM Billings'!L37</f>
        <v>15972956.586802505</v>
      </c>
      <c r="F15" s="337"/>
      <c r="G15" s="337"/>
      <c r="H15" s="338"/>
      <c r="I15" s="337"/>
      <c r="J15" s="337"/>
      <c r="K15" s="337"/>
      <c r="L15" s="337"/>
      <c r="M15" s="339"/>
    </row>
    <row r="16" spans="1:13">
      <c r="A16" s="340"/>
      <c r="B16" s="202"/>
      <c r="C16" s="202"/>
      <c r="D16" s="202"/>
      <c r="E16" s="202"/>
      <c r="F16" s="202"/>
      <c r="G16" s="202"/>
      <c r="H16" s="202"/>
      <c r="I16" s="202"/>
      <c r="J16" s="202"/>
      <c r="K16" s="202"/>
      <c r="L16" s="202"/>
      <c r="M16" s="341"/>
    </row>
    <row r="17" spans="1:13" ht="42.75">
      <c r="A17" s="1058" t="s">
        <v>464</v>
      </c>
      <c r="B17" s="1059"/>
      <c r="C17" s="1060" t="s">
        <v>1329</v>
      </c>
      <c r="D17" s="1061" t="s">
        <v>1330</v>
      </c>
      <c r="E17" s="325"/>
      <c r="F17" s="1062">
        <v>56977.474393793884</v>
      </c>
      <c r="G17" s="1065">
        <f>IF($F$34=0,0,F17/$F$34)</f>
        <v>3.6206432526142548E-3</v>
      </c>
      <c r="H17" s="1066">
        <f>IF($E$15=0,0,$E$15*G17)</f>
        <v>57832.377490306906</v>
      </c>
      <c r="I17" s="1062">
        <f>'Attachment 11 - TEC'!Q62</f>
        <v>58760.758242350807</v>
      </c>
      <c r="J17" s="1066">
        <f>H17-I17</f>
        <v>-928.38075204390043</v>
      </c>
      <c r="K17" s="1067">
        <f>J17/$J$34*$L$36</f>
        <v>-62.835910071790799</v>
      </c>
      <c r="L17" s="1066">
        <f>J17+K17</f>
        <v>-991.21666211569118</v>
      </c>
      <c r="M17" s="342"/>
    </row>
    <row r="18" spans="1:13">
      <c r="A18" s="1058" t="s">
        <v>465</v>
      </c>
      <c r="B18" s="1059"/>
      <c r="C18" s="1060" t="s">
        <v>1331</v>
      </c>
      <c r="D18" s="1061" t="s">
        <v>1332</v>
      </c>
      <c r="E18" s="325"/>
      <c r="F18" s="1062">
        <v>70028.292262997624</v>
      </c>
      <c r="G18" s="1065">
        <f t="shared" ref="G18:G19" si="0">IF($F$34=0,0,F18/$F$34)</f>
        <v>4.4499596826941554E-3</v>
      </c>
      <c r="H18" s="1066">
        <f>IF($E$15=0,0,$E$15*G18)</f>
        <v>71079.012824695194</v>
      </c>
      <c r="I18" s="1062">
        <f>'Attachment 11 - TEC'!Q63</f>
        <v>75829.789277261792</v>
      </c>
      <c r="J18" s="1066">
        <f t="shared" ref="J18:J19" si="1">H18-I18</f>
        <v>-4750.7764525665989</v>
      </c>
      <c r="K18" s="1067">
        <f>J18/$J$34*$L$36</f>
        <v>-321.54841780965751</v>
      </c>
      <c r="L18" s="1066">
        <f t="shared" ref="L18:L19" si="2">J18+K18</f>
        <v>-5072.3248703762565</v>
      </c>
      <c r="M18" s="342"/>
    </row>
    <row r="19" spans="1:13" ht="42.75">
      <c r="A19" s="1058" t="s">
        <v>466</v>
      </c>
      <c r="B19" s="1059"/>
      <c r="C19" s="1060" t="s">
        <v>1339</v>
      </c>
      <c r="D19" s="1061" t="s">
        <v>1340</v>
      </c>
      <c r="E19" s="325"/>
      <c r="F19" s="1062">
        <v>1413347.4623631509</v>
      </c>
      <c r="G19" s="1065">
        <f t="shared" si="0"/>
        <v>8.9811403675730525E-2</v>
      </c>
      <c r="H19" s="1066">
        <f>IF($E$15=0,0,$E$15*G19)</f>
        <v>1434553.6519122387</v>
      </c>
      <c r="I19" s="1062">
        <f>'Attachment 11 - TEC'!Q67</f>
        <v>1453215.5461336763</v>
      </c>
      <c r="J19" s="1066">
        <f t="shared" si="1"/>
        <v>-18661.894221437629</v>
      </c>
      <c r="K19" s="1067">
        <f>J19/$J$34*$L$36</f>
        <v>-1263.0993312667008</v>
      </c>
      <c r="L19" s="1066">
        <f t="shared" si="2"/>
        <v>-19924.993552704331</v>
      </c>
      <c r="M19" s="342"/>
    </row>
    <row r="20" spans="1:13" ht="42.75">
      <c r="A20" s="1058" t="s">
        <v>509</v>
      </c>
      <c r="B20" s="188"/>
      <c r="C20" s="1060" t="s">
        <v>1335</v>
      </c>
      <c r="D20" s="1061" t="s">
        <v>1336</v>
      </c>
      <c r="E20" s="325"/>
      <c r="F20" s="1062">
        <v>95632.720655192359</v>
      </c>
      <c r="G20" s="1065">
        <f t="shared" ref="G20:G22" si="3">IF($F$34=0,0,F20/$F$34)</f>
        <v>6.0769974178967933E-3</v>
      </c>
      <c r="H20" s="1066">
        <f t="shared" ref="H20:H22" si="4">IF($E$15=0,0,$E$15*G20)</f>
        <v>97067.6159341764</v>
      </c>
      <c r="I20" s="1062">
        <f>'Attachment 11 - TEC'!Q65</f>
        <v>112995.28168884158</v>
      </c>
      <c r="J20" s="1066">
        <f t="shared" ref="J20:J22" si="5">H20-I20</f>
        <v>-15927.665754665184</v>
      </c>
      <c r="K20" s="1067">
        <f t="shared" ref="K20:K22" si="6">J20/$J$34*$L$36</f>
        <v>-1078.0376163662181</v>
      </c>
      <c r="L20" s="1066">
        <f t="shared" ref="L20:L22" si="7">J20+K20</f>
        <v>-17005.703371031403</v>
      </c>
      <c r="M20" s="342"/>
    </row>
    <row r="21" spans="1:13" ht="28.5">
      <c r="A21" s="1058" t="s">
        <v>764</v>
      </c>
      <c r="B21" s="188"/>
      <c r="C21" s="1060" t="s">
        <v>1337</v>
      </c>
      <c r="D21" s="1061" t="s">
        <v>1338</v>
      </c>
      <c r="E21" s="325"/>
      <c r="F21" s="1062">
        <v>128332.93131405042</v>
      </c>
      <c r="G21" s="1065">
        <f t="shared" si="3"/>
        <v>8.1549378380491328E-3</v>
      </c>
      <c r="H21" s="1066">
        <f t="shared" si="4"/>
        <v>130258.46805523188</v>
      </c>
      <c r="I21" s="1062">
        <f>'Attachment 11 - TEC'!Q66</f>
        <v>137506.25161672191</v>
      </c>
      <c r="J21" s="1066">
        <f t="shared" si="5"/>
        <v>-7247.7835614900396</v>
      </c>
      <c r="K21" s="1067">
        <f t="shared" si="6"/>
        <v>-490.5541988962479</v>
      </c>
      <c r="L21" s="1066">
        <f t="shared" si="7"/>
        <v>-7738.3377603862873</v>
      </c>
      <c r="M21" s="342"/>
    </row>
    <row r="22" spans="1:13" ht="42.75">
      <c r="A22" s="1058" t="s">
        <v>765</v>
      </c>
      <c r="B22" s="188"/>
      <c r="C22" s="1060" t="s">
        <v>1333</v>
      </c>
      <c r="D22" s="1061" t="s">
        <v>1334</v>
      </c>
      <c r="E22" s="190"/>
      <c r="F22" s="1062">
        <v>13972518.586401114</v>
      </c>
      <c r="G22" s="1065">
        <f t="shared" si="3"/>
        <v>0.88788605813301513</v>
      </c>
      <c r="H22" s="1066">
        <f t="shared" si="4"/>
        <v>14182165.460585857</v>
      </c>
      <c r="I22" s="1062">
        <f>'Attachment 11 - TEC'!Q64</f>
        <v>14694693.553307533</v>
      </c>
      <c r="J22" s="1066">
        <f t="shared" si="5"/>
        <v>-512528.09272167645</v>
      </c>
      <c r="K22" s="1067">
        <f t="shared" si="6"/>
        <v>-34689.613149156314</v>
      </c>
      <c r="L22" s="1066">
        <f t="shared" si="7"/>
        <v>-547217.70587083278</v>
      </c>
      <c r="M22" s="343"/>
    </row>
    <row r="23" spans="1:13">
      <c r="A23" s="282"/>
      <c r="C23" s="187"/>
      <c r="D23" s="187"/>
      <c r="E23" s="190"/>
      <c r="F23" s="190"/>
      <c r="G23" s="190"/>
      <c r="H23" s="190"/>
      <c r="I23" s="190"/>
      <c r="J23" s="190"/>
      <c r="K23" s="190"/>
      <c r="L23" s="190"/>
      <c r="M23" s="343"/>
    </row>
    <row r="24" spans="1:13">
      <c r="A24" s="282"/>
      <c r="C24" s="187"/>
      <c r="D24" s="187"/>
      <c r="E24" s="190"/>
      <c r="F24" s="190"/>
      <c r="G24" s="190"/>
      <c r="H24" s="190"/>
      <c r="I24" s="190"/>
      <c r="J24" s="190"/>
      <c r="K24" s="190"/>
      <c r="L24" s="190"/>
      <c r="M24" s="343"/>
    </row>
    <row r="25" spans="1:13">
      <c r="A25" s="282"/>
      <c r="C25" s="187"/>
      <c r="D25" s="187"/>
      <c r="E25" s="190"/>
      <c r="F25" s="190"/>
      <c r="G25" s="190"/>
      <c r="H25" s="190"/>
      <c r="I25" s="190"/>
      <c r="J25" s="190"/>
      <c r="K25" s="190"/>
      <c r="L25" s="190"/>
      <c r="M25" s="343"/>
    </row>
    <row r="26" spans="1:13">
      <c r="A26" s="282"/>
      <c r="C26" s="187"/>
      <c r="D26" s="187"/>
      <c r="E26" s="190"/>
      <c r="F26" s="190"/>
      <c r="G26" s="190"/>
      <c r="H26" s="190"/>
      <c r="I26" s="190"/>
      <c r="J26" s="190"/>
      <c r="K26" s="190"/>
      <c r="L26" s="190"/>
      <c r="M26" s="343"/>
    </row>
    <row r="27" spans="1:13">
      <c r="A27" s="282"/>
      <c r="C27" s="187"/>
      <c r="D27" s="187"/>
      <c r="E27" s="190"/>
      <c r="F27" s="190"/>
      <c r="G27" s="190"/>
      <c r="H27" s="190"/>
      <c r="I27" s="190"/>
      <c r="J27" s="190"/>
      <c r="K27" s="190"/>
      <c r="L27" s="190"/>
      <c r="M27" s="343"/>
    </row>
    <row r="28" spans="1:13">
      <c r="A28" s="282"/>
      <c r="C28" s="187"/>
      <c r="D28" s="187"/>
      <c r="E28" s="190"/>
      <c r="F28" s="190"/>
      <c r="G28" s="190"/>
      <c r="H28" s="190"/>
      <c r="I28" s="190"/>
      <c r="J28" s="190"/>
      <c r="K28" s="190"/>
      <c r="L28" s="190"/>
      <c r="M28" s="343"/>
    </row>
    <row r="29" spans="1:13">
      <c r="A29" s="282"/>
      <c r="C29" s="187"/>
      <c r="D29" s="187"/>
      <c r="E29" s="190"/>
      <c r="F29" s="190"/>
      <c r="G29" s="190"/>
      <c r="H29" s="190"/>
      <c r="I29" s="190"/>
      <c r="J29" s="190"/>
      <c r="K29" s="190"/>
      <c r="L29" s="190"/>
      <c r="M29" s="343"/>
    </row>
    <row r="30" spans="1:13">
      <c r="A30" s="282"/>
      <c r="C30" s="187"/>
      <c r="D30" s="187"/>
      <c r="E30" s="190"/>
      <c r="F30" s="190"/>
      <c r="G30" s="190"/>
      <c r="H30" s="190"/>
      <c r="I30" s="190"/>
      <c r="J30" s="190"/>
      <c r="K30" s="190"/>
      <c r="L30" s="190"/>
      <c r="M30" s="343"/>
    </row>
    <row r="31" spans="1:13">
      <c r="A31" s="282"/>
      <c r="C31" s="187"/>
      <c r="D31" s="187"/>
      <c r="E31" s="190"/>
      <c r="F31" s="190"/>
      <c r="G31" s="190"/>
      <c r="H31" s="190"/>
      <c r="I31" s="190"/>
      <c r="J31" s="190"/>
      <c r="K31" s="190"/>
      <c r="L31" s="190"/>
      <c r="M31" s="343"/>
    </row>
    <row r="32" spans="1:13">
      <c r="A32" s="282"/>
      <c r="C32" s="187"/>
      <c r="D32" s="187"/>
      <c r="E32" s="190"/>
      <c r="F32" s="190"/>
      <c r="G32" s="190"/>
      <c r="H32" s="190"/>
      <c r="I32" s="190"/>
      <c r="J32" s="190"/>
      <c r="K32" s="190"/>
      <c r="L32" s="190"/>
      <c r="M32" s="343"/>
    </row>
    <row r="33" spans="1:13">
      <c r="A33" s="322"/>
      <c r="B33" s="300"/>
      <c r="C33" s="323"/>
      <c r="D33" s="323"/>
      <c r="E33" s="344"/>
      <c r="F33" s="344"/>
      <c r="G33" s="344"/>
      <c r="H33" s="344"/>
      <c r="I33" s="344"/>
      <c r="J33" s="344"/>
      <c r="K33" s="344"/>
      <c r="L33" s="344"/>
      <c r="M33" s="345"/>
    </row>
    <row r="34" spans="1:13">
      <c r="A34" s="284" t="s">
        <v>191</v>
      </c>
      <c r="B34" s="346"/>
      <c r="C34" s="78" t="s">
        <v>236</v>
      </c>
      <c r="D34" s="202"/>
      <c r="E34" s="295"/>
      <c r="F34" s="1068">
        <f>SUM(F17:F33)</f>
        <v>15736837.467390299</v>
      </c>
      <c r="G34" s="1068"/>
      <c r="H34" s="1068"/>
      <c r="I34" s="1068">
        <f>SUM(I17:I33)</f>
        <v>16533001.180266386</v>
      </c>
      <c r="J34" s="1068">
        <f>SUM(J17:J33)</f>
        <v>-560044.59346387978</v>
      </c>
      <c r="K34" s="1064"/>
      <c r="L34" s="1064">
        <f>SUM(L17:L33)</f>
        <v>-597950.28208744677</v>
      </c>
      <c r="M34" s="325"/>
    </row>
    <row r="35" spans="1:13">
      <c r="A35" s="187"/>
      <c r="B35" s="187"/>
      <c r="E35" s="187"/>
    </row>
    <row r="36" spans="1:13">
      <c r="A36" s="284" t="s">
        <v>192</v>
      </c>
      <c r="B36" s="187"/>
      <c r="C36" s="78" t="s">
        <v>1161</v>
      </c>
      <c r="E36" s="187"/>
      <c r="J36" s="325"/>
      <c r="L36" s="325">
        <f>'Attachment 13a - TEC True-Up'!G73</f>
        <v>-37905.68862356693</v>
      </c>
      <c r="M36" s="325"/>
    </row>
    <row r="37" spans="1:13">
      <c r="A37" s="329"/>
      <c r="B37" s="187"/>
      <c r="E37" s="187"/>
    </row>
    <row r="38" spans="1:13">
      <c r="A38" s="187" t="s">
        <v>247</v>
      </c>
      <c r="B38" s="187"/>
      <c r="C38" s="187"/>
      <c r="D38" s="187"/>
      <c r="E38" s="187"/>
      <c r="F38" s="187"/>
      <c r="G38" s="187"/>
      <c r="H38" s="187"/>
      <c r="I38" s="187"/>
      <c r="J38" s="187"/>
      <c r="K38" s="187"/>
      <c r="L38" s="187"/>
      <c r="M38" s="187"/>
    </row>
    <row r="39" spans="1:13">
      <c r="A39" s="327"/>
      <c r="B39" s="187" t="s">
        <v>205</v>
      </c>
      <c r="C39" s="1049" t="s">
        <v>429</v>
      </c>
      <c r="D39" s="1049"/>
      <c r="E39" s="187"/>
      <c r="F39" s="187"/>
      <c r="G39" s="187"/>
      <c r="H39" s="187"/>
      <c r="I39" s="187"/>
      <c r="J39" s="187"/>
      <c r="K39" s="187"/>
      <c r="L39" s="187"/>
      <c r="M39" s="187"/>
    </row>
    <row r="40" spans="1:13">
      <c r="A40" s="347"/>
      <c r="C40" s="284"/>
      <c r="D40" s="284"/>
      <c r="E40" s="295"/>
      <c r="F40" s="295"/>
      <c r="G40" s="286"/>
      <c r="J40" s="330"/>
    </row>
    <row r="41" spans="1:13">
      <c r="A41" s="347"/>
      <c r="C41" s="284"/>
      <c r="D41" s="284"/>
      <c r="E41" s="295"/>
      <c r="F41" s="295"/>
      <c r="G41" s="286"/>
      <c r="J41" s="330"/>
    </row>
    <row r="42" spans="1:13">
      <c r="C42" s="187"/>
      <c r="D42" s="187"/>
      <c r="E42" s="187"/>
      <c r="F42" s="187"/>
      <c r="G42" s="187"/>
      <c r="H42" s="187"/>
      <c r="I42" s="187"/>
      <c r="J42" s="187"/>
      <c r="K42" s="187"/>
      <c r="L42" s="187"/>
    </row>
    <row r="43" spans="1:13">
      <c r="C43" s="187"/>
      <c r="D43" s="187"/>
      <c r="E43" s="187"/>
      <c r="F43" s="187"/>
      <c r="G43" s="187"/>
      <c r="H43" s="187"/>
      <c r="I43" s="187"/>
      <c r="J43" s="187"/>
      <c r="K43" s="187"/>
      <c r="L43" s="187"/>
    </row>
    <row r="44" spans="1:13">
      <c r="C44" s="187"/>
      <c r="D44" s="187"/>
      <c r="E44" s="187"/>
      <c r="F44" s="187"/>
      <c r="G44" s="187"/>
      <c r="H44" s="187"/>
      <c r="I44" s="187"/>
      <c r="J44" s="187"/>
      <c r="K44" s="187"/>
      <c r="L44" s="187"/>
    </row>
    <row r="45" spans="1:13">
      <c r="C45" s="187"/>
      <c r="D45" s="187"/>
      <c r="E45" s="187"/>
      <c r="F45" s="187"/>
      <c r="G45" s="187"/>
      <c r="H45" s="187"/>
      <c r="I45" s="187"/>
      <c r="J45" s="187"/>
      <c r="K45" s="187"/>
      <c r="L45" s="187"/>
    </row>
    <row r="46" spans="1:13">
      <c r="C46" s="187"/>
      <c r="D46" s="187"/>
      <c r="E46" s="187"/>
      <c r="F46" s="187"/>
      <c r="G46" s="187"/>
      <c r="H46" s="187"/>
      <c r="I46" s="187"/>
      <c r="J46" s="187"/>
      <c r="K46" s="187"/>
      <c r="L46" s="187"/>
    </row>
    <row r="47" spans="1:13">
      <c r="C47" s="187"/>
      <c r="D47" s="187"/>
      <c r="E47" s="187"/>
      <c r="F47" s="187"/>
      <c r="G47" s="187"/>
      <c r="H47" s="187"/>
      <c r="I47" s="187"/>
      <c r="J47" s="187"/>
      <c r="K47" s="187"/>
      <c r="L47" s="187"/>
    </row>
    <row r="48" spans="1:13">
      <c r="C48" s="187"/>
      <c r="D48" s="187"/>
      <c r="E48" s="187"/>
      <c r="F48" s="187"/>
      <c r="G48" s="187"/>
      <c r="H48" s="187"/>
      <c r="I48" s="187"/>
      <c r="J48" s="187"/>
      <c r="K48" s="187"/>
      <c r="L48" s="187"/>
    </row>
    <row r="49" spans="3:12">
      <c r="C49" s="187"/>
      <c r="D49" s="187"/>
      <c r="E49" s="187"/>
      <c r="F49" s="187"/>
      <c r="G49" s="187"/>
      <c r="H49" s="187"/>
      <c r="I49" s="187"/>
      <c r="J49" s="187"/>
      <c r="K49" s="187"/>
      <c r="L49" s="187"/>
    </row>
    <row r="50" spans="3:12">
      <c r="C50" s="187"/>
      <c r="D50" s="187"/>
      <c r="E50" s="187"/>
      <c r="F50" s="187"/>
      <c r="G50" s="187"/>
      <c r="H50" s="187"/>
      <c r="I50" s="187"/>
      <c r="J50" s="187"/>
      <c r="K50" s="187"/>
      <c r="L50" s="187"/>
    </row>
    <row r="51" spans="3:12">
      <c r="C51" s="187"/>
      <c r="D51" s="187"/>
      <c r="E51" s="187"/>
      <c r="F51" s="187"/>
      <c r="G51" s="187"/>
      <c r="H51" s="187"/>
      <c r="I51" s="187"/>
      <c r="J51" s="187"/>
      <c r="K51" s="187"/>
      <c r="L51" s="187"/>
    </row>
    <row r="52" spans="3:12">
      <c r="C52" s="187"/>
      <c r="D52" s="187"/>
      <c r="E52" s="187"/>
      <c r="F52" s="187"/>
      <c r="G52" s="187"/>
      <c r="H52" s="187"/>
      <c r="I52" s="187"/>
      <c r="J52" s="187"/>
      <c r="K52" s="187"/>
      <c r="L52" s="187"/>
    </row>
    <row r="53" spans="3:12">
      <c r="C53" s="187"/>
      <c r="D53" s="187"/>
      <c r="E53" s="187"/>
      <c r="F53" s="187"/>
      <c r="G53" s="187"/>
      <c r="H53" s="187"/>
      <c r="I53" s="187"/>
      <c r="J53" s="187"/>
      <c r="K53" s="187"/>
      <c r="L53" s="187"/>
    </row>
    <row r="54" spans="3:12">
      <c r="C54" s="187"/>
      <c r="D54" s="187"/>
      <c r="E54" s="187"/>
      <c r="F54" s="187"/>
      <c r="G54" s="187"/>
      <c r="H54" s="187"/>
      <c r="I54" s="187"/>
      <c r="J54" s="187"/>
      <c r="K54" s="187"/>
      <c r="L54" s="187"/>
    </row>
    <row r="55" spans="3:12">
      <c r="C55" s="187"/>
      <c r="D55" s="187"/>
      <c r="E55" s="187"/>
      <c r="F55" s="187"/>
      <c r="G55" s="187"/>
      <c r="H55" s="187"/>
      <c r="I55" s="187"/>
      <c r="J55" s="187"/>
      <c r="K55" s="187"/>
      <c r="L55" s="187"/>
    </row>
    <row r="56" spans="3:12">
      <c r="C56" s="187"/>
      <c r="D56" s="187"/>
      <c r="E56" s="187"/>
      <c r="F56" s="187"/>
      <c r="G56" s="187"/>
      <c r="H56" s="187"/>
      <c r="I56" s="187"/>
      <c r="J56" s="187"/>
      <c r="K56" s="187"/>
      <c r="L56" s="187"/>
    </row>
    <row r="57" spans="3:12">
      <c r="C57" s="187"/>
      <c r="D57" s="187"/>
      <c r="E57" s="187"/>
      <c r="F57" s="187"/>
      <c r="G57" s="187"/>
      <c r="H57" s="187"/>
      <c r="I57" s="187"/>
      <c r="J57" s="187"/>
      <c r="K57" s="187"/>
      <c r="L57" s="187"/>
    </row>
    <row r="58" spans="3:12">
      <c r="C58" s="187"/>
      <c r="D58" s="187"/>
      <c r="E58" s="187"/>
      <c r="F58" s="187"/>
      <c r="G58" s="187"/>
      <c r="H58" s="187"/>
      <c r="I58" s="187"/>
      <c r="J58" s="187"/>
      <c r="K58" s="187"/>
      <c r="L58" s="187"/>
    </row>
    <row r="59" spans="3:12">
      <c r="C59" s="187"/>
      <c r="D59" s="187"/>
      <c r="E59" s="187"/>
      <c r="F59" s="187"/>
      <c r="G59" s="187"/>
      <c r="H59" s="187"/>
      <c r="I59" s="187"/>
      <c r="J59" s="187"/>
      <c r="K59" s="187"/>
      <c r="L59" s="187"/>
    </row>
    <row r="60" spans="3:12">
      <c r="C60" s="187"/>
      <c r="D60" s="187"/>
      <c r="E60" s="187"/>
      <c r="F60" s="187"/>
      <c r="G60" s="187"/>
      <c r="H60" s="187"/>
      <c r="I60" s="187"/>
      <c r="J60" s="187"/>
      <c r="K60" s="187"/>
      <c r="L60" s="187"/>
    </row>
    <row r="61" spans="3:12">
      <c r="C61" s="187"/>
      <c r="D61" s="187"/>
      <c r="E61" s="187"/>
      <c r="F61" s="187"/>
      <c r="G61" s="187"/>
      <c r="H61" s="187"/>
      <c r="I61" s="187"/>
      <c r="J61" s="187"/>
      <c r="K61" s="187"/>
      <c r="L61" s="187"/>
    </row>
    <row r="62" spans="3:12">
      <c r="C62" s="187"/>
      <c r="D62" s="187"/>
      <c r="E62" s="187"/>
      <c r="F62" s="187"/>
      <c r="G62" s="187"/>
      <c r="H62" s="187"/>
      <c r="I62" s="187"/>
      <c r="J62" s="187"/>
      <c r="K62" s="187"/>
      <c r="L62" s="187"/>
    </row>
    <row r="63" spans="3:12">
      <c r="C63" s="187"/>
      <c r="D63" s="187"/>
      <c r="E63" s="187"/>
      <c r="F63" s="187"/>
      <c r="G63" s="187"/>
      <c r="H63" s="187"/>
      <c r="I63" s="187"/>
      <c r="J63" s="187"/>
      <c r="K63" s="187"/>
      <c r="L63" s="187"/>
    </row>
    <row r="64" spans="3:12">
      <c r="C64" s="187"/>
      <c r="D64" s="187"/>
      <c r="E64" s="187"/>
      <c r="F64" s="187"/>
      <c r="G64" s="187"/>
      <c r="H64" s="187"/>
      <c r="I64" s="187"/>
      <c r="J64" s="187"/>
      <c r="K64" s="187"/>
      <c r="L64" s="187"/>
    </row>
    <row r="65" spans="3:12">
      <c r="C65" s="187"/>
      <c r="D65" s="187"/>
      <c r="E65" s="187"/>
      <c r="F65" s="187"/>
      <c r="G65" s="187"/>
      <c r="H65" s="187"/>
      <c r="I65" s="187"/>
      <c r="J65" s="187"/>
      <c r="K65" s="187"/>
      <c r="L65" s="187"/>
    </row>
    <row r="66" spans="3:12">
      <c r="C66" s="187"/>
      <c r="D66" s="187"/>
      <c r="E66" s="187"/>
      <c r="F66" s="187"/>
      <c r="G66" s="187"/>
      <c r="H66" s="187"/>
      <c r="I66" s="187"/>
      <c r="J66" s="187"/>
      <c r="K66" s="187"/>
      <c r="L66" s="187"/>
    </row>
    <row r="67" spans="3:12">
      <c r="C67" s="187"/>
      <c r="D67" s="187"/>
      <c r="E67" s="187"/>
      <c r="F67" s="187"/>
      <c r="G67" s="187"/>
      <c r="H67" s="187"/>
      <c r="I67" s="187"/>
      <c r="J67" s="187"/>
      <c r="K67" s="187"/>
      <c r="L67" s="187"/>
    </row>
    <row r="68" spans="3:12">
      <c r="C68" s="187"/>
      <c r="D68" s="187"/>
      <c r="E68" s="187"/>
      <c r="F68" s="187"/>
      <c r="G68" s="187"/>
      <c r="H68" s="187"/>
      <c r="I68" s="187"/>
      <c r="J68" s="187"/>
      <c r="K68" s="187"/>
      <c r="L68" s="187"/>
    </row>
    <row r="69" spans="3:12">
      <c r="C69" s="187"/>
      <c r="D69" s="187"/>
      <c r="E69" s="187"/>
      <c r="F69" s="187"/>
      <c r="G69" s="187"/>
      <c r="H69" s="187"/>
      <c r="I69" s="187"/>
      <c r="J69" s="187"/>
      <c r="K69" s="187"/>
      <c r="L69" s="187"/>
    </row>
    <row r="70" spans="3:12">
      <c r="C70" s="187"/>
      <c r="D70" s="187"/>
      <c r="E70" s="187"/>
      <c r="F70" s="187"/>
      <c r="G70" s="187"/>
      <c r="H70" s="187"/>
      <c r="I70" s="187"/>
      <c r="J70" s="187"/>
      <c r="K70" s="187"/>
      <c r="L70" s="187"/>
    </row>
    <row r="71" spans="3:12">
      <c r="C71" s="187"/>
      <c r="D71" s="187"/>
      <c r="E71" s="187"/>
      <c r="F71" s="187"/>
      <c r="G71" s="187"/>
      <c r="H71" s="187"/>
      <c r="I71" s="187"/>
      <c r="J71" s="187"/>
      <c r="K71" s="187"/>
      <c r="L71" s="187"/>
    </row>
    <row r="72" spans="3:12">
      <c r="C72" s="187"/>
      <c r="D72" s="187"/>
      <c r="E72" s="187"/>
      <c r="F72" s="187"/>
      <c r="G72" s="187"/>
      <c r="H72" s="187"/>
      <c r="I72" s="187"/>
      <c r="J72" s="187"/>
      <c r="K72" s="187"/>
      <c r="L72" s="187"/>
    </row>
    <row r="73" spans="3:12">
      <c r="C73" s="187"/>
      <c r="D73" s="187"/>
      <c r="E73" s="187"/>
      <c r="F73" s="187"/>
      <c r="G73" s="187"/>
      <c r="H73" s="187"/>
      <c r="I73" s="187"/>
      <c r="J73" s="187"/>
      <c r="K73" s="187"/>
      <c r="L73" s="187"/>
    </row>
    <row r="74" spans="3:12">
      <c r="C74" s="187"/>
      <c r="D74" s="187"/>
      <c r="E74" s="187"/>
      <c r="F74" s="187"/>
      <c r="G74" s="187"/>
      <c r="H74" s="187"/>
      <c r="I74" s="187"/>
      <c r="J74" s="187"/>
      <c r="K74" s="187"/>
      <c r="L74" s="187"/>
    </row>
    <row r="75" spans="3:12">
      <c r="C75" s="187"/>
      <c r="D75" s="187"/>
      <c r="E75" s="187"/>
      <c r="F75" s="187"/>
      <c r="G75" s="187"/>
      <c r="H75" s="187"/>
      <c r="I75" s="187"/>
      <c r="J75" s="187"/>
      <c r="K75" s="187"/>
      <c r="L75" s="187"/>
    </row>
    <row r="76" spans="3:12">
      <c r="C76" s="187"/>
      <c r="D76" s="187"/>
      <c r="E76" s="187"/>
      <c r="F76" s="187"/>
      <c r="G76" s="187"/>
      <c r="H76" s="187"/>
      <c r="I76" s="187"/>
      <c r="J76" s="187"/>
      <c r="K76" s="187"/>
      <c r="L76" s="187"/>
    </row>
    <row r="77" spans="3:12">
      <c r="C77" s="187"/>
      <c r="D77" s="187"/>
      <c r="E77" s="187"/>
      <c r="F77" s="187"/>
      <c r="G77" s="187"/>
      <c r="H77" s="187"/>
      <c r="I77" s="187"/>
      <c r="J77" s="187"/>
      <c r="K77" s="187"/>
      <c r="L77" s="187"/>
    </row>
    <row r="78" spans="3:12">
      <c r="C78" s="187"/>
      <c r="D78" s="187"/>
      <c r="E78" s="187"/>
      <c r="F78" s="187"/>
      <c r="G78" s="187"/>
      <c r="H78" s="187"/>
      <c r="I78" s="187"/>
      <c r="J78" s="187"/>
      <c r="K78" s="187"/>
      <c r="L78" s="187"/>
    </row>
    <row r="79" spans="3:12">
      <c r="C79" s="187"/>
      <c r="D79" s="187"/>
      <c r="E79" s="187"/>
      <c r="F79" s="187"/>
      <c r="G79" s="187"/>
      <c r="H79" s="187"/>
      <c r="I79" s="187"/>
      <c r="J79" s="187"/>
      <c r="K79" s="187"/>
      <c r="L79" s="187"/>
    </row>
    <row r="80" spans="3:12">
      <c r="C80" s="187"/>
      <c r="D80" s="187"/>
      <c r="E80" s="187"/>
      <c r="F80" s="187"/>
      <c r="G80" s="187"/>
      <c r="H80" s="187"/>
      <c r="I80" s="187"/>
      <c r="J80" s="187"/>
      <c r="K80" s="187"/>
      <c r="L80" s="187"/>
    </row>
    <row r="81" spans="3:12">
      <c r="C81" s="187"/>
      <c r="D81" s="187"/>
      <c r="E81" s="187"/>
      <c r="F81" s="187"/>
      <c r="G81" s="187"/>
      <c r="H81" s="187"/>
      <c r="I81" s="187"/>
      <c r="J81" s="187"/>
      <c r="K81" s="187"/>
      <c r="L81" s="187"/>
    </row>
    <row r="82" spans="3:12">
      <c r="C82" s="187"/>
      <c r="D82" s="187"/>
      <c r="E82" s="187"/>
      <c r="F82" s="187"/>
      <c r="G82" s="187"/>
      <c r="H82" s="187"/>
      <c r="I82" s="187"/>
      <c r="J82" s="187"/>
      <c r="K82" s="187"/>
      <c r="L82" s="187"/>
    </row>
    <row r="83" spans="3:12">
      <c r="C83" s="187"/>
      <c r="D83" s="187"/>
      <c r="E83" s="187"/>
      <c r="F83" s="187"/>
      <c r="G83" s="187"/>
      <c r="H83" s="187"/>
      <c r="I83" s="187"/>
      <c r="J83" s="187"/>
      <c r="K83" s="187"/>
      <c r="L83" s="187"/>
    </row>
    <row r="84" spans="3:12">
      <c r="C84" s="187"/>
      <c r="D84" s="187"/>
      <c r="E84" s="187"/>
      <c r="F84" s="187"/>
      <c r="G84" s="187"/>
      <c r="H84" s="187"/>
      <c r="I84" s="187"/>
      <c r="J84" s="187"/>
      <c r="K84" s="187"/>
      <c r="L84" s="187"/>
    </row>
    <row r="85" spans="3:12">
      <c r="C85" s="187"/>
      <c r="D85" s="187"/>
      <c r="E85" s="187"/>
      <c r="F85" s="187"/>
      <c r="G85" s="187"/>
      <c r="H85" s="187"/>
      <c r="I85" s="187"/>
      <c r="J85" s="187"/>
      <c r="K85" s="187"/>
      <c r="L85" s="187"/>
    </row>
    <row r="86" spans="3:12">
      <c r="C86" s="187"/>
      <c r="D86" s="187"/>
      <c r="E86" s="187"/>
      <c r="F86" s="187"/>
      <c r="G86" s="187"/>
      <c r="H86" s="187"/>
      <c r="I86" s="187"/>
      <c r="J86" s="187"/>
      <c r="K86" s="187"/>
      <c r="L86" s="187"/>
    </row>
    <row r="87" spans="3:12">
      <c r="C87" s="187"/>
      <c r="D87" s="187"/>
      <c r="E87" s="187"/>
      <c r="F87" s="187"/>
      <c r="G87" s="187"/>
      <c r="H87" s="187"/>
      <c r="I87" s="187"/>
      <c r="J87" s="187"/>
      <c r="K87" s="187"/>
      <c r="L87" s="187"/>
    </row>
    <row r="88" spans="3:12">
      <c r="C88" s="187"/>
      <c r="D88" s="187"/>
      <c r="E88" s="187"/>
      <c r="F88" s="187"/>
      <c r="G88" s="187"/>
      <c r="H88" s="187"/>
      <c r="I88" s="187"/>
      <c r="J88" s="187"/>
      <c r="K88" s="187"/>
      <c r="L88" s="187"/>
    </row>
    <row r="89" spans="3:12">
      <c r="C89" s="187"/>
      <c r="D89" s="187"/>
      <c r="E89" s="187"/>
      <c r="F89" s="187"/>
      <c r="G89" s="187"/>
      <c r="H89" s="187"/>
      <c r="I89" s="187"/>
      <c r="J89" s="187"/>
      <c r="K89" s="187"/>
      <c r="L89" s="187"/>
    </row>
    <row r="90" spans="3:12">
      <c r="C90" s="187"/>
      <c r="D90" s="187"/>
      <c r="E90" s="187"/>
      <c r="F90" s="187"/>
      <c r="G90" s="187"/>
      <c r="H90" s="187"/>
      <c r="I90" s="187"/>
      <c r="J90" s="187"/>
      <c r="K90" s="187"/>
      <c r="L90" s="187"/>
    </row>
    <row r="91" spans="3:12">
      <c r="C91" s="187"/>
      <c r="D91" s="187"/>
      <c r="E91" s="187"/>
      <c r="F91" s="187"/>
      <c r="G91" s="187"/>
      <c r="H91" s="187"/>
      <c r="I91" s="187"/>
      <c r="J91" s="187"/>
      <c r="K91" s="187"/>
      <c r="L91" s="187"/>
    </row>
    <row r="92" spans="3:12">
      <c r="C92" s="187"/>
      <c r="D92" s="187"/>
      <c r="E92" s="187"/>
      <c r="F92" s="187"/>
      <c r="G92" s="187"/>
      <c r="H92" s="187"/>
      <c r="I92" s="187"/>
      <c r="J92" s="187"/>
      <c r="K92" s="187"/>
      <c r="L92" s="187"/>
    </row>
    <row r="93" spans="3:12">
      <c r="C93" s="187"/>
      <c r="D93" s="187"/>
      <c r="E93" s="187"/>
      <c r="F93" s="187"/>
      <c r="G93" s="187"/>
      <c r="H93" s="187"/>
      <c r="I93" s="187"/>
      <c r="J93" s="187"/>
      <c r="K93" s="187"/>
      <c r="L93" s="187"/>
    </row>
    <row r="94" spans="3:12">
      <c r="C94" s="187"/>
      <c r="D94" s="187"/>
      <c r="E94" s="187"/>
      <c r="F94" s="187"/>
      <c r="G94" s="187"/>
      <c r="H94" s="187"/>
      <c r="I94" s="187"/>
      <c r="J94" s="187"/>
      <c r="K94" s="187"/>
      <c r="L94" s="187"/>
    </row>
    <row r="95" spans="3:12">
      <c r="C95" s="187"/>
      <c r="D95" s="187"/>
      <c r="E95" s="187"/>
      <c r="F95" s="187"/>
      <c r="G95" s="187"/>
      <c r="H95" s="187"/>
      <c r="I95" s="187"/>
      <c r="J95" s="187"/>
      <c r="K95" s="187"/>
      <c r="L95" s="187"/>
    </row>
    <row r="96" spans="3:12">
      <c r="C96" s="187"/>
      <c r="D96" s="187"/>
      <c r="E96" s="187"/>
      <c r="F96" s="187"/>
      <c r="G96" s="187"/>
      <c r="H96" s="187"/>
      <c r="I96" s="187"/>
      <c r="J96" s="187"/>
      <c r="K96" s="187"/>
      <c r="L96" s="187"/>
    </row>
    <row r="97" spans="3:12">
      <c r="C97" s="187"/>
      <c r="D97" s="187"/>
      <c r="E97" s="187"/>
      <c r="F97" s="187"/>
      <c r="G97" s="187"/>
      <c r="H97" s="187"/>
      <c r="I97" s="187"/>
      <c r="J97" s="187"/>
      <c r="K97" s="187"/>
      <c r="L97" s="187"/>
    </row>
    <row r="98" spans="3:12">
      <c r="C98" s="187"/>
      <c r="D98" s="187"/>
      <c r="E98" s="187"/>
      <c r="F98" s="187"/>
      <c r="G98" s="187"/>
      <c r="H98" s="187"/>
      <c r="I98" s="187"/>
      <c r="J98" s="187"/>
      <c r="K98" s="187"/>
      <c r="L98" s="187"/>
    </row>
    <row r="99" spans="3:12">
      <c r="C99" s="187"/>
      <c r="D99" s="187"/>
      <c r="E99" s="187"/>
      <c r="F99" s="187"/>
      <c r="G99" s="187"/>
      <c r="H99" s="187"/>
      <c r="I99" s="187"/>
      <c r="J99" s="187"/>
      <c r="K99" s="187"/>
      <c r="L99" s="187"/>
    </row>
    <row r="100" spans="3:12">
      <c r="C100" s="187"/>
      <c r="D100" s="187"/>
      <c r="E100" s="187"/>
      <c r="F100" s="187"/>
      <c r="G100" s="187"/>
      <c r="H100" s="187"/>
      <c r="I100" s="187"/>
      <c r="J100" s="187"/>
      <c r="K100" s="187"/>
      <c r="L100" s="187"/>
    </row>
    <row r="101" spans="3:12">
      <c r="C101" s="187"/>
      <c r="D101" s="187"/>
      <c r="E101" s="187"/>
      <c r="F101" s="187"/>
      <c r="G101" s="187"/>
      <c r="H101" s="187"/>
      <c r="I101" s="187"/>
      <c r="J101" s="187"/>
      <c r="K101" s="187"/>
      <c r="L101" s="187"/>
    </row>
    <row r="102" spans="3:12">
      <c r="C102" s="187"/>
      <c r="D102" s="187"/>
      <c r="E102" s="187"/>
      <c r="F102" s="187"/>
      <c r="G102" s="187"/>
      <c r="H102" s="187"/>
      <c r="I102" s="187"/>
      <c r="J102" s="187"/>
      <c r="K102" s="187"/>
      <c r="L102" s="187"/>
    </row>
    <row r="103" spans="3:12">
      <c r="C103" s="187"/>
      <c r="D103" s="187"/>
      <c r="E103" s="187"/>
      <c r="F103" s="187"/>
      <c r="G103" s="187"/>
      <c r="H103" s="187"/>
      <c r="I103" s="187"/>
      <c r="J103" s="187"/>
      <c r="K103" s="187"/>
      <c r="L103" s="187"/>
    </row>
    <row r="104" spans="3:12">
      <c r="C104" s="187"/>
      <c r="D104" s="187"/>
      <c r="E104" s="187"/>
      <c r="F104" s="187"/>
      <c r="G104" s="187"/>
      <c r="H104" s="187"/>
      <c r="I104" s="187"/>
      <c r="J104" s="187"/>
      <c r="K104" s="187"/>
      <c r="L104" s="187"/>
    </row>
    <row r="105" spans="3:12">
      <c r="C105" s="187"/>
      <c r="D105" s="187"/>
      <c r="E105" s="187"/>
      <c r="F105" s="187"/>
      <c r="G105" s="187"/>
      <c r="H105" s="187"/>
      <c r="I105" s="187"/>
      <c r="J105" s="187"/>
      <c r="K105" s="187"/>
      <c r="L105" s="187"/>
    </row>
    <row r="106" spans="3:12">
      <c r="C106" s="187"/>
      <c r="D106" s="187"/>
      <c r="E106" s="187"/>
      <c r="F106" s="187"/>
      <c r="G106" s="187"/>
      <c r="H106" s="187"/>
      <c r="I106" s="187"/>
      <c r="J106" s="187"/>
      <c r="K106" s="187"/>
      <c r="L106" s="187"/>
    </row>
    <row r="107" spans="3:12">
      <c r="C107" s="187"/>
      <c r="D107" s="187"/>
      <c r="E107" s="187"/>
      <c r="F107" s="187"/>
      <c r="G107" s="187"/>
      <c r="H107" s="187"/>
      <c r="I107" s="187"/>
      <c r="J107" s="187"/>
      <c r="K107" s="187"/>
      <c r="L107" s="187"/>
    </row>
    <row r="108" spans="3:12">
      <c r="C108" s="187"/>
      <c r="D108" s="187"/>
      <c r="E108" s="187"/>
      <c r="F108" s="187"/>
      <c r="G108" s="187"/>
      <c r="H108" s="187"/>
      <c r="I108" s="187"/>
      <c r="J108" s="187"/>
      <c r="K108" s="187"/>
      <c r="L108" s="187"/>
    </row>
    <row r="109" spans="3:12">
      <c r="C109" s="187"/>
      <c r="D109" s="187"/>
      <c r="E109" s="187"/>
      <c r="F109" s="187"/>
      <c r="G109" s="187"/>
      <c r="H109" s="187"/>
      <c r="I109" s="187"/>
      <c r="J109" s="187"/>
      <c r="K109" s="187"/>
      <c r="L109" s="187"/>
    </row>
    <row r="110" spans="3:12">
      <c r="C110" s="187"/>
      <c r="D110" s="187"/>
      <c r="E110" s="187"/>
      <c r="F110" s="187"/>
      <c r="G110" s="187"/>
      <c r="H110" s="187"/>
      <c r="I110" s="187"/>
      <c r="J110" s="187"/>
      <c r="K110" s="187"/>
      <c r="L110" s="187"/>
    </row>
    <row r="111" spans="3:12">
      <c r="C111" s="187"/>
      <c r="D111" s="187"/>
      <c r="E111" s="187"/>
      <c r="F111" s="187"/>
      <c r="G111" s="187"/>
      <c r="H111" s="187"/>
      <c r="I111" s="187"/>
      <c r="J111" s="187"/>
      <c r="K111" s="187"/>
      <c r="L111" s="187"/>
    </row>
    <row r="112" spans="3:12">
      <c r="C112" s="187"/>
      <c r="D112" s="187"/>
      <c r="E112" s="187"/>
      <c r="F112" s="187"/>
      <c r="G112" s="187"/>
      <c r="H112" s="187"/>
      <c r="I112" s="187"/>
      <c r="J112" s="187"/>
      <c r="K112" s="187"/>
      <c r="L112" s="187"/>
    </row>
    <row r="113" spans="3:12">
      <c r="C113" s="187"/>
      <c r="D113" s="187"/>
      <c r="E113" s="187"/>
      <c r="F113" s="187"/>
      <c r="G113" s="187"/>
      <c r="H113" s="187"/>
      <c r="I113" s="187"/>
      <c r="J113" s="187"/>
      <c r="K113" s="187"/>
      <c r="L113" s="187"/>
    </row>
    <row r="114" spans="3:12">
      <c r="C114" s="187"/>
      <c r="D114" s="187"/>
      <c r="E114" s="187"/>
      <c r="F114" s="187"/>
      <c r="G114" s="187"/>
      <c r="H114" s="187"/>
      <c r="I114" s="187"/>
      <c r="J114" s="187"/>
      <c r="K114" s="187"/>
      <c r="L114" s="187"/>
    </row>
    <row r="115" spans="3:12">
      <c r="C115" s="187"/>
      <c r="D115" s="187"/>
      <c r="E115" s="187"/>
      <c r="F115" s="187"/>
      <c r="G115" s="187"/>
      <c r="H115" s="187"/>
      <c r="I115" s="187"/>
      <c r="J115" s="187"/>
      <c r="K115" s="187"/>
      <c r="L115" s="187"/>
    </row>
    <row r="116" spans="3:12">
      <c r="C116" s="187"/>
      <c r="D116" s="187"/>
      <c r="E116" s="187"/>
      <c r="F116" s="187"/>
      <c r="G116" s="187"/>
      <c r="H116" s="187"/>
      <c r="I116" s="187"/>
      <c r="J116" s="187"/>
      <c r="K116" s="187"/>
      <c r="L116" s="187"/>
    </row>
    <row r="117" spans="3:12">
      <c r="C117" s="187"/>
      <c r="D117" s="187"/>
      <c r="E117" s="187"/>
      <c r="F117" s="187"/>
      <c r="G117" s="187"/>
      <c r="H117" s="187"/>
      <c r="I117" s="187"/>
      <c r="J117" s="187"/>
      <c r="K117" s="187"/>
      <c r="L117" s="187"/>
    </row>
    <row r="118" spans="3:12">
      <c r="C118" s="187"/>
      <c r="D118" s="187"/>
      <c r="E118" s="187"/>
      <c r="F118" s="187"/>
      <c r="G118" s="187"/>
      <c r="H118" s="187"/>
      <c r="I118" s="187"/>
      <c r="J118" s="187"/>
      <c r="K118" s="187"/>
      <c r="L118" s="187"/>
    </row>
    <row r="119" spans="3:12">
      <c r="C119" s="187"/>
      <c r="D119" s="187"/>
      <c r="E119" s="187"/>
      <c r="F119" s="187"/>
      <c r="G119" s="187"/>
      <c r="H119" s="187"/>
      <c r="I119" s="187"/>
      <c r="J119" s="187"/>
      <c r="K119" s="187"/>
      <c r="L119" s="187"/>
    </row>
    <row r="120" spans="3:12">
      <c r="C120" s="187"/>
      <c r="D120" s="187"/>
      <c r="E120" s="187"/>
      <c r="F120" s="187"/>
      <c r="G120" s="187"/>
      <c r="H120" s="187"/>
      <c r="I120" s="187"/>
      <c r="J120" s="187"/>
      <c r="K120" s="187"/>
      <c r="L120" s="187"/>
    </row>
    <row r="121" spans="3:12">
      <c r="C121" s="187"/>
      <c r="D121" s="187"/>
      <c r="E121" s="187"/>
      <c r="F121" s="187"/>
      <c r="G121" s="187"/>
      <c r="H121" s="187"/>
      <c r="I121" s="187"/>
      <c r="J121" s="187"/>
      <c r="K121" s="187"/>
      <c r="L121" s="187"/>
    </row>
    <row r="122" spans="3:12">
      <c r="C122" s="187"/>
      <c r="D122" s="187"/>
      <c r="E122" s="187"/>
      <c r="F122" s="187"/>
      <c r="G122" s="187"/>
      <c r="H122" s="187"/>
      <c r="I122" s="187"/>
      <c r="J122" s="187"/>
      <c r="K122" s="187"/>
      <c r="L122" s="187"/>
    </row>
    <row r="123" spans="3:12">
      <c r="C123" s="187"/>
      <c r="D123" s="187"/>
      <c r="E123" s="187"/>
      <c r="F123" s="187"/>
      <c r="G123" s="187"/>
      <c r="H123" s="187"/>
      <c r="I123" s="187"/>
      <c r="J123" s="187"/>
      <c r="K123" s="187"/>
      <c r="L123" s="187"/>
    </row>
    <row r="124" spans="3:12">
      <c r="C124" s="187"/>
      <c r="D124" s="187"/>
      <c r="E124" s="187"/>
      <c r="F124" s="187"/>
      <c r="G124" s="187"/>
      <c r="H124" s="187"/>
      <c r="I124" s="187"/>
      <c r="J124" s="187"/>
      <c r="K124" s="187"/>
      <c r="L124" s="187"/>
    </row>
    <row r="125" spans="3:12">
      <c r="C125" s="187"/>
      <c r="D125" s="187"/>
      <c r="E125" s="187"/>
      <c r="F125" s="187"/>
      <c r="G125" s="187"/>
      <c r="H125" s="187"/>
      <c r="I125" s="187"/>
      <c r="J125" s="187"/>
      <c r="K125" s="187"/>
      <c r="L125" s="187"/>
    </row>
    <row r="126" spans="3:12">
      <c r="C126" s="187"/>
      <c r="D126" s="187"/>
      <c r="E126" s="187"/>
      <c r="F126" s="187"/>
      <c r="G126" s="187"/>
      <c r="H126" s="187"/>
      <c r="I126" s="187"/>
      <c r="J126" s="187"/>
      <c r="K126" s="187"/>
      <c r="L126" s="187"/>
    </row>
    <row r="127" spans="3:12">
      <c r="C127" s="187"/>
      <c r="D127" s="187"/>
      <c r="E127" s="187"/>
      <c r="F127" s="187"/>
      <c r="G127" s="187"/>
      <c r="H127" s="187"/>
      <c r="I127" s="187"/>
      <c r="J127" s="187"/>
      <c r="K127" s="187"/>
      <c r="L127" s="187"/>
    </row>
    <row r="128" spans="3:12">
      <c r="C128" s="187"/>
      <c r="D128" s="187"/>
      <c r="E128" s="187"/>
      <c r="F128" s="187"/>
      <c r="G128" s="187"/>
      <c r="H128" s="187"/>
      <c r="I128" s="187"/>
      <c r="J128" s="187"/>
      <c r="K128" s="187"/>
      <c r="L128" s="187"/>
    </row>
    <row r="129" spans="3:12">
      <c r="C129" s="187"/>
      <c r="D129" s="187"/>
      <c r="E129" s="187"/>
      <c r="F129" s="187"/>
      <c r="G129" s="187"/>
      <c r="H129" s="187"/>
      <c r="I129" s="187"/>
      <c r="J129" s="187"/>
      <c r="K129" s="187"/>
      <c r="L129" s="187"/>
    </row>
    <row r="130" spans="3:12">
      <c r="C130" s="187"/>
      <c r="D130" s="187"/>
      <c r="E130" s="187"/>
      <c r="F130" s="187"/>
      <c r="G130" s="187"/>
      <c r="H130" s="187"/>
      <c r="I130" s="187"/>
      <c r="J130" s="187"/>
      <c r="K130" s="187"/>
      <c r="L130" s="187"/>
    </row>
    <row r="131" spans="3:12">
      <c r="C131" s="187"/>
      <c r="D131" s="187"/>
      <c r="E131" s="187"/>
      <c r="F131" s="187"/>
      <c r="G131" s="187"/>
      <c r="H131" s="187"/>
      <c r="I131" s="187"/>
      <c r="J131" s="187"/>
      <c r="K131" s="187"/>
      <c r="L131" s="187"/>
    </row>
    <row r="132" spans="3:12">
      <c r="C132" s="187"/>
      <c r="D132" s="187"/>
      <c r="E132" s="187"/>
      <c r="F132" s="187"/>
      <c r="G132" s="187"/>
      <c r="H132" s="187"/>
      <c r="I132" s="187"/>
      <c r="J132" s="187"/>
      <c r="K132" s="187"/>
      <c r="L132" s="187"/>
    </row>
    <row r="133" spans="3:12">
      <c r="C133" s="187"/>
      <c r="D133" s="187"/>
      <c r="E133" s="187"/>
      <c r="F133" s="187"/>
      <c r="G133" s="187"/>
      <c r="H133" s="187"/>
      <c r="I133" s="187"/>
      <c r="J133" s="187"/>
      <c r="K133" s="187"/>
      <c r="L133" s="187"/>
    </row>
    <row r="134" spans="3:12">
      <c r="C134" s="187"/>
      <c r="D134" s="187"/>
      <c r="E134" s="187"/>
      <c r="F134" s="187"/>
      <c r="G134" s="187"/>
      <c r="H134" s="187"/>
      <c r="I134" s="187"/>
      <c r="J134" s="187"/>
      <c r="K134" s="187"/>
      <c r="L134" s="187"/>
    </row>
    <row r="135" spans="3:12">
      <c r="C135" s="187"/>
      <c r="D135" s="187"/>
      <c r="E135" s="187"/>
      <c r="F135" s="187"/>
      <c r="G135" s="187"/>
      <c r="H135" s="187"/>
      <c r="I135" s="187"/>
      <c r="J135" s="187"/>
      <c r="K135" s="187"/>
      <c r="L135" s="187"/>
    </row>
    <row r="136" spans="3:12">
      <c r="C136" s="187"/>
      <c r="D136" s="187"/>
      <c r="E136" s="187"/>
      <c r="F136" s="187"/>
      <c r="G136" s="187"/>
      <c r="H136" s="187"/>
      <c r="I136" s="187"/>
      <c r="J136" s="187"/>
      <c r="K136" s="187"/>
      <c r="L136" s="187"/>
    </row>
    <row r="137" spans="3:12">
      <c r="C137" s="187"/>
      <c r="D137" s="187"/>
      <c r="E137" s="187"/>
      <c r="F137" s="187"/>
      <c r="G137" s="187"/>
      <c r="H137" s="187"/>
      <c r="I137" s="187"/>
      <c r="J137" s="187"/>
      <c r="K137" s="187"/>
      <c r="L137" s="187"/>
    </row>
    <row r="138" spans="3:12">
      <c r="C138" s="187"/>
      <c r="D138" s="187"/>
      <c r="E138" s="187"/>
      <c r="F138" s="187"/>
      <c r="G138" s="187"/>
      <c r="H138" s="187"/>
      <c r="I138" s="187"/>
      <c r="J138" s="187"/>
      <c r="K138" s="187"/>
      <c r="L138" s="187"/>
    </row>
    <row r="139" spans="3:12">
      <c r="C139" s="187"/>
      <c r="D139" s="187"/>
      <c r="E139" s="187"/>
      <c r="F139" s="187"/>
      <c r="G139" s="187"/>
      <c r="H139" s="187"/>
      <c r="I139" s="187"/>
      <c r="J139" s="187"/>
      <c r="K139" s="187"/>
      <c r="L139" s="187"/>
    </row>
    <row r="140" spans="3:12">
      <c r="C140" s="187"/>
      <c r="D140" s="187"/>
      <c r="E140" s="187"/>
      <c r="F140" s="187"/>
      <c r="G140" s="187"/>
      <c r="H140" s="187"/>
      <c r="I140" s="187"/>
      <c r="J140" s="187"/>
      <c r="K140" s="187"/>
      <c r="L140" s="187"/>
    </row>
    <row r="141" spans="3:12">
      <c r="C141" s="187"/>
      <c r="D141" s="187"/>
      <c r="E141" s="187"/>
      <c r="F141" s="187"/>
      <c r="G141" s="187"/>
      <c r="H141" s="187"/>
      <c r="I141" s="187"/>
      <c r="J141" s="187"/>
      <c r="K141" s="187"/>
      <c r="L141" s="187"/>
    </row>
    <row r="142" spans="3:12">
      <c r="C142" s="187"/>
      <c r="D142" s="187"/>
      <c r="E142" s="187"/>
      <c r="F142" s="187"/>
      <c r="G142" s="187"/>
      <c r="H142" s="187"/>
      <c r="I142" s="187"/>
      <c r="J142" s="187"/>
      <c r="K142" s="187"/>
      <c r="L142" s="187"/>
    </row>
    <row r="143" spans="3:12">
      <c r="C143" s="187"/>
      <c r="D143" s="187"/>
      <c r="E143" s="187"/>
      <c r="F143" s="187"/>
      <c r="G143" s="187"/>
      <c r="H143" s="187"/>
      <c r="I143" s="187"/>
      <c r="J143" s="187"/>
      <c r="K143" s="187"/>
      <c r="L143" s="187"/>
    </row>
    <row r="144" spans="3:12">
      <c r="C144" s="187"/>
      <c r="D144" s="187"/>
      <c r="E144" s="187"/>
      <c r="F144" s="187"/>
      <c r="G144" s="187"/>
      <c r="H144" s="187"/>
      <c r="I144" s="187"/>
      <c r="J144" s="187"/>
      <c r="K144" s="187"/>
      <c r="L144" s="187"/>
    </row>
    <row r="145" spans="3:12">
      <c r="C145" s="187"/>
      <c r="D145" s="187"/>
      <c r="E145" s="187"/>
      <c r="F145" s="187"/>
      <c r="G145" s="187"/>
      <c r="H145" s="187"/>
      <c r="I145" s="187"/>
      <c r="J145" s="187"/>
      <c r="K145" s="187"/>
      <c r="L145" s="187"/>
    </row>
    <row r="146" spans="3:12">
      <c r="C146" s="187"/>
      <c r="D146" s="187"/>
      <c r="E146" s="187"/>
      <c r="F146" s="187"/>
      <c r="G146" s="187"/>
      <c r="H146" s="187"/>
      <c r="I146" s="187"/>
      <c r="J146" s="187"/>
      <c r="K146" s="187"/>
      <c r="L146" s="187"/>
    </row>
    <row r="147" spans="3:12">
      <c r="C147" s="187"/>
      <c r="D147" s="187"/>
      <c r="E147" s="187"/>
      <c r="F147" s="187"/>
      <c r="G147" s="187"/>
      <c r="H147" s="187"/>
      <c r="I147" s="187"/>
      <c r="J147" s="187"/>
      <c r="K147" s="187"/>
      <c r="L147" s="187"/>
    </row>
    <row r="148" spans="3:12">
      <c r="C148" s="187"/>
      <c r="D148" s="187"/>
      <c r="E148" s="187"/>
      <c r="F148" s="187"/>
      <c r="G148" s="187"/>
      <c r="H148" s="187"/>
      <c r="I148" s="187"/>
      <c r="J148" s="187"/>
      <c r="K148" s="187"/>
      <c r="L148" s="187"/>
    </row>
    <row r="149" spans="3:12">
      <c r="C149" s="187"/>
      <c r="D149" s="187"/>
      <c r="E149" s="187"/>
      <c r="F149" s="187"/>
      <c r="G149" s="187"/>
      <c r="H149" s="187"/>
      <c r="I149" s="187"/>
      <c r="J149" s="187"/>
      <c r="K149" s="187"/>
      <c r="L149" s="187"/>
    </row>
    <row r="150" spans="3:12">
      <c r="C150" s="187"/>
      <c r="D150" s="187"/>
      <c r="E150" s="187"/>
      <c r="F150" s="187"/>
      <c r="G150" s="187"/>
      <c r="H150" s="187"/>
      <c r="I150" s="187"/>
      <c r="J150" s="187"/>
      <c r="K150" s="187"/>
      <c r="L150" s="187"/>
    </row>
    <row r="151" spans="3:12">
      <c r="C151" s="187"/>
      <c r="D151" s="187"/>
      <c r="E151" s="187"/>
      <c r="F151" s="187"/>
      <c r="G151" s="187"/>
      <c r="H151" s="187"/>
      <c r="I151" s="187"/>
      <c r="J151" s="187"/>
      <c r="K151" s="187"/>
      <c r="L151" s="187"/>
    </row>
    <row r="152" spans="3:12">
      <c r="C152" s="187"/>
      <c r="D152" s="187"/>
      <c r="E152" s="187"/>
      <c r="F152" s="187"/>
      <c r="G152" s="187"/>
      <c r="H152" s="187"/>
      <c r="I152" s="187"/>
      <c r="J152" s="187"/>
      <c r="K152" s="187"/>
      <c r="L152" s="187"/>
    </row>
    <row r="153" spans="3:12">
      <c r="C153" s="187"/>
      <c r="D153" s="187"/>
      <c r="E153" s="187"/>
      <c r="F153" s="187"/>
      <c r="G153" s="187"/>
      <c r="H153" s="187"/>
      <c r="I153" s="187"/>
      <c r="J153" s="187"/>
      <c r="K153" s="187"/>
      <c r="L153" s="187"/>
    </row>
    <row r="154" spans="3:12">
      <c r="C154" s="187"/>
      <c r="D154" s="187"/>
      <c r="E154" s="187"/>
      <c r="F154" s="187"/>
      <c r="G154" s="187"/>
      <c r="H154" s="187"/>
      <c r="I154" s="187"/>
      <c r="J154" s="187"/>
      <c r="K154" s="187"/>
      <c r="L154" s="187"/>
    </row>
    <row r="155" spans="3:12">
      <c r="C155" s="187"/>
      <c r="D155" s="187"/>
      <c r="E155" s="187"/>
      <c r="F155" s="187"/>
      <c r="G155" s="187"/>
      <c r="H155" s="187"/>
      <c r="I155" s="187"/>
      <c r="J155" s="187"/>
      <c r="K155" s="187"/>
      <c r="L155" s="187"/>
    </row>
    <row r="156" spans="3:12">
      <c r="C156" s="187"/>
      <c r="D156" s="187"/>
      <c r="E156" s="187"/>
      <c r="F156" s="187"/>
      <c r="G156" s="187"/>
      <c r="H156" s="187"/>
      <c r="I156" s="187"/>
      <c r="J156" s="187"/>
      <c r="K156" s="187"/>
      <c r="L156" s="187"/>
    </row>
    <row r="157" spans="3:12">
      <c r="C157" s="187"/>
      <c r="D157" s="187"/>
      <c r="E157" s="187"/>
      <c r="F157" s="187"/>
      <c r="G157" s="187"/>
      <c r="H157" s="187"/>
      <c r="I157" s="187"/>
      <c r="J157" s="187"/>
      <c r="K157" s="187"/>
      <c r="L157" s="187"/>
    </row>
    <row r="158" spans="3:12">
      <c r="C158" s="187"/>
      <c r="D158" s="187"/>
      <c r="E158" s="187"/>
      <c r="F158" s="187"/>
      <c r="G158" s="187"/>
      <c r="H158" s="187"/>
      <c r="I158" s="187"/>
      <c r="J158" s="187"/>
      <c r="K158" s="187"/>
      <c r="L158" s="187"/>
    </row>
    <row r="159" spans="3:12">
      <c r="C159" s="187"/>
      <c r="D159" s="187"/>
      <c r="E159" s="187"/>
      <c r="F159" s="187"/>
      <c r="G159" s="187"/>
      <c r="H159" s="187"/>
      <c r="I159" s="187"/>
      <c r="J159" s="187"/>
      <c r="K159" s="187"/>
      <c r="L159" s="187"/>
    </row>
    <row r="160" spans="3:12">
      <c r="C160" s="187"/>
      <c r="D160" s="187"/>
      <c r="E160" s="187"/>
      <c r="F160" s="187"/>
      <c r="G160" s="187"/>
      <c r="H160" s="187"/>
      <c r="I160" s="187"/>
      <c r="J160" s="187"/>
      <c r="K160" s="187"/>
      <c r="L160" s="187"/>
    </row>
    <row r="161" spans="3:12">
      <c r="C161" s="187"/>
      <c r="D161" s="187"/>
      <c r="E161" s="187"/>
      <c r="F161" s="187"/>
      <c r="G161" s="187"/>
      <c r="H161" s="187"/>
      <c r="I161" s="187"/>
      <c r="J161" s="187"/>
      <c r="K161" s="187"/>
      <c r="L161" s="187"/>
    </row>
    <row r="162" spans="3:12">
      <c r="C162" s="187"/>
      <c r="D162" s="187"/>
      <c r="E162" s="187"/>
      <c r="F162" s="187"/>
      <c r="G162" s="187"/>
      <c r="H162" s="187"/>
      <c r="I162" s="187"/>
      <c r="J162" s="187"/>
      <c r="K162" s="187"/>
      <c r="L162" s="187"/>
    </row>
    <row r="163" spans="3:12">
      <c r="C163" s="187"/>
      <c r="D163" s="187"/>
      <c r="E163" s="187"/>
      <c r="F163" s="187"/>
      <c r="G163" s="187"/>
      <c r="H163" s="187"/>
      <c r="I163" s="187"/>
      <c r="J163" s="187"/>
      <c r="K163" s="187"/>
      <c r="L163" s="187"/>
    </row>
    <row r="164" spans="3:12">
      <c r="C164" s="187"/>
      <c r="D164" s="187"/>
      <c r="E164" s="187"/>
      <c r="F164" s="187"/>
      <c r="G164" s="187"/>
      <c r="H164" s="187"/>
      <c r="I164" s="187"/>
      <c r="J164" s="187"/>
      <c r="K164" s="187"/>
      <c r="L164" s="187"/>
    </row>
    <row r="165" spans="3:12">
      <c r="C165" s="187"/>
      <c r="D165" s="187"/>
      <c r="E165" s="187"/>
      <c r="F165" s="187"/>
      <c r="G165" s="187"/>
      <c r="H165" s="187"/>
      <c r="I165" s="187"/>
      <c r="J165" s="187"/>
      <c r="K165" s="187"/>
      <c r="L165" s="187"/>
    </row>
    <row r="166" spans="3:12">
      <c r="C166" s="187"/>
      <c r="D166" s="187"/>
      <c r="E166" s="187"/>
      <c r="F166" s="187"/>
      <c r="G166" s="187"/>
      <c r="H166" s="187"/>
      <c r="I166" s="187"/>
      <c r="J166" s="187"/>
      <c r="K166" s="187"/>
      <c r="L166" s="187"/>
    </row>
    <row r="167" spans="3:12">
      <c r="C167" s="187"/>
      <c r="D167" s="187"/>
      <c r="E167" s="187"/>
      <c r="F167" s="187"/>
      <c r="G167" s="187"/>
      <c r="H167" s="187"/>
      <c r="I167" s="187"/>
      <c r="J167" s="187"/>
      <c r="K167" s="187"/>
      <c r="L167" s="187"/>
    </row>
    <row r="168" spans="3:12">
      <c r="C168" s="187"/>
      <c r="D168" s="187"/>
      <c r="E168" s="187"/>
      <c r="F168" s="187"/>
      <c r="G168" s="187"/>
      <c r="H168" s="187"/>
      <c r="I168" s="187"/>
      <c r="J168" s="187"/>
      <c r="K168" s="187"/>
      <c r="L168" s="187"/>
    </row>
    <row r="169" spans="3:12">
      <c r="C169" s="187"/>
      <c r="D169" s="187"/>
      <c r="E169" s="187"/>
      <c r="F169" s="187"/>
      <c r="G169" s="187"/>
      <c r="H169" s="187"/>
      <c r="I169" s="187"/>
      <c r="J169" s="187"/>
      <c r="K169" s="187"/>
      <c r="L169" s="187"/>
    </row>
    <row r="170" spans="3:12">
      <c r="C170" s="187"/>
      <c r="D170" s="187"/>
      <c r="E170" s="187"/>
      <c r="F170" s="187"/>
      <c r="G170" s="187"/>
      <c r="H170" s="187"/>
      <c r="I170" s="187"/>
      <c r="J170" s="187"/>
      <c r="K170" s="187"/>
      <c r="L170" s="187"/>
    </row>
    <row r="171" spans="3:12">
      <c r="C171" s="187"/>
      <c r="D171" s="187"/>
      <c r="E171" s="187"/>
      <c r="F171" s="187"/>
      <c r="G171" s="187"/>
      <c r="H171" s="187"/>
      <c r="I171" s="187"/>
      <c r="J171" s="187"/>
      <c r="K171" s="187"/>
      <c r="L171" s="187"/>
    </row>
    <row r="172" spans="3:12">
      <c r="C172" s="187"/>
      <c r="D172" s="187"/>
      <c r="E172" s="187"/>
      <c r="F172" s="187"/>
      <c r="G172" s="187"/>
      <c r="H172" s="187"/>
      <c r="I172" s="187"/>
      <c r="J172" s="187"/>
      <c r="K172" s="187"/>
      <c r="L172" s="187"/>
    </row>
    <row r="173" spans="3:12">
      <c r="C173" s="187"/>
      <c r="D173" s="187"/>
      <c r="E173" s="187"/>
      <c r="F173" s="187"/>
      <c r="G173" s="187"/>
      <c r="H173" s="187"/>
      <c r="I173" s="187"/>
      <c r="J173" s="187"/>
      <c r="K173" s="187"/>
      <c r="L173" s="187"/>
    </row>
    <row r="174" spans="3:12">
      <c r="C174" s="187"/>
      <c r="D174" s="187"/>
      <c r="E174" s="187"/>
      <c r="F174" s="187"/>
      <c r="G174" s="187"/>
      <c r="H174" s="187"/>
      <c r="I174" s="187"/>
      <c r="J174" s="187"/>
      <c r="K174" s="187"/>
      <c r="L174" s="187"/>
    </row>
    <row r="175" spans="3:12">
      <c r="C175" s="187"/>
      <c r="D175" s="187"/>
      <c r="E175" s="187"/>
      <c r="F175" s="187"/>
      <c r="G175" s="187"/>
      <c r="H175" s="187"/>
      <c r="I175" s="187"/>
      <c r="J175" s="187"/>
      <c r="K175" s="187"/>
      <c r="L175" s="187"/>
    </row>
    <row r="176" spans="3:12">
      <c r="C176" s="187"/>
      <c r="D176" s="187"/>
      <c r="E176" s="187"/>
      <c r="F176" s="187"/>
      <c r="G176" s="187"/>
      <c r="H176" s="187"/>
      <c r="I176" s="187"/>
      <c r="J176" s="187"/>
      <c r="K176" s="187"/>
      <c r="L176" s="187"/>
    </row>
    <row r="177" spans="3:12">
      <c r="C177" s="187"/>
      <c r="D177" s="187"/>
      <c r="E177" s="187"/>
      <c r="F177" s="187"/>
      <c r="G177" s="187"/>
      <c r="H177" s="187"/>
      <c r="I177" s="187"/>
      <c r="J177" s="187"/>
      <c r="K177" s="187"/>
      <c r="L177" s="187"/>
    </row>
    <row r="178" spans="3:12">
      <c r="C178" s="187"/>
      <c r="D178" s="187"/>
      <c r="E178" s="187"/>
      <c r="F178" s="187"/>
      <c r="G178" s="187"/>
      <c r="H178" s="187"/>
      <c r="I178" s="187"/>
      <c r="J178" s="187"/>
      <c r="K178" s="187"/>
      <c r="L178" s="187"/>
    </row>
    <row r="179" spans="3:12">
      <c r="C179" s="187"/>
      <c r="D179" s="187"/>
      <c r="E179" s="187"/>
      <c r="F179" s="187"/>
      <c r="G179" s="187"/>
      <c r="H179" s="187"/>
      <c r="I179" s="187"/>
      <c r="J179" s="187"/>
      <c r="K179" s="187"/>
      <c r="L179" s="187"/>
    </row>
    <row r="180" spans="3:12">
      <c r="C180" s="187"/>
      <c r="D180" s="187"/>
      <c r="E180" s="187"/>
      <c r="F180" s="187"/>
      <c r="G180" s="187"/>
      <c r="H180" s="187"/>
      <c r="I180" s="187"/>
      <c r="J180" s="187"/>
      <c r="K180" s="187"/>
      <c r="L180" s="187"/>
    </row>
    <row r="181" spans="3:12">
      <c r="C181" s="187"/>
      <c r="D181" s="187"/>
      <c r="E181" s="187"/>
      <c r="F181" s="187"/>
      <c r="G181" s="187"/>
      <c r="H181" s="187"/>
      <c r="I181" s="187"/>
      <c r="J181" s="187"/>
      <c r="K181" s="187"/>
      <c r="L181" s="187"/>
    </row>
    <row r="182" spans="3:12">
      <c r="C182" s="187"/>
      <c r="D182" s="187"/>
      <c r="E182" s="187"/>
      <c r="F182" s="187"/>
      <c r="G182" s="187"/>
      <c r="H182" s="187"/>
      <c r="I182" s="187"/>
      <c r="J182" s="187"/>
      <c r="K182" s="187"/>
      <c r="L182" s="187"/>
    </row>
    <row r="183" spans="3:12">
      <c r="C183" s="187"/>
      <c r="D183" s="187"/>
      <c r="E183" s="187"/>
      <c r="F183" s="187"/>
      <c r="G183" s="187"/>
      <c r="H183" s="187"/>
      <c r="I183" s="187"/>
      <c r="J183" s="187"/>
      <c r="K183" s="187"/>
      <c r="L183" s="187"/>
    </row>
    <row r="184" spans="3:12">
      <c r="C184" s="187"/>
      <c r="D184" s="187"/>
      <c r="E184" s="187"/>
      <c r="F184" s="187"/>
      <c r="G184" s="187"/>
      <c r="H184" s="187"/>
      <c r="I184" s="187"/>
      <c r="J184" s="187"/>
      <c r="K184" s="187"/>
      <c r="L184" s="187"/>
    </row>
    <row r="185" spans="3:12">
      <c r="C185" s="187"/>
      <c r="D185" s="187"/>
      <c r="E185" s="187"/>
      <c r="F185" s="187"/>
      <c r="G185" s="187"/>
      <c r="H185" s="187"/>
      <c r="I185" s="187"/>
      <c r="J185" s="187"/>
      <c r="K185" s="187"/>
      <c r="L185" s="187"/>
    </row>
    <row r="186" spans="3:12">
      <c r="C186" s="187"/>
      <c r="D186" s="187"/>
      <c r="E186" s="187"/>
      <c r="F186" s="187"/>
      <c r="G186" s="187"/>
      <c r="H186" s="187"/>
      <c r="I186" s="187"/>
      <c r="J186" s="187"/>
      <c r="K186" s="187"/>
      <c r="L186" s="187"/>
    </row>
    <row r="187" spans="3:12">
      <c r="C187" s="187"/>
      <c r="D187" s="187"/>
      <c r="E187" s="187"/>
      <c r="F187" s="187"/>
      <c r="G187" s="187"/>
      <c r="H187" s="187"/>
      <c r="I187" s="187"/>
      <c r="J187" s="187"/>
      <c r="K187" s="187"/>
      <c r="L187" s="187"/>
    </row>
    <row r="188" spans="3:12">
      <c r="C188" s="187"/>
      <c r="D188" s="187"/>
      <c r="E188" s="187"/>
      <c r="F188" s="187"/>
      <c r="G188" s="187"/>
      <c r="H188" s="187"/>
      <c r="I188" s="187"/>
      <c r="J188" s="187"/>
      <c r="K188" s="187"/>
      <c r="L188" s="187"/>
    </row>
    <row r="189" spans="3:12">
      <c r="C189" s="187"/>
      <c r="D189" s="187"/>
      <c r="E189" s="187"/>
      <c r="F189" s="187"/>
      <c r="G189" s="187"/>
      <c r="H189" s="187"/>
      <c r="I189" s="187"/>
      <c r="J189" s="187"/>
      <c r="K189" s="187"/>
      <c r="L189" s="187"/>
    </row>
    <row r="190" spans="3:12">
      <c r="C190" s="187"/>
      <c r="D190" s="187"/>
      <c r="E190" s="187"/>
      <c r="F190" s="187"/>
      <c r="G190" s="187"/>
      <c r="H190" s="187"/>
      <c r="I190" s="187"/>
      <c r="J190" s="187"/>
      <c r="K190" s="187"/>
      <c r="L190" s="187"/>
    </row>
    <row r="191" spans="3:12">
      <c r="C191" s="187"/>
      <c r="D191" s="187"/>
      <c r="E191" s="187"/>
      <c r="F191" s="187"/>
      <c r="G191" s="187"/>
      <c r="H191" s="187"/>
      <c r="I191" s="187"/>
      <c r="J191" s="187"/>
      <c r="K191" s="187"/>
      <c r="L191" s="187"/>
    </row>
    <row r="192" spans="3:12">
      <c r="C192" s="187"/>
      <c r="D192" s="187"/>
      <c r="E192" s="187"/>
      <c r="F192" s="187"/>
      <c r="G192" s="187"/>
      <c r="H192" s="187"/>
      <c r="I192" s="187"/>
      <c r="J192" s="187"/>
      <c r="K192" s="187"/>
      <c r="L192" s="187"/>
    </row>
    <row r="193" spans="3:12">
      <c r="C193" s="187"/>
      <c r="D193" s="187"/>
      <c r="E193" s="187"/>
      <c r="F193" s="187"/>
      <c r="G193" s="187"/>
      <c r="H193" s="187"/>
      <c r="I193" s="187"/>
      <c r="J193" s="187"/>
      <c r="K193" s="187"/>
      <c r="L193" s="187"/>
    </row>
    <row r="194" spans="3:12">
      <c r="C194" s="187"/>
      <c r="D194" s="187"/>
      <c r="E194" s="187"/>
      <c r="F194" s="187"/>
      <c r="G194" s="187"/>
      <c r="H194" s="187"/>
      <c r="I194" s="187"/>
      <c r="J194" s="187"/>
      <c r="K194" s="187"/>
      <c r="L194" s="187"/>
    </row>
    <row r="195" spans="3:12">
      <c r="C195" s="187"/>
      <c r="D195" s="187"/>
      <c r="E195" s="187"/>
      <c r="F195" s="187"/>
      <c r="G195" s="187"/>
      <c r="H195" s="187"/>
      <c r="I195" s="187"/>
      <c r="J195" s="187"/>
      <c r="K195" s="187"/>
      <c r="L195" s="187"/>
    </row>
    <row r="196" spans="3:12">
      <c r="C196" s="187"/>
      <c r="D196" s="187"/>
      <c r="E196" s="187"/>
      <c r="F196" s="187"/>
      <c r="G196" s="187"/>
      <c r="H196" s="187"/>
      <c r="I196" s="187"/>
      <c r="J196" s="187"/>
      <c r="K196" s="187"/>
      <c r="L196" s="187"/>
    </row>
    <row r="197" spans="3:12">
      <c r="C197" s="187"/>
      <c r="D197" s="187"/>
      <c r="E197" s="187"/>
      <c r="F197" s="187"/>
      <c r="G197" s="187"/>
      <c r="H197" s="187"/>
      <c r="I197" s="187"/>
      <c r="J197" s="187"/>
      <c r="K197" s="187"/>
      <c r="L197" s="187"/>
    </row>
    <row r="198" spans="3:12">
      <c r="C198" s="187"/>
      <c r="D198" s="187"/>
      <c r="E198" s="187"/>
      <c r="F198" s="187"/>
      <c r="G198" s="187"/>
      <c r="H198" s="187"/>
      <c r="I198" s="187"/>
      <c r="J198" s="187"/>
      <c r="K198" s="187"/>
      <c r="L198" s="187"/>
    </row>
    <row r="199" spans="3:12">
      <c r="C199" s="187"/>
      <c r="D199" s="187"/>
      <c r="E199" s="187"/>
      <c r="F199" s="187"/>
      <c r="G199" s="187"/>
      <c r="H199" s="187"/>
      <c r="I199" s="187"/>
      <c r="J199" s="187"/>
      <c r="K199" s="187"/>
      <c r="L199" s="187"/>
    </row>
    <row r="200" spans="3:12">
      <c r="C200" s="187"/>
      <c r="D200" s="187"/>
      <c r="E200" s="187"/>
      <c r="F200" s="187"/>
      <c r="G200" s="187"/>
      <c r="H200" s="187"/>
      <c r="I200" s="187"/>
      <c r="J200" s="187"/>
      <c r="K200" s="187"/>
      <c r="L200" s="187"/>
    </row>
    <row r="201" spans="3:12">
      <c r="C201" s="187"/>
      <c r="D201" s="187"/>
      <c r="E201" s="187"/>
      <c r="F201" s="187"/>
      <c r="G201" s="187"/>
      <c r="H201" s="187"/>
      <c r="I201" s="187"/>
      <c r="J201" s="187"/>
      <c r="K201" s="187"/>
      <c r="L201" s="187"/>
    </row>
    <row r="202" spans="3:12">
      <c r="C202" s="187"/>
      <c r="D202" s="187"/>
      <c r="E202" s="187"/>
      <c r="F202" s="187"/>
      <c r="G202" s="187"/>
      <c r="H202" s="187"/>
      <c r="I202" s="187"/>
      <c r="J202" s="187"/>
      <c r="K202" s="187"/>
      <c r="L202" s="187"/>
    </row>
    <row r="203" spans="3:12">
      <c r="C203" s="187"/>
      <c r="D203" s="187"/>
      <c r="E203" s="187"/>
      <c r="F203" s="187"/>
      <c r="G203" s="187"/>
      <c r="H203" s="187"/>
      <c r="I203" s="187"/>
      <c r="J203" s="187"/>
      <c r="K203" s="187"/>
      <c r="L203" s="187"/>
    </row>
    <row r="204" spans="3:12">
      <c r="C204" s="187"/>
      <c r="D204" s="187"/>
      <c r="E204" s="187"/>
      <c r="F204" s="187"/>
      <c r="G204" s="187"/>
      <c r="H204" s="187"/>
      <c r="I204" s="187"/>
      <c r="J204" s="187"/>
      <c r="K204" s="187"/>
      <c r="L204" s="187"/>
    </row>
    <row r="205" spans="3:12">
      <c r="C205" s="187"/>
      <c r="D205" s="187"/>
      <c r="E205" s="187"/>
      <c r="F205" s="187"/>
      <c r="G205" s="187"/>
      <c r="H205" s="187"/>
      <c r="I205" s="187"/>
      <c r="J205" s="187"/>
      <c r="K205" s="187"/>
      <c r="L205" s="187"/>
    </row>
    <row r="206" spans="3:12">
      <c r="C206" s="187"/>
      <c r="D206" s="187"/>
      <c r="E206" s="187"/>
      <c r="F206" s="187"/>
      <c r="G206" s="187"/>
      <c r="H206" s="187"/>
      <c r="I206" s="187"/>
      <c r="J206" s="187"/>
      <c r="K206" s="187"/>
      <c r="L206" s="187"/>
    </row>
    <row r="207" spans="3:12">
      <c r="C207" s="187"/>
      <c r="D207" s="187"/>
      <c r="E207" s="187"/>
      <c r="F207" s="187"/>
      <c r="G207" s="187"/>
      <c r="H207" s="187"/>
      <c r="I207" s="187"/>
      <c r="J207" s="187"/>
      <c r="K207" s="187"/>
      <c r="L207" s="187"/>
    </row>
    <row r="208" spans="3:12">
      <c r="C208" s="187"/>
      <c r="D208" s="187"/>
      <c r="E208" s="187"/>
      <c r="F208" s="187"/>
      <c r="G208" s="187"/>
      <c r="H208" s="187"/>
      <c r="I208" s="187"/>
      <c r="J208" s="187"/>
      <c r="K208" s="187"/>
      <c r="L208" s="187"/>
    </row>
    <row r="209" spans="3:12">
      <c r="C209" s="187"/>
      <c r="D209" s="187"/>
      <c r="E209" s="187"/>
      <c r="F209" s="187"/>
      <c r="G209" s="187"/>
      <c r="H209" s="187"/>
      <c r="I209" s="187"/>
      <c r="J209" s="187"/>
      <c r="K209" s="187"/>
      <c r="L209" s="187"/>
    </row>
    <row r="210" spans="3:12">
      <c r="C210" s="187"/>
      <c r="D210" s="187"/>
      <c r="E210" s="187"/>
      <c r="F210" s="187"/>
      <c r="G210" s="187"/>
      <c r="H210" s="187"/>
      <c r="I210" s="187"/>
      <c r="J210" s="187"/>
      <c r="K210" s="187"/>
      <c r="L210" s="187"/>
    </row>
    <row r="211" spans="3:12">
      <c r="C211" s="187"/>
      <c r="D211" s="187"/>
      <c r="E211" s="187"/>
      <c r="F211" s="187"/>
      <c r="G211" s="187"/>
      <c r="H211" s="187"/>
      <c r="I211" s="187"/>
      <c r="J211" s="187"/>
      <c r="K211" s="187"/>
      <c r="L211" s="187"/>
    </row>
    <row r="212" spans="3:12">
      <c r="C212" s="187"/>
      <c r="D212" s="187"/>
      <c r="E212" s="187"/>
      <c r="F212" s="187"/>
      <c r="G212" s="187"/>
      <c r="H212" s="187"/>
      <c r="I212" s="187"/>
      <c r="J212" s="187"/>
      <c r="K212" s="187"/>
      <c r="L212" s="187"/>
    </row>
    <row r="213" spans="3:12">
      <c r="C213" s="187"/>
      <c r="D213" s="187"/>
      <c r="E213" s="187"/>
      <c r="F213" s="187"/>
      <c r="G213" s="187"/>
      <c r="H213" s="187"/>
      <c r="I213" s="187"/>
      <c r="J213" s="187"/>
      <c r="K213" s="187"/>
      <c r="L213" s="187"/>
    </row>
    <row r="214" spans="3:12">
      <c r="C214" s="187"/>
      <c r="D214" s="187"/>
      <c r="E214" s="187"/>
      <c r="F214" s="187"/>
      <c r="G214" s="187"/>
      <c r="H214" s="187"/>
      <c r="I214" s="187"/>
      <c r="J214" s="187"/>
      <c r="K214" s="187"/>
      <c r="L214" s="187"/>
    </row>
    <row r="215" spans="3:12">
      <c r="C215" s="187"/>
      <c r="D215" s="187"/>
      <c r="E215" s="187"/>
      <c r="F215" s="187"/>
      <c r="G215" s="187"/>
      <c r="H215" s="187"/>
      <c r="I215" s="187"/>
      <c r="J215" s="187"/>
      <c r="K215" s="187"/>
      <c r="L215" s="187"/>
    </row>
    <row r="216" spans="3:12">
      <c r="C216" s="187"/>
      <c r="D216" s="187"/>
      <c r="E216" s="187"/>
      <c r="F216" s="187"/>
      <c r="G216" s="187"/>
      <c r="H216" s="187"/>
      <c r="I216" s="187"/>
      <c r="J216" s="187"/>
      <c r="K216" s="187"/>
      <c r="L216" s="187"/>
    </row>
    <row r="217" spans="3:12">
      <c r="C217" s="187"/>
      <c r="D217" s="187"/>
      <c r="E217" s="187"/>
      <c r="F217" s="187"/>
      <c r="G217" s="187"/>
      <c r="H217" s="187"/>
      <c r="I217" s="187"/>
      <c r="J217" s="187"/>
      <c r="K217" s="187"/>
      <c r="L217" s="187"/>
    </row>
    <row r="218" spans="3:12">
      <c r="C218" s="187"/>
      <c r="D218" s="187"/>
      <c r="E218" s="187"/>
      <c r="F218" s="187"/>
      <c r="G218" s="187"/>
      <c r="H218" s="187"/>
      <c r="I218" s="187"/>
      <c r="J218" s="187"/>
      <c r="K218" s="187"/>
      <c r="L218" s="187"/>
    </row>
    <row r="219" spans="3:12">
      <c r="C219" s="187"/>
      <c r="D219" s="187"/>
      <c r="E219" s="187"/>
      <c r="F219" s="187"/>
      <c r="G219" s="187"/>
      <c r="H219" s="187"/>
      <c r="I219" s="187"/>
      <c r="J219" s="187"/>
      <c r="K219" s="187"/>
      <c r="L219" s="187"/>
    </row>
    <row r="220" spans="3:12">
      <c r="C220" s="187"/>
      <c r="D220" s="187"/>
      <c r="E220" s="187"/>
      <c r="F220" s="187"/>
      <c r="G220" s="187"/>
      <c r="H220" s="187"/>
      <c r="I220" s="187"/>
      <c r="J220" s="187"/>
      <c r="K220" s="187"/>
      <c r="L220" s="187"/>
    </row>
    <row r="221" spans="3:12">
      <c r="C221" s="187"/>
      <c r="D221" s="187"/>
      <c r="E221" s="187"/>
      <c r="F221" s="187"/>
      <c r="G221" s="187"/>
      <c r="H221" s="187"/>
      <c r="I221" s="187"/>
      <c r="J221" s="187"/>
      <c r="K221" s="187"/>
      <c r="L221" s="187"/>
    </row>
    <row r="222" spans="3:12">
      <c r="C222" s="187"/>
      <c r="D222" s="187"/>
      <c r="E222" s="187"/>
      <c r="F222" s="187"/>
      <c r="G222" s="187"/>
      <c r="H222" s="187"/>
      <c r="I222" s="187"/>
      <c r="J222" s="187"/>
      <c r="K222" s="187"/>
      <c r="L222" s="187"/>
    </row>
    <row r="223" spans="3:12">
      <c r="C223" s="187"/>
      <c r="D223" s="187"/>
      <c r="E223" s="187"/>
      <c r="F223" s="187"/>
      <c r="G223" s="187"/>
      <c r="H223" s="187"/>
      <c r="I223" s="187"/>
      <c r="J223" s="187"/>
      <c r="K223" s="187"/>
      <c r="L223" s="187"/>
    </row>
    <row r="224" spans="3:12">
      <c r="C224" s="187"/>
      <c r="D224" s="187"/>
      <c r="E224" s="187"/>
      <c r="F224" s="187"/>
      <c r="G224" s="187"/>
      <c r="H224" s="187"/>
      <c r="I224" s="187"/>
      <c r="J224" s="187"/>
      <c r="K224" s="187"/>
      <c r="L224" s="187"/>
    </row>
    <row r="225" spans="3:12">
      <c r="C225" s="187"/>
      <c r="D225" s="187"/>
      <c r="E225" s="187"/>
      <c r="F225" s="187"/>
      <c r="G225" s="187"/>
      <c r="H225" s="187"/>
      <c r="I225" s="187"/>
      <c r="J225" s="187"/>
      <c r="K225" s="187"/>
      <c r="L225" s="187"/>
    </row>
    <row r="226" spans="3:12">
      <c r="C226" s="187"/>
      <c r="D226" s="187"/>
      <c r="E226" s="187"/>
      <c r="F226" s="187"/>
      <c r="G226" s="187"/>
      <c r="H226" s="187"/>
      <c r="I226" s="187"/>
      <c r="J226" s="187"/>
      <c r="K226" s="187"/>
      <c r="L226" s="187"/>
    </row>
    <row r="227" spans="3:12">
      <c r="C227" s="187"/>
      <c r="D227" s="187"/>
      <c r="E227" s="187"/>
      <c r="F227" s="187"/>
      <c r="G227" s="187"/>
      <c r="H227" s="187"/>
      <c r="I227" s="187"/>
      <c r="J227" s="187"/>
      <c r="K227" s="187"/>
      <c r="L227" s="187"/>
    </row>
    <row r="228" spans="3:12">
      <c r="C228" s="187"/>
      <c r="D228" s="187"/>
      <c r="E228" s="187"/>
      <c r="F228" s="187"/>
      <c r="G228" s="187"/>
      <c r="H228" s="187"/>
      <c r="I228" s="187"/>
      <c r="J228" s="187"/>
      <c r="K228" s="187"/>
      <c r="L228" s="187"/>
    </row>
    <row r="229" spans="3:12">
      <c r="C229" s="187"/>
      <c r="D229" s="187"/>
      <c r="E229" s="187"/>
      <c r="F229" s="187"/>
      <c r="G229" s="187"/>
      <c r="H229" s="187"/>
      <c r="I229" s="187"/>
      <c r="J229" s="187"/>
      <c r="K229" s="187"/>
      <c r="L229" s="187"/>
    </row>
    <row r="230" spans="3:12">
      <c r="C230" s="187"/>
      <c r="D230" s="187"/>
      <c r="E230" s="187"/>
      <c r="F230" s="187"/>
      <c r="G230" s="187"/>
      <c r="H230" s="187"/>
      <c r="I230" s="187"/>
      <c r="J230" s="187"/>
      <c r="K230" s="187"/>
      <c r="L230" s="187"/>
    </row>
    <row r="231" spans="3:12">
      <c r="C231" s="187"/>
      <c r="D231" s="187"/>
      <c r="E231" s="187"/>
      <c r="F231" s="187"/>
      <c r="G231" s="187"/>
      <c r="H231" s="187"/>
      <c r="I231" s="187"/>
      <c r="J231" s="187"/>
      <c r="K231" s="187"/>
      <c r="L231" s="187"/>
    </row>
    <row r="232" spans="3:12">
      <c r="C232" s="187"/>
      <c r="D232" s="187"/>
      <c r="E232" s="187"/>
      <c r="F232" s="187"/>
      <c r="G232" s="187"/>
      <c r="H232" s="187"/>
      <c r="I232" s="187"/>
      <c r="J232" s="187"/>
      <c r="K232" s="187"/>
      <c r="L232" s="187"/>
    </row>
    <row r="233" spans="3:12">
      <c r="C233" s="187"/>
      <c r="D233" s="187"/>
      <c r="E233" s="187"/>
      <c r="F233" s="187"/>
      <c r="G233" s="187"/>
      <c r="H233" s="187"/>
      <c r="I233" s="187"/>
      <c r="J233" s="187"/>
      <c r="K233" s="187"/>
      <c r="L233" s="187"/>
    </row>
    <row r="234" spans="3:12">
      <c r="C234" s="187"/>
      <c r="D234" s="187"/>
      <c r="E234" s="187"/>
      <c r="F234" s="187"/>
      <c r="G234" s="187"/>
      <c r="H234" s="187"/>
      <c r="I234" s="187"/>
      <c r="J234" s="187"/>
      <c r="K234" s="187"/>
      <c r="L234" s="187"/>
    </row>
    <row r="235" spans="3:12">
      <c r="C235" s="187"/>
      <c r="D235" s="187"/>
      <c r="E235" s="187"/>
      <c r="F235" s="187"/>
      <c r="G235" s="187"/>
      <c r="H235" s="187"/>
      <c r="I235" s="187"/>
      <c r="J235" s="187"/>
      <c r="K235" s="187"/>
      <c r="L235" s="187"/>
    </row>
    <row r="236" spans="3:12">
      <c r="C236" s="187"/>
      <c r="D236" s="187"/>
      <c r="E236" s="187"/>
      <c r="F236" s="187"/>
      <c r="G236" s="187"/>
      <c r="H236" s="187"/>
      <c r="I236" s="187"/>
      <c r="J236" s="187"/>
      <c r="K236" s="187"/>
      <c r="L236" s="187"/>
    </row>
    <row r="237" spans="3:12">
      <c r="C237" s="187"/>
      <c r="D237" s="187"/>
      <c r="E237" s="187"/>
      <c r="F237" s="187"/>
      <c r="G237" s="187"/>
      <c r="H237" s="187"/>
      <c r="I237" s="187"/>
      <c r="J237" s="187"/>
      <c r="K237" s="187"/>
      <c r="L237" s="187"/>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45" fitToHeight="0"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475AE-2FEC-446A-B617-38871383BE10}">
  <sheetPr codeName="Sheet19"/>
  <dimension ref="A1:L78"/>
  <sheetViews>
    <sheetView view="pageBreakPreview" zoomScale="60" zoomScaleNormal="70" workbookViewId="0">
      <selection activeCell="AC65" sqref="AC65"/>
    </sheetView>
  </sheetViews>
  <sheetFormatPr defaultColWidth="8.88671875" defaultRowHeight="15.75"/>
  <cols>
    <col min="1" max="1" width="7.6640625" style="62" customWidth="1"/>
    <col min="2" max="2" width="24.88671875" style="64" customWidth="1"/>
    <col min="3" max="3" width="7.109375" style="64" customWidth="1"/>
    <col min="4" max="4" width="25.5546875" style="62" customWidth="1"/>
    <col min="5" max="5" width="9" style="62" customWidth="1"/>
    <col min="6" max="6" width="34.21875" style="62" bestFit="1" customWidth="1"/>
    <col min="7" max="9" width="15.88671875" style="62" customWidth="1"/>
    <col min="10" max="10" width="18.88671875" style="62" customWidth="1"/>
    <col min="11" max="16384" width="8.88671875" style="62"/>
  </cols>
  <sheetData>
    <row r="1" spans="1:10" ht="16.5" customHeight="1">
      <c r="B1" s="61"/>
      <c r="C1" s="61"/>
      <c r="J1" s="63" t="str">
        <f>'Attachment H-11A '!K1&amp;""&amp;", Attachment 13"</f>
        <v>Attachment H -11A, Attachment 13</v>
      </c>
    </row>
    <row r="2" spans="1:10" ht="16.5" customHeight="1">
      <c r="B2" s="61"/>
      <c r="C2" s="61"/>
      <c r="J2" s="63" t="s">
        <v>168</v>
      </c>
    </row>
    <row r="3" spans="1:10" ht="16.5" customHeight="1">
      <c r="B3" s="61"/>
      <c r="C3" s="61"/>
      <c r="J3" s="63" t="str">
        <f>'Attachment H-11A '!K4</f>
        <v>For the 12 months ended 12/31/2022</v>
      </c>
    </row>
    <row r="4" spans="1:10" ht="20.100000000000001" customHeight="1">
      <c r="B4" s="61"/>
      <c r="C4" s="61"/>
    </row>
    <row r="5" spans="1:10" ht="20.100000000000001" customHeight="1">
      <c r="B5" s="1143" t="s">
        <v>1071</v>
      </c>
      <c r="C5" s="1143"/>
      <c r="D5" s="1143"/>
      <c r="E5" s="1143"/>
      <c r="F5" s="1143"/>
      <c r="G5" s="1143"/>
      <c r="H5" s="1143"/>
      <c r="I5" s="1143"/>
    </row>
    <row r="6" spans="1:10" ht="20.100000000000001" customHeight="1">
      <c r="B6" s="1143"/>
      <c r="C6" s="1143"/>
      <c r="D6" s="1143"/>
      <c r="E6" s="1143"/>
      <c r="F6" s="1143"/>
      <c r="G6" s="1143"/>
      <c r="H6" s="1143"/>
      <c r="I6" s="1143"/>
    </row>
    <row r="7" spans="1:10" ht="20.100000000000001" customHeight="1" thickBot="1"/>
    <row r="8" spans="1:10" s="81" customFormat="1" ht="98.25" customHeight="1">
      <c r="B8" s="392" t="s">
        <v>1342</v>
      </c>
      <c r="C8" s="83"/>
      <c r="D8" s="392" t="s">
        <v>1343</v>
      </c>
      <c r="E8" s="83"/>
      <c r="F8" s="82" t="s">
        <v>252</v>
      </c>
      <c r="H8" s="80"/>
      <c r="I8" s="80"/>
    </row>
    <row r="9" spans="1:10" ht="20.100000000000001" customHeight="1">
      <c r="B9" s="67" t="s">
        <v>1196</v>
      </c>
      <c r="C9" s="65"/>
      <c r="D9" s="67" t="s">
        <v>1196</v>
      </c>
      <c r="E9" s="65"/>
      <c r="F9" s="68"/>
      <c r="H9" s="66"/>
      <c r="I9" s="66"/>
    </row>
    <row r="10" spans="1:10" ht="20.100000000000001" customHeight="1" thickBot="1">
      <c r="A10" s="274" t="s">
        <v>245</v>
      </c>
      <c r="B10" s="399">
        <v>49437124.880196214</v>
      </c>
      <c r="C10" s="71" t="str">
        <f>"-"</f>
        <v>-</v>
      </c>
      <c r="D10" s="399">
        <f>'Attachment 13b - PJM Billings'!L20</f>
        <v>54063825.282204248</v>
      </c>
      <c r="E10" s="71" t="str">
        <f>"="</f>
        <v>=</v>
      </c>
      <c r="F10" s="72">
        <f>IF(B10=0,0,D10-B10)</f>
        <v>4626700.4020080343</v>
      </c>
      <c r="H10" s="66"/>
      <c r="I10" s="66"/>
    </row>
    <row r="11" spans="1:10" ht="20.100000000000001" customHeight="1" thickBot="1">
      <c r="A11" s="274"/>
      <c r="B11" s="73"/>
      <c r="C11" s="74"/>
      <c r="D11" s="73"/>
      <c r="E11" s="74"/>
      <c r="F11" s="73"/>
      <c r="G11" s="75"/>
      <c r="H11" s="75"/>
      <c r="I11" s="75"/>
    </row>
    <row r="12" spans="1:10" ht="20.100000000000001" customHeight="1">
      <c r="A12" s="274"/>
      <c r="B12" s="70"/>
      <c r="C12" s="69"/>
      <c r="D12" s="70"/>
      <c r="E12" s="69"/>
      <c r="F12" s="70"/>
      <c r="G12" s="66"/>
      <c r="H12" s="66"/>
      <c r="I12" s="66"/>
    </row>
    <row r="13" spans="1:10" ht="20.100000000000001" customHeight="1">
      <c r="A13" s="274"/>
      <c r="B13" s="1034" t="s">
        <v>1344</v>
      </c>
      <c r="C13" s="1035"/>
      <c r="D13" s="1036"/>
      <c r="E13" s="1037"/>
      <c r="F13" s="1038"/>
      <c r="G13" s="1038"/>
      <c r="H13" s="66"/>
      <c r="I13" s="66"/>
    </row>
    <row r="14" spans="1:10" ht="20.100000000000001" customHeight="1">
      <c r="A14" s="274"/>
      <c r="B14" s="70"/>
      <c r="C14" s="69"/>
      <c r="D14" s="70"/>
      <c r="E14" s="69"/>
      <c r="F14" s="70"/>
      <c r="G14" s="66"/>
      <c r="H14" s="66"/>
      <c r="I14" s="66"/>
    </row>
    <row r="15" spans="1:10" ht="20.100000000000001" customHeight="1">
      <c r="A15" s="274"/>
      <c r="B15" s="77" t="s">
        <v>688</v>
      </c>
      <c r="C15" s="69"/>
      <c r="D15" s="77" t="s">
        <v>807</v>
      </c>
      <c r="E15" s="69"/>
      <c r="F15" s="77" t="s">
        <v>808</v>
      </c>
      <c r="G15" s="1005" t="s">
        <v>809</v>
      </c>
      <c r="H15" s="1005" t="s">
        <v>803</v>
      </c>
      <c r="I15" s="1005" t="s">
        <v>1064</v>
      </c>
    </row>
    <row r="16" spans="1:10" ht="20.100000000000001" customHeight="1">
      <c r="A16" s="1002" t="s">
        <v>5</v>
      </c>
      <c r="B16" s="1003" t="s">
        <v>690</v>
      </c>
      <c r="C16" s="979"/>
      <c r="D16" s="71" t="s">
        <v>1072</v>
      </c>
      <c r="E16" s="1004"/>
      <c r="F16" s="1003" t="s">
        <v>254</v>
      </c>
      <c r="G16" s="71" t="s">
        <v>1056</v>
      </c>
      <c r="H16" s="1003" t="s">
        <v>415</v>
      </c>
      <c r="I16" s="71" t="s">
        <v>1057</v>
      </c>
    </row>
    <row r="17" spans="1:9" ht="20.100000000000001" customHeight="1">
      <c r="A17" s="274">
        <v>1</v>
      </c>
      <c r="B17" s="998">
        <v>44582</v>
      </c>
      <c r="C17" s="69"/>
      <c r="D17" s="999">
        <v>2.7399999999999998E-3</v>
      </c>
      <c r="E17" s="69"/>
      <c r="F17" s="991">
        <f>D17</f>
        <v>2.7399999999999998E-3</v>
      </c>
      <c r="G17" s="990">
        <f>1/12</f>
        <v>8.3333333333333329E-2</v>
      </c>
      <c r="H17" s="990">
        <f>F17*G17</f>
        <v>2.2833333333333332E-4</v>
      </c>
      <c r="I17" s="990">
        <v>0</v>
      </c>
    </row>
    <row r="18" spans="1:9" ht="20.100000000000001" customHeight="1">
      <c r="A18" s="274">
        <f>IF(ISBLANK(G18)=TRUE,"",MAX($A$17:A17)+1)</f>
        <v>2</v>
      </c>
      <c r="B18" s="992">
        <f>EOMONTH(B17,1)</f>
        <v>44620</v>
      </c>
      <c r="C18" s="69"/>
      <c r="D18" s="991">
        <f>D17</f>
        <v>2.7399999999999998E-3</v>
      </c>
      <c r="E18" s="69"/>
      <c r="F18" s="991">
        <f t="shared" ref="F18:F28" si="0">D18</f>
        <v>2.7399999999999998E-3</v>
      </c>
      <c r="G18" s="990">
        <f>G17+1/12</f>
        <v>0.16666666666666666</v>
      </c>
      <c r="H18" s="990">
        <f t="shared" ref="H18:H28" si="1">F18*G18</f>
        <v>4.5666666666666664E-4</v>
      </c>
      <c r="I18" s="990">
        <v>0</v>
      </c>
    </row>
    <row r="19" spans="1:9" ht="20.100000000000001" customHeight="1">
      <c r="A19" s="274">
        <f>IF(ISBLANK(G19)=TRUE,"",MAX($A$17:A18)+1)</f>
        <v>3</v>
      </c>
      <c r="B19" s="992">
        <f t="shared" ref="B19:B27" si="2">EOMONTH(B18,1)</f>
        <v>44651</v>
      </c>
      <c r="C19" s="69"/>
      <c r="D19" s="991">
        <f>D18</f>
        <v>2.7399999999999998E-3</v>
      </c>
      <c r="E19" s="69"/>
      <c r="F19" s="991">
        <f t="shared" si="0"/>
        <v>2.7399999999999998E-3</v>
      </c>
      <c r="G19" s="994">
        <f t="shared" ref="G19:G28" si="3">G18+1/12</f>
        <v>0.25</v>
      </c>
      <c r="H19" s="990">
        <f t="shared" si="1"/>
        <v>6.8499999999999995E-4</v>
      </c>
      <c r="I19" s="990">
        <f>I18+SUM(H17:H19)</f>
        <v>1.3699999999999999E-3</v>
      </c>
    </row>
    <row r="20" spans="1:9" ht="20.100000000000001" customHeight="1">
      <c r="A20" s="274">
        <f>IF(ISBLANK(G20)=TRUE,"",MAX($A$17:A19)+1)</f>
        <v>4</v>
      </c>
      <c r="B20" s="992">
        <f t="shared" si="2"/>
        <v>44681</v>
      </c>
      <c r="C20" s="69"/>
      <c r="D20" s="991">
        <f>D19</f>
        <v>2.7399999999999998E-3</v>
      </c>
      <c r="E20" s="69"/>
      <c r="F20" s="991">
        <f t="shared" si="0"/>
        <v>2.7399999999999998E-3</v>
      </c>
      <c r="G20" s="990">
        <f>G19+1/12+I19</f>
        <v>0.3347033333333333</v>
      </c>
      <c r="H20" s="990">
        <f t="shared" si="1"/>
        <v>9.1708713333333322E-4</v>
      </c>
      <c r="I20" s="990">
        <v>0</v>
      </c>
    </row>
    <row r="21" spans="1:9" ht="20.100000000000001" customHeight="1">
      <c r="A21" s="274">
        <f>IF(ISBLANK(G21)=TRUE,"",MAX($A$17:A20)+1)</f>
        <v>5</v>
      </c>
      <c r="B21" s="992">
        <f t="shared" si="2"/>
        <v>44712</v>
      </c>
      <c r="C21" s="69"/>
      <c r="D21" s="991">
        <f>D20</f>
        <v>2.7399999999999998E-3</v>
      </c>
      <c r="E21" s="69"/>
      <c r="F21" s="991">
        <f t="shared" si="0"/>
        <v>2.7399999999999998E-3</v>
      </c>
      <c r="G21" s="990">
        <f t="shared" si="3"/>
        <v>0.41803666666666661</v>
      </c>
      <c r="H21" s="990">
        <f t="shared" si="1"/>
        <v>1.1454204666666665E-3</v>
      </c>
      <c r="I21" s="990">
        <v>0</v>
      </c>
    </row>
    <row r="22" spans="1:9" ht="20.100000000000001" customHeight="1">
      <c r="A22" s="274">
        <f>IF(ISBLANK(G22)=TRUE,"",MAX($A$17:A21)+1)</f>
        <v>6</v>
      </c>
      <c r="B22" s="992">
        <f t="shared" si="2"/>
        <v>44742</v>
      </c>
      <c r="C22" s="69"/>
      <c r="D22" s="991">
        <f>D21</f>
        <v>2.7399999999999998E-3</v>
      </c>
      <c r="E22" s="69"/>
      <c r="F22" s="991">
        <f t="shared" si="0"/>
        <v>2.7399999999999998E-3</v>
      </c>
      <c r="G22" s="994">
        <f t="shared" si="3"/>
        <v>0.50136999999999998</v>
      </c>
      <c r="H22" s="990">
        <f t="shared" si="1"/>
        <v>1.3737538E-3</v>
      </c>
      <c r="I22" s="990">
        <f>I21+SUM(H20:H22)</f>
        <v>3.4362613999999996E-3</v>
      </c>
    </row>
    <row r="23" spans="1:9" ht="20.100000000000001" customHeight="1">
      <c r="A23" s="274">
        <f>IF(ISBLANK(G23)=TRUE,"",MAX($A$17:A22)+1)</f>
        <v>7</v>
      </c>
      <c r="B23" s="992">
        <f t="shared" si="2"/>
        <v>44773</v>
      </c>
      <c r="C23" s="69"/>
      <c r="D23" s="991">
        <f t="shared" ref="D23:D28" si="4">D22</f>
        <v>2.7399999999999998E-3</v>
      </c>
      <c r="E23" s="69"/>
      <c r="F23" s="991">
        <f t="shared" si="0"/>
        <v>2.7399999999999998E-3</v>
      </c>
      <c r="G23" s="990">
        <f>G22+1/12+I22</f>
        <v>0.58813959473333333</v>
      </c>
      <c r="H23" s="990">
        <f t="shared" si="1"/>
        <v>1.6115024895693331E-3</v>
      </c>
      <c r="I23" s="990">
        <v>0</v>
      </c>
    </row>
    <row r="24" spans="1:9" ht="20.100000000000001" customHeight="1">
      <c r="A24" s="274">
        <f>IF(ISBLANK(G24)=TRUE,"",MAX($A$17:A23)+1)</f>
        <v>8</v>
      </c>
      <c r="B24" s="992">
        <f t="shared" si="2"/>
        <v>44804</v>
      </c>
      <c r="C24" s="69"/>
      <c r="D24" s="991">
        <f t="shared" si="4"/>
        <v>2.7399999999999998E-3</v>
      </c>
      <c r="E24" s="69"/>
      <c r="F24" s="991">
        <f t="shared" si="0"/>
        <v>2.7399999999999998E-3</v>
      </c>
      <c r="G24" s="990">
        <f t="shared" si="3"/>
        <v>0.6714729280666667</v>
      </c>
      <c r="H24" s="990">
        <f t="shared" si="1"/>
        <v>1.8398358229026665E-3</v>
      </c>
      <c r="I24" s="990">
        <v>0</v>
      </c>
    </row>
    <row r="25" spans="1:9" ht="20.100000000000001" customHeight="1">
      <c r="A25" s="274">
        <f>IF(ISBLANK(G25)=TRUE,"",MAX($A$17:A24)+1)</f>
        <v>9</v>
      </c>
      <c r="B25" s="992">
        <f t="shared" si="2"/>
        <v>44834</v>
      </c>
      <c r="C25" s="69"/>
      <c r="D25" s="991">
        <f t="shared" si="4"/>
        <v>2.7399999999999998E-3</v>
      </c>
      <c r="E25" s="69"/>
      <c r="F25" s="991">
        <f t="shared" si="0"/>
        <v>2.7399999999999998E-3</v>
      </c>
      <c r="G25" s="994">
        <f t="shared" si="3"/>
        <v>0.75480626140000007</v>
      </c>
      <c r="H25" s="990">
        <f t="shared" si="1"/>
        <v>2.0681691562360002E-3</v>
      </c>
      <c r="I25" s="990">
        <f>I24+SUM(H23:H25)</f>
        <v>5.5195074687079994E-3</v>
      </c>
    </row>
    <row r="26" spans="1:9" ht="20.100000000000001" customHeight="1">
      <c r="A26" s="274">
        <f>IF(ISBLANK(G26)=TRUE,"",MAX($A$17:A25)+1)</f>
        <v>10</v>
      </c>
      <c r="B26" s="992">
        <f t="shared" si="2"/>
        <v>44865</v>
      </c>
      <c r="C26" s="69"/>
      <c r="D26" s="991">
        <f t="shared" si="4"/>
        <v>2.7399999999999998E-3</v>
      </c>
      <c r="E26" s="69"/>
      <c r="F26" s="991">
        <f>D26</f>
        <v>2.7399999999999998E-3</v>
      </c>
      <c r="G26" s="990">
        <f>G25+1/12+I25</f>
        <v>0.84365910220204143</v>
      </c>
      <c r="H26" s="990">
        <f t="shared" si="1"/>
        <v>2.3116259400335934E-3</v>
      </c>
      <c r="I26" s="990">
        <v>0</v>
      </c>
    </row>
    <row r="27" spans="1:9" ht="20.100000000000001" customHeight="1">
      <c r="A27" s="274">
        <f>IF(ISBLANK(G27)=TRUE,"",MAX($A$17:A26)+1)</f>
        <v>11</v>
      </c>
      <c r="B27" s="992">
        <f t="shared" si="2"/>
        <v>44895</v>
      </c>
      <c r="C27" s="69"/>
      <c r="D27" s="991">
        <f t="shared" si="4"/>
        <v>2.7399999999999998E-3</v>
      </c>
      <c r="E27" s="69"/>
      <c r="F27" s="991">
        <f t="shared" si="0"/>
        <v>2.7399999999999998E-3</v>
      </c>
      <c r="G27" s="990">
        <f t="shared" si="3"/>
        <v>0.9269924355353748</v>
      </c>
      <c r="H27" s="990">
        <f t="shared" si="1"/>
        <v>2.5399592733669268E-3</v>
      </c>
      <c r="I27" s="990">
        <v>0</v>
      </c>
    </row>
    <row r="28" spans="1:9" ht="20.100000000000001" customHeight="1">
      <c r="A28" s="274">
        <f>IF(ISBLANK(G28)=TRUE,"",MAX($A$17:A27)+1)</f>
        <v>12</v>
      </c>
      <c r="B28" s="992">
        <f>EOMONTH(B27,1)</f>
        <v>44926</v>
      </c>
      <c r="C28" s="69"/>
      <c r="D28" s="991">
        <f t="shared" si="4"/>
        <v>2.7399999999999998E-3</v>
      </c>
      <c r="E28" s="69"/>
      <c r="F28" s="991">
        <f t="shared" si="0"/>
        <v>2.7399999999999998E-3</v>
      </c>
      <c r="G28" s="994">
        <f t="shared" si="3"/>
        <v>1.0103257688687082</v>
      </c>
      <c r="H28" s="990">
        <f t="shared" si="1"/>
        <v>2.7682926067002602E-3</v>
      </c>
      <c r="I28" s="990">
        <f>I27+SUM(H26:H28)</f>
        <v>7.6198778201007795E-3</v>
      </c>
    </row>
    <row r="29" spans="1:9" ht="20.100000000000001" customHeight="1">
      <c r="A29" s="274" t="str">
        <f>IF(ISBLANK(G29)=TRUE,"",MAX($A$17:A28)+1)</f>
        <v/>
      </c>
      <c r="B29" s="76"/>
      <c r="C29" s="69"/>
      <c r="D29" s="70"/>
      <c r="E29" s="69"/>
      <c r="F29" s="70"/>
      <c r="G29" s="66"/>
      <c r="H29" s="66"/>
      <c r="I29" s="66"/>
    </row>
    <row r="30" spans="1:9" ht="20.100000000000001" customHeight="1">
      <c r="A30" s="274">
        <f>IF(ISBLANK(G30)=TRUE,"",MAX($A$17:A29)+1)</f>
        <v>13</v>
      </c>
      <c r="B30" s="76"/>
      <c r="C30" s="69"/>
      <c r="E30" s="70" t="s">
        <v>1065</v>
      </c>
      <c r="F30" s="70"/>
      <c r="G30" s="990">
        <f>G28+I28</f>
        <v>1.017945646688809</v>
      </c>
      <c r="H30" s="66"/>
      <c r="I30" s="66"/>
    </row>
    <row r="31" spans="1:9" ht="20.100000000000001" customHeight="1">
      <c r="A31" s="274" t="str">
        <f>IF(ISBLANK(G31)=TRUE,"",MAX($A$17:A30)+1)</f>
        <v/>
      </c>
      <c r="B31" s="76"/>
      <c r="C31" s="69"/>
      <c r="D31" s="70"/>
      <c r="E31" s="69"/>
      <c r="F31" s="70"/>
      <c r="G31" s="66"/>
      <c r="H31" s="66"/>
      <c r="I31" s="66"/>
    </row>
    <row r="32" spans="1:9" ht="20.100000000000001" customHeight="1">
      <c r="A32" s="274">
        <f>IF(ISBLANK(G32)=TRUE,"",MAX($A$17:A31)+1)</f>
        <v>14</v>
      </c>
      <c r="B32" s="992">
        <f>EOMONTH(B28,1)</f>
        <v>44957</v>
      </c>
      <c r="C32" s="69"/>
      <c r="D32" s="991">
        <f>D28</f>
        <v>2.7399999999999998E-3</v>
      </c>
      <c r="E32" s="69"/>
      <c r="F32" s="991">
        <f>D32</f>
        <v>2.7399999999999998E-3</v>
      </c>
      <c r="G32" s="990">
        <f>G30</f>
        <v>1.017945646688809</v>
      </c>
      <c r="H32" s="990">
        <f>F32*G32</f>
        <v>2.7891710719273365E-3</v>
      </c>
      <c r="I32" s="990">
        <v>0</v>
      </c>
    </row>
    <row r="33" spans="1:12" ht="20.100000000000001" customHeight="1">
      <c r="A33" s="274">
        <f>IF(ISBLANK(G33)=TRUE,"",MAX($A$17:A32)+1)</f>
        <v>15</v>
      </c>
      <c r="B33" s="992">
        <f>EOMONTH(B32,1)</f>
        <v>44985</v>
      </c>
      <c r="C33" s="69"/>
      <c r="D33" s="991">
        <f>D32</f>
        <v>2.7399999999999998E-3</v>
      </c>
      <c r="E33" s="69"/>
      <c r="F33" s="991">
        <f t="shared" ref="F33:F43" si="5">D33</f>
        <v>2.7399999999999998E-3</v>
      </c>
      <c r="G33" s="990">
        <f>G32</f>
        <v>1.017945646688809</v>
      </c>
      <c r="H33" s="990">
        <f t="shared" ref="H33:H43" si="6">F33*G33</f>
        <v>2.7891710719273365E-3</v>
      </c>
      <c r="I33" s="990">
        <v>0</v>
      </c>
    </row>
    <row r="34" spans="1:12" ht="20.100000000000001" customHeight="1">
      <c r="A34" s="274">
        <f>IF(ISBLANK(G34)=TRUE,"",MAX($A$17:A33)+1)</f>
        <v>16</v>
      </c>
      <c r="B34" s="992">
        <f t="shared" ref="B34:B42" si="7">EOMONTH(B33,1)</f>
        <v>45016</v>
      </c>
      <c r="C34" s="69"/>
      <c r="D34" s="991">
        <f t="shared" ref="D34:D43" si="8">D33</f>
        <v>2.7399999999999998E-3</v>
      </c>
      <c r="E34" s="69"/>
      <c r="F34" s="991">
        <f t="shared" si="5"/>
        <v>2.7399999999999998E-3</v>
      </c>
      <c r="G34" s="994">
        <f>G33</f>
        <v>1.017945646688809</v>
      </c>
      <c r="H34" s="990">
        <f t="shared" si="6"/>
        <v>2.7891710719273365E-3</v>
      </c>
      <c r="I34" s="990">
        <f>I33+SUM(H32:H34)</f>
        <v>8.3675132157820103E-3</v>
      </c>
    </row>
    <row r="35" spans="1:12" ht="20.100000000000001" customHeight="1">
      <c r="A35" s="274">
        <f>IF(ISBLANK(G35)=TRUE,"",MAX($A$17:A34)+1)</f>
        <v>17</v>
      </c>
      <c r="B35" s="992">
        <f t="shared" si="7"/>
        <v>45046</v>
      </c>
      <c r="C35" s="69"/>
      <c r="D35" s="991">
        <f t="shared" si="8"/>
        <v>2.7399999999999998E-3</v>
      </c>
      <c r="E35" s="69"/>
      <c r="F35" s="991">
        <f t="shared" si="5"/>
        <v>2.7399999999999998E-3</v>
      </c>
      <c r="G35" s="990">
        <f>G34+I34</f>
        <v>1.0263131599045912</v>
      </c>
      <c r="H35" s="990">
        <f t="shared" si="6"/>
        <v>2.8120980581385797E-3</v>
      </c>
      <c r="I35" s="990">
        <v>0</v>
      </c>
    </row>
    <row r="36" spans="1:12" ht="20.100000000000001" customHeight="1">
      <c r="A36" s="274">
        <f>IF(ISBLANK(G36)=TRUE,"",MAX($A$17:A35)+1)</f>
        <v>18</v>
      </c>
      <c r="B36" s="992">
        <f t="shared" si="7"/>
        <v>45077</v>
      </c>
      <c r="C36" s="69"/>
      <c r="D36" s="991">
        <f t="shared" si="8"/>
        <v>2.7399999999999998E-3</v>
      </c>
      <c r="E36" s="69"/>
      <c r="F36" s="991">
        <f t="shared" si="5"/>
        <v>2.7399999999999998E-3</v>
      </c>
      <c r="G36" s="990">
        <f>G35</f>
        <v>1.0263131599045912</v>
      </c>
      <c r="H36" s="990">
        <f t="shared" si="6"/>
        <v>2.8120980581385797E-3</v>
      </c>
      <c r="I36" s="990">
        <v>0</v>
      </c>
    </row>
    <row r="37" spans="1:12" ht="20.100000000000001" customHeight="1">
      <c r="A37" s="274">
        <f>IF(ISBLANK(G37)=TRUE,"",MAX($A$17:A36)+1)</f>
        <v>19</v>
      </c>
      <c r="B37" s="992">
        <f t="shared" si="7"/>
        <v>45107</v>
      </c>
      <c r="C37" s="69"/>
      <c r="D37" s="991">
        <f t="shared" si="8"/>
        <v>2.7399999999999998E-3</v>
      </c>
      <c r="E37" s="69"/>
      <c r="F37" s="991">
        <f t="shared" si="5"/>
        <v>2.7399999999999998E-3</v>
      </c>
      <c r="G37" s="994">
        <f>G36</f>
        <v>1.0263131599045912</v>
      </c>
      <c r="H37" s="990">
        <f t="shared" si="6"/>
        <v>2.8120980581385797E-3</v>
      </c>
      <c r="I37" s="990">
        <f>I36+SUM(H35:H37)</f>
        <v>8.4362941744157392E-3</v>
      </c>
    </row>
    <row r="38" spans="1:12" ht="20.100000000000001" customHeight="1">
      <c r="A38" s="274">
        <f>IF(ISBLANK(G38)=TRUE,"",MAX($A$17:A37)+1)</f>
        <v>20</v>
      </c>
      <c r="B38" s="992">
        <f t="shared" si="7"/>
        <v>45138</v>
      </c>
      <c r="C38" s="69"/>
      <c r="D38" s="991">
        <f t="shared" si="8"/>
        <v>2.7399999999999998E-3</v>
      </c>
      <c r="E38" s="69"/>
      <c r="F38" s="991">
        <f t="shared" si="5"/>
        <v>2.7399999999999998E-3</v>
      </c>
      <c r="G38" s="990">
        <f>G37+I37</f>
        <v>1.034749454079007</v>
      </c>
      <c r="H38" s="990">
        <f t="shared" si="6"/>
        <v>2.8352135041764788E-3</v>
      </c>
      <c r="I38" s="990">
        <v>0</v>
      </c>
    </row>
    <row r="39" spans="1:12" ht="20.100000000000001" customHeight="1">
      <c r="A39" s="274">
        <f>IF(ISBLANK(G39)=TRUE,"",MAX($A$17:A38)+1)</f>
        <v>21</v>
      </c>
      <c r="B39" s="992">
        <f t="shared" si="7"/>
        <v>45169</v>
      </c>
      <c r="C39" s="69"/>
      <c r="D39" s="991">
        <f t="shared" si="8"/>
        <v>2.7399999999999998E-3</v>
      </c>
      <c r="E39" s="69"/>
      <c r="F39" s="991">
        <f>D39</f>
        <v>2.7399999999999998E-3</v>
      </c>
      <c r="G39" s="990">
        <f>G38</f>
        <v>1.034749454079007</v>
      </c>
      <c r="H39" s="990">
        <f t="shared" si="6"/>
        <v>2.8352135041764788E-3</v>
      </c>
      <c r="I39" s="990">
        <v>0</v>
      </c>
    </row>
    <row r="40" spans="1:12" ht="20.100000000000001" customHeight="1">
      <c r="A40" s="274">
        <f>IF(ISBLANK(G40)=TRUE,"",MAX($A$17:A39)+1)</f>
        <v>22</v>
      </c>
      <c r="B40" s="992">
        <f t="shared" si="7"/>
        <v>45199</v>
      </c>
      <c r="C40" s="69"/>
      <c r="D40" s="991">
        <f t="shared" si="8"/>
        <v>2.7399999999999998E-3</v>
      </c>
      <c r="E40" s="69"/>
      <c r="F40" s="991">
        <f t="shared" si="5"/>
        <v>2.7399999999999998E-3</v>
      </c>
      <c r="G40" s="994">
        <f>G39</f>
        <v>1.034749454079007</v>
      </c>
      <c r="H40" s="990">
        <f t="shared" si="6"/>
        <v>2.8352135041764788E-3</v>
      </c>
      <c r="I40" s="990">
        <f>I39+SUM(H38:H40)</f>
        <v>8.5056405125294374E-3</v>
      </c>
    </row>
    <row r="41" spans="1:12" ht="20.100000000000001" customHeight="1">
      <c r="A41" s="274">
        <f>IF(ISBLANK(G41)=TRUE,"",MAX($A$17:A40)+1)</f>
        <v>23</v>
      </c>
      <c r="B41" s="992">
        <f t="shared" si="7"/>
        <v>45230</v>
      </c>
      <c r="C41" s="69"/>
      <c r="D41" s="991">
        <f t="shared" si="8"/>
        <v>2.7399999999999998E-3</v>
      </c>
      <c r="E41" s="69"/>
      <c r="F41" s="991">
        <f t="shared" si="5"/>
        <v>2.7399999999999998E-3</v>
      </c>
      <c r="G41" s="990">
        <f>G40+I40</f>
        <v>1.0432550945915364</v>
      </c>
      <c r="H41" s="990">
        <f t="shared" si="6"/>
        <v>2.8585189591808094E-3</v>
      </c>
      <c r="I41" s="990">
        <v>0</v>
      </c>
    </row>
    <row r="42" spans="1:12" ht="20.100000000000001" customHeight="1">
      <c r="A42" s="274">
        <f>IF(ISBLANK(G42)=TRUE,"",MAX($A$17:A41)+1)</f>
        <v>24</v>
      </c>
      <c r="B42" s="992">
        <f t="shared" si="7"/>
        <v>45260</v>
      </c>
      <c r="C42" s="69"/>
      <c r="D42" s="991">
        <f t="shared" si="8"/>
        <v>2.7399999999999998E-3</v>
      </c>
      <c r="E42" s="69"/>
      <c r="F42" s="991">
        <f t="shared" si="5"/>
        <v>2.7399999999999998E-3</v>
      </c>
      <c r="G42" s="990">
        <f>G41</f>
        <v>1.0432550945915364</v>
      </c>
      <c r="H42" s="990">
        <f t="shared" si="6"/>
        <v>2.8585189591808094E-3</v>
      </c>
      <c r="I42" s="990">
        <v>0</v>
      </c>
    </row>
    <row r="43" spans="1:12" ht="20.100000000000001" customHeight="1">
      <c r="A43" s="274">
        <f>IF(ISBLANK(G43)=TRUE,"",MAX($A$17:A42)+1)</f>
        <v>25</v>
      </c>
      <c r="B43" s="992">
        <f>EOMONTH(B42,1)</f>
        <v>45291</v>
      </c>
      <c r="C43" s="69"/>
      <c r="D43" s="991">
        <f t="shared" si="8"/>
        <v>2.7399999999999998E-3</v>
      </c>
      <c r="E43" s="69"/>
      <c r="F43" s="991">
        <f t="shared" si="5"/>
        <v>2.7399999999999998E-3</v>
      </c>
      <c r="G43" s="994">
        <f>G42</f>
        <v>1.0432550945915364</v>
      </c>
      <c r="H43" s="990">
        <f t="shared" si="6"/>
        <v>2.8585189591808094E-3</v>
      </c>
      <c r="I43" s="990">
        <f>I42+SUM(H41:H43)</f>
        <v>8.5755568775424292E-3</v>
      </c>
    </row>
    <row r="44" spans="1:12" ht="20.100000000000001" customHeight="1">
      <c r="A44" s="274" t="str">
        <f>IF(ISBLANK(G44)=TRUE,"",MAX($A$17:A43)+1)</f>
        <v/>
      </c>
      <c r="B44" s="76"/>
      <c r="C44" s="69"/>
      <c r="D44" s="70"/>
      <c r="E44" s="69"/>
      <c r="F44" s="70"/>
      <c r="G44" s="66"/>
      <c r="H44" s="66"/>
      <c r="I44" s="66"/>
    </row>
    <row r="45" spans="1:12" ht="20.100000000000001" customHeight="1">
      <c r="A45" s="274">
        <f>IF(ISBLANK(G45)=TRUE,"",MAX($A$17:A44)+1)</f>
        <v>26</v>
      </c>
      <c r="B45" s="76"/>
      <c r="C45" s="69"/>
      <c r="D45" s="70"/>
      <c r="E45" s="70" t="s">
        <v>1066</v>
      </c>
      <c r="F45" s="70"/>
      <c r="G45" s="990">
        <f>G43+I43</f>
        <v>1.0518306514690789</v>
      </c>
      <c r="H45" s="66"/>
      <c r="I45" s="66"/>
    </row>
    <row r="46" spans="1:12" ht="20.100000000000001" customHeight="1">
      <c r="A46" s="274" t="str">
        <f>IF(ISBLANK(G46)=TRUE,"",MAX($A$17:A45)+1)</f>
        <v/>
      </c>
      <c r="B46" s="76"/>
      <c r="C46" s="69"/>
      <c r="D46" s="70"/>
      <c r="E46" s="70"/>
      <c r="F46" s="70"/>
      <c r="G46" s="990"/>
      <c r="H46" s="66"/>
      <c r="I46" s="66"/>
    </row>
    <row r="47" spans="1:12" ht="20.100000000000001" customHeight="1">
      <c r="A47" s="274">
        <f>IF(ISBLANK(G47)=TRUE,"",MAX($A$17:A46)+1)</f>
        <v>27</v>
      </c>
      <c r="B47" s="76"/>
      <c r="C47" s="69"/>
      <c r="D47" s="70"/>
      <c r="E47" s="877"/>
      <c r="F47" s="995" t="s">
        <v>1058</v>
      </c>
      <c r="G47" s="1006">
        <f>G45/12</f>
        <v>8.7652554289089912E-2</v>
      </c>
      <c r="H47" s="66"/>
      <c r="I47" s="66"/>
    </row>
    <row r="48" spans="1:12" ht="20.100000000000001" customHeight="1" thickBot="1">
      <c r="A48" s="274">
        <f>IF(ISBLANK(G48)=TRUE,"",MAX($A$17:A47)+1)</f>
        <v>28</v>
      </c>
      <c r="B48" s="76"/>
      <c r="C48" s="69"/>
      <c r="D48" s="70"/>
      <c r="E48" s="877"/>
      <c r="F48" s="996" t="s">
        <v>1059</v>
      </c>
      <c r="G48" s="1007">
        <v>1.3210573759383885E-3</v>
      </c>
      <c r="H48" s="990" t="s">
        <v>1197</v>
      </c>
      <c r="I48" s="877"/>
      <c r="J48" s="990"/>
      <c r="K48" s="877"/>
      <c r="L48" s="997"/>
    </row>
    <row r="49" spans="1:9" ht="20.100000000000001" customHeight="1" thickTop="1">
      <c r="A49" s="274">
        <f>IF(ISBLANK(G49)=TRUE,"",MAX($A$17:A48)+1)</f>
        <v>29</v>
      </c>
      <c r="B49" s="76"/>
      <c r="C49" s="69"/>
      <c r="D49" s="70"/>
      <c r="E49" s="877"/>
      <c r="F49" s="995" t="s">
        <v>1060</v>
      </c>
      <c r="G49" s="990">
        <f>G47+G48</f>
        <v>8.8973611665028304E-2</v>
      </c>
      <c r="H49" s="66"/>
      <c r="I49" s="66"/>
    </row>
    <row r="50" spans="1:9" ht="20.100000000000001" customHeight="1">
      <c r="A50" s="274" t="str">
        <f>IF(ISBLANK(G50)=TRUE,"",MAX($A$17:A49)+1)</f>
        <v/>
      </c>
      <c r="B50" s="76"/>
      <c r="C50" s="69"/>
      <c r="D50" s="70"/>
      <c r="E50" s="877"/>
      <c r="F50" s="995"/>
      <c r="G50" s="990"/>
      <c r="H50" s="66"/>
      <c r="I50" s="66"/>
    </row>
    <row r="51" spans="1:9" ht="20.100000000000001" customHeight="1">
      <c r="A51" s="274">
        <f>IF(ISBLANK(G51)=TRUE,"",MAX($A$17:A50)+1)</f>
        <v>30</v>
      </c>
      <c r="B51" s="992">
        <f>EOMONTH(B43,1)</f>
        <v>45322</v>
      </c>
      <c r="C51" s="69"/>
      <c r="D51" s="991">
        <f>D41</f>
        <v>2.7399999999999998E-3</v>
      </c>
      <c r="E51" s="877"/>
      <c r="F51" s="991">
        <f>D51</f>
        <v>2.7399999999999998E-3</v>
      </c>
      <c r="G51" s="990">
        <f>$G$45-($G$49*A17)</f>
        <v>0.96285703980405069</v>
      </c>
      <c r="H51" s="990">
        <f>F51*G51</f>
        <v>2.6382282890630988E-3</v>
      </c>
      <c r="I51" s="990">
        <v>0</v>
      </c>
    </row>
    <row r="52" spans="1:9" ht="20.100000000000001" customHeight="1">
      <c r="A52" s="274">
        <f>IF(ISBLANK(G52)=TRUE,"",MAX($A$17:A51)+1)</f>
        <v>31</v>
      </c>
      <c r="B52" s="992">
        <f>EOMONTH(B51,1)</f>
        <v>45351</v>
      </c>
      <c r="C52" s="69"/>
      <c r="D52" s="991">
        <f t="shared" ref="D52:D62" si="9">D51</f>
        <v>2.7399999999999998E-3</v>
      </c>
      <c r="E52" s="877"/>
      <c r="F52" s="991">
        <f t="shared" ref="F52:F61" si="10">D52</f>
        <v>2.7399999999999998E-3</v>
      </c>
      <c r="G52" s="990">
        <f>G51-$G$49</f>
        <v>0.87388342813902242</v>
      </c>
      <c r="H52" s="990">
        <f t="shared" ref="H52:H62" si="11">F52*G52</f>
        <v>2.3944405931009211E-3</v>
      </c>
      <c r="I52" s="990">
        <v>0</v>
      </c>
    </row>
    <row r="53" spans="1:9" ht="20.100000000000001" customHeight="1">
      <c r="A53" s="274">
        <f>IF(ISBLANK(G53)=TRUE,"",MAX($A$17:A52)+1)</f>
        <v>32</v>
      </c>
      <c r="B53" s="992">
        <f t="shared" ref="B53:B61" si="12">EOMONTH(B52,1)</f>
        <v>45382</v>
      </c>
      <c r="C53" s="69"/>
      <c r="D53" s="991">
        <f t="shared" si="9"/>
        <v>2.7399999999999998E-3</v>
      </c>
      <c r="E53" s="877"/>
      <c r="F53" s="991">
        <f t="shared" si="10"/>
        <v>2.7399999999999998E-3</v>
      </c>
      <c r="G53" s="994">
        <f t="shared" ref="G53:G62" si="13">G52-$G$49</f>
        <v>0.78490981647399416</v>
      </c>
      <c r="H53" s="990">
        <f t="shared" si="11"/>
        <v>2.1506528971387438E-3</v>
      </c>
      <c r="I53" s="990">
        <f>I52+SUM(H51:H53)</f>
        <v>7.1833217793027633E-3</v>
      </c>
    </row>
    <row r="54" spans="1:9" ht="20.100000000000001" customHeight="1">
      <c r="A54" s="274">
        <f>IF(ISBLANK(G54)=TRUE,"",MAX($A$17:A53)+1)</f>
        <v>33</v>
      </c>
      <c r="B54" s="992">
        <f t="shared" si="12"/>
        <v>45412</v>
      </c>
      <c r="C54" s="69"/>
      <c r="D54" s="991">
        <f t="shared" si="9"/>
        <v>2.7399999999999998E-3</v>
      </c>
      <c r="E54" s="877"/>
      <c r="F54" s="991">
        <f>D54</f>
        <v>2.7399999999999998E-3</v>
      </c>
      <c r="G54" s="990">
        <f>G53-$G$49+I53</f>
        <v>0.70311952658826871</v>
      </c>
      <c r="H54" s="990">
        <f t="shared" si="11"/>
        <v>1.9265475028518561E-3</v>
      </c>
      <c r="I54" s="990">
        <v>0</v>
      </c>
    </row>
    <row r="55" spans="1:9" ht="20.100000000000001" customHeight="1">
      <c r="A55" s="274">
        <f>IF(ISBLANK(G55)=TRUE,"",MAX($A$17:A54)+1)</f>
        <v>34</v>
      </c>
      <c r="B55" s="992">
        <f t="shared" si="12"/>
        <v>45443</v>
      </c>
      <c r="C55" s="69"/>
      <c r="D55" s="991">
        <f t="shared" si="9"/>
        <v>2.7399999999999998E-3</v>
      </c>
      <c r="E55" s="70"/>
      <c r="F55" s="991">
        <f t="shared" si="10"/>
        <v>2.7399999999999998E-3</v>
      </c>
      <c r="G55" s="990">
        <f t="shared" si="13"/>
        <v>0.61414591492324044</v>
      </c>
      <c r="H55" s="990">
        <f t="shared" si="11"/>
        <v>1.6827598068896788E-3</v>
      </c>
      <c r="I55" s="990">
        <v>0</v>
      </c>
    </row>
    <row r="56" spans="1:9" ht="20.100000000000001" customHeight="1">
      <c r="A56" s="274">
        <f>IF(ISBLANK(G56)=TRUE,"",MAX($A$17:A55)+1)</f>
        <v>35</v>
      </c>
      <c r="B56" s="992">
        <f t="shared" si="12"/>
        <v>45473</v>
      </c>
      <c r="C56" s="69"/>
      <c r="D56" s="991">
        <f t="shared" si="9"/>
        <v>2.7399999999999998E-3</v>
      </c>
      <c r="E56" s="70"/>
      <c r="F56" s="991">
        <f t="shared" si="10"/>
        <v>2.7399999999999998E-3</v>
      </c>
      <c r="G56" s="994">
        <f t="shared" si="13"/>
        <v>0.52517230325821218</v>
      </c>
      <c r="H56" s="990">
        <f t="shared" si="11"/>
        <v>1.4389721109275013E-3</v>
      </c>
      <c r="I56" s="990">
        <f>I55+SUM(H54:H56)</f>
        <v>5.0482794206690362E-3</v>
      </c>
    </row>
    <row r="57" spans="1:9" ht="20.100000000000001" customHeight="1">
      <c r="A57" s="274">
        <f>IF(ISBLANK(G57)=TRUE,"",MAX($A$17:A56)+1)</f>
        <v>36</v>
      </c>
      <c r="B57" s="992">
        <f t="shared" si="12"/>
        <v>45504</v>
      </c>
      <c r="C57" s="69"/>
      <c r="D57" s="991">
        <f t="shared" si="9"/>
        <v>2.7399999999999998E-3</v>
      </c>
      <c r="E57" s="70"/>
      <c r="F57" s="991">
        <f>D57</f>
        <v>2.7399999999999998E-3</v>
      </c>
      <c r="G57" s="990">
        <f>G56-$G$49+I56</f>
        <v>0.44124697101385291</v>
      </c>
      <c r="H57" s="990">
        <f t="shared" si="11"/>
        <v>1.2090167005779568E-3</v>
      </c>
      <c r="I57" s="990">
        <v>0</v>
      </c>
    </row>
    <row r="58" spans="1:9" ht="20.100000000000001" customHeight="1">
      <c r="A58" s="274">
        <f>IF(ISBLANK(G58)=TRUE,"",MAX($A$17:A57)+1)</f>
        <v>37</v>
      </c>
      <c r="B58" s="992">
        <f t="shared" si="12"/>
        <v>45535</v>
      </c>
      <c r="C58" s="69"/>
      <c r="D58" s="991">
        <f t="shared" si="9"/>
        <v>2.7399999999999998E-3</v>
      </c>
      <c r="E58" s="70"/>
      <c r="F58" s="991">
        <f t="shared" si="10"/>
        <v>2.7399999999999998E-3</v>
      </c>
      <c r="G58" s="990">
        <f t="shared" si="13"/>
        <v>0.35227335934882459</v>
      </c>
      <c r="H58" s="990">
        <f t="shared" si="11"/>
        <v>9.6522900461577929E-4</v>
      </c>
      <c r="I58" s="990">
        <v>0</v>
      </c>
    </row>
    <row r="59" spans="1:9" ht="20.100000000000001" customHeight="1">
      <c r="A59" s="274">
        <f>IF(ISBLANK(G59)=TRUE,"",MAX($A$17:A58)+1)</f>
        <v>38</v>
      </c>
      <c r="B59" s="992">
        <f t="shared" si="12"/>
        <v>45565</v>
      </c>
      <c r="C59" s="69"/>
      <c r="D59" s="991">
        <f t="shared" si="9"/>
        <v>2.7399999999999998E-3</v>
      </c>
      <c r="E59" s="70"/>
      <c r="F59" s="991">
        <f>D59</f>
        <v>2.7399999999999998E-3</v>
      </c>
      <c r="G59" s="994">
        <f t="shared" si="13"/>
        <v>0.26329974768379627</v>
      </c>
      <c r="H59" s="990">
        <f t="shared" si="11"/>
        <v>7.2144130865360178E-4</v>
      </c>
      <c r="I59" s="990">
        <f>I58+SUM(H57:H59)</f>
        <v>2.8956870138473374E-3</v>
      </c>
    </row>
    <row r="60" spans="1:9" ht="20.100000000000001" customHeight="1">
      <c r="A60" s="274">
        <f>IF(ISBLANK(G60)=TRUE,"",MAX($A$17:A59)+1)</f>
        <v>39</v>
      </c>
      <c r="B60" s="992">
        <f t="shared" si="12"/>
        <v>45596</v>
      </c>
      <c r="C60" s="69"/>
      <c r="D60" s="991">
        <f t="shared" si="9"/>
        <v>2.7399999999999998E-3</v>
      </c>
      <c r="E60" s="70"/>
      <c r="F60" s="991">
        <f t="shared" si="10"/>
        <v>2.7399999999999998E-3</v>
      </c>
      <c r="G60" s="990">
        <f>G59-$G$49+I59</f>
        <v>0.1772218230326153</v>
      </c>
      <c r="H60" s="990">
        <f t="shared" si="11"/>
        <v>4.8558779510936588E-4</v>
      </c>
      <c r="I60" s="990">
        <v>0</v>
      </c>
    </row>
    <row r="61" spans="1:9" ht="20.100000000000001" customHeight="1">
      <c r="A61" s="274">
        <f>IF(ISBLANK(G61)=TRUE,"",MAX($A$17:A60)+1)</f>
        <v>40</v>
      </c>
      <c r="B61" s="992">
        <f t="shared" si="12"/>
        <v>45626</v>
      </c>
      <c r="C61" s="69"/>
      <c r="D61" s="991">
        <f t="shared" si="9"/>
        <v>2.7399999999999998E-3</v>
      </c>
      <c r="E61" s="70"/>
      <c r="F61" s="991">
        <f t="shared" si="10"/>
        <v>2.7399999999999998E-3</v>
      </c>
      <c r="G61" s="990">
        <f t="shared" si="13"/>
        <v>8.8248211367586996E-2</v>
      </c>
      <c r="H61" s="990">
        <f t="shared" si="11"/>
        <v>2.4180009914718834E-4</v>
      </c>
      <c r="I61" s="990">
        <v>0</v>
      </c>
    </row>
    <row r="62" spans="1:9" ht="20.100000000000001" customHeight="1">
      <c r="A62" s="274">
        <f>IF(ISBLANK(G62)=TRUE,"",MAX($A$17:A61)+1)</f>
        <v>41</v>
      </c>
      <c r="B62" s="992">
        <f>EOMONTH(B61,1)</f>
        <v>45657</v>
      </c>
      <c r="C62" s="69"/>
      <c r="D62" s="991">
        <f t="shared" si="9"/>
        <v>2.7399999999999998E-3</v>
      </c>
      <c r="E62" s="69"/>
      <c r="F62" s="991">
        <f>D62</f>
        <v>2.7399999999999998E-3</v>
      </c>
      <c r="G62" s="994">
        <f t="shared" si="13"/>
        <v>-7.2540029744130874E-4</v>
      </c>
      <c r="H62" s="990">
        <f t="shared" si="11"/>
        <v>-1.9875968149891857E-6</v>
      </c>
      <c r="I62" s="990">
        <f>I61+SUM(H60:H62)</f>
        <v>7.2540029744156504E-4</v>
      </c>
    </row>
    <row r="63" spans="1:9" ht="20.100000000000001" customHeight="1">
      <c r="A63" s="274" t="str">
        <f>IF(ISBLANK(G63)=TRUE,"",MAX($A$17:A62)+1)</f>
        <v/>
      </c>
      <c r="B63" s="76"/>
      <c r="C63" s="69"/>
      <c r="D63" s="70"/>
      <c r="E63" s="69"/>
      <c r="F63" s="70"/>
      <c r="G63" s="66"/>
      <c r="H63" s="66"/>
      <c r="I63" s="66"/>
    </row>
    <row r="64" spans="1:9" ht="20.100000000000001" customHeight="1">
      <c r="A64" s="274">
        <f>IF(ISBLANK(G64)=TRUE,"",MAX($A$17:A63)+1)</f>
        <v>42</v>
      </c>
      <c r="B64" s="76"/>
      <c r="C64" s="69"/>
      <c r="D64" s="70"/>
      <c r="E64" s="70" t="s">
        <v>1067</v>
      </c>
      <c r="F64" s="70"/>
      <c r="G64" s="990">
        <f>G62+I62</f>
        <v>2.5630539357557325E-16</v>
      </c>
      <c r="H64" s="66"/>
      <c r="I64" s="66"/>
    </row>
    <row r="65" spans="1:10" ht="20.100000000000001" customHeight="1">
      <c r="A65" s="274" t="str">
        <f>IF(ISBLANK(G65)=TRUE,"",MAX($A$17:A64)+1)</f>
        <v/>
      </c>
      <c r="B65" s="76"/>
      <c r="C65" s="69"/>
      <c r="D65" s="70"/>
      <c r="E65" s="69"/>
      <c r="F65" s="70"/>
      <c r="G65" s="66"/>
      <c r="H65" s="66"/>
      <c r="I65" s="66"/>
    </row>
    <row r="66" spans="1:10" ht="20.100000000000001" customHeight="1">
      <c r="A66" s="274">
        <f>IF(ISBLANK(G66)=TRUE,"",MAX($A$17:A65)+1)</f>
        <v>43</v>
      </c>
      <c r="B66" s="76"/>
      <c r="C66" s="69"/>
      <c r="D66" s="993"/>
      <c r="E66" s="1000"/>
      <c r="F66" s="1001" t="s">
        <v>1061</v>
      </c>
      <c r="G66" s="990">
        <f>G49*12</f>
        <v>1.0676833399803396</v>
      </c>
      <c r="H66" s="66"/>
      <c r="I66" s="66"/>
    </row>
    <row r="67" spans="1:10" ht="20.100000000000001" customHeight="1">
      <c r="A67" s="274">
        <f>IF(ISBLANK(G67)=TRUE,"",MAX($A$17:A66)+1)</f>
        <v>44</v>
      </c>
      <c r="B67" s="76"/>
      <c r="C67" s="69"/>
      <c r="D67" s="70"/>
      <c r="E67" s="69"/>
      <c r="F67" s="70" t="s">
        <v>1062</v>
      </c>
      <c r="G67" s="994">
        <v>1</v>
      </c>
      <c r="H67" s="66"/>
      <c r="I67" s="66"/>
    </row>
    <row r="68" spans="1:10" ht="20.100000000000001" customHeight="1">
      <c r="A68" s="274">
        <f>IF(ISBLANK(G68)=TRUE,"",MAX($A$17:A67)+1)</f>
        <v>45</v>
      </c>
      <c r="B68" s="76"/>
      <c r="C68" s="69"/>
      <c r="D68" s="993"/>
      <c r="E68" s="1000"/>
      <c r="F68" s="1001" t="s">
        <v>1063</v>
      </c>
      <c r="G68" s="990">
        <f>G66-G67</f>
        <v>6.7683339980339596E-2</v>
      </c>
      <c r="H68" s="66"/>
      <c r="I68" s="66"/>
    </row>
    <row r="69" spans="1:10" ht="20.100000000000001" customHeight="1">
      <c r="A69" s="274" t="str">
        <f>IF(ISBLANK(G69)=TRUE,"",MAX($A$17:A68)+1)</f>
        <v/>
      </c>
      <c r="B69" s="76"/>
      <c r="C69" s="69"/>
      <c r="D69" s="70"/>
      <c r="E69" s="69"/>
      <c r="F69" s="70"/>
      <c r="G69" s="66"/>
      <c r="H69" s="66"/>
      <c r="I69" s="66"/>
    </row>
    <row r="70" spans="1:10" ht="20.100000000000001" customHeight="1">
      <c r="A70" s="274" t="str">
        <f>IF(ISBLANK(G70)=TRUE,"",MAX($A$17:A69)+1)</f>
        <v/>
      </c>
      <c r="B70" s="76"/>
      <c r="C70" s="69"/>
      <c r="D70" s="70"/>
      <c r="E70" s="69"/>
      <c r="F70" s="70"/>
      <c r="G70" s="66"/>
      <c r="H70" s="66"/>
      <c r="I70" s="66"/>
    </row>
    <row r="71" spans="1:10" ht="20.100000000000001" customHeight="1">
      <c r="A71" s="274" t="str">
        <f>IF(ISBLANK(G71)=TRUE,"",MAX($A$17:A70)+1)</f>
        <v/>
      </c>
      <c r="B71" s="78"/>
      <c r="C71" s="78"/>
      <c r="D71" s="78"/>
      <c r="E71" s="78"/>
      <c r="F71" s="78"/>
      <c r="G71" s="78"/>
      <c r="H71" s="78"/>
      <c r="I71" s="78"/>
    </row>
    <row r="72" spans="1:10" ht="20.100000000000001" customHeight="1">
      <c r="A72" s="1028">
        <f>IF(ISBLANK(G72)=TRUE,"",MAX($A$17:A71)+1)</f>
        <v>46</v>
      </c>
      <c r="B72" s="65" t="s">
        <v>1070</v>
      </c>
      <c r="C72" s="78"/>
      <c r="D72" s="78"/>
      <c r="E72" s="78"/>
      <c r="F72" s="78"/>
      <c r="G72" s="1029">
        <f>+F10</f>
        <v>4626700.4020080343</v>
      </c>
      <c r="H72" s="79"/>
      <c r="I72" s="78"/>
    </row>
    <row r="73" spans="1:10" ht="20.100000000000001" customHeight="1">
      <c r="A73" s="1028">
        <f>IF(ISBLANK(G73)=TRUE,"",MAX($A$17:A72)+1)</f>
        <v>47</v>
      </c>
      <c r="B73" s="65" t="s">
        <v>415</v>
      </c>
      <c r="C73" s="78"/>
      <c r="D73" s="78"/>
      <c r="E73" s="78"/>
      <c r="F73" s="78"/>
      <c r="G73" s="1029">
        <f>G68*G72</f>
        <v>313150.53629628365</v>
      </c>
      <c r="H73" s="79"/>
      <c r="I73" s="78"/>
    </row>
    <row r="74" spans="1:10" ht="20.100000000000001" customHeight="1">
      <c r="A74" s="1028">
        <f>IF(ISBLANK(G74)=TRUE,"",MAX($A$17:A73)+1)</f>
        <v>48</v>
      </c>
      <c r="B74" s="65" t="s">
        <v>1073</v>
      </c>
      <c r="C74" s="78"/>
      <c r="D74" s="78"/>
      <c r="E74" s="78"/>
      <c r="F74" s="78"/>
      <c r="G74" s="1029">
        <f>G72+G73</f>
        <v>4939850.9383043181</v>
      </c>
      <c r="H74" s="79"/>
      <c r="I74" s="78"/>
    </row>
    <row r="75" spans="1:10" ht="20.100000000000001" customHeight="1">
      <c r="A75" s="274"/>
      <c r="B75" s="65"/>
      <c r="C75" s="78"/>
      <c r="D75" s="78"/>
      <c r="E75" s="78"/>
      <c r="F75" s="78"/>
      <c r="G75" s="78"/>
      <c r="H75" s="79"/>
      <c r="I75" s="78"/>
    </row>
    <row r="76" spans="1:10" ht="48" customHeight="1">
      <c r="A76" s="493" t="s">
        <v>1068</v>
      </c>
      <c r="B76" s="1144" t="s">
        <v>1198</v>
      </c>
      <c r="C76" s="1144"/>
      <c r="D76" s="1144"/>
      <c r="E76" s="1144"/>
      <c r="F76" s="1144"/>
      <c r="G76" s="1144"/>
      <c r="H76" s="1144"/>
      <c r="I76" s="1144"/>
      <c r="J76" s="1144"/>
    </row>
    <row r="77" spans="1:10">
      <c r="A77" s="64" t="s">
        <v>1069</v>
      </c>
      <c r="B77" s="1145" t="s">
        <v>1199</v>
      </c>
      <c r="C77" s="1145"/>
      <c r="D77" s="1145"/>
      <c r="E77" s="1145"/>
      <c r="F77" s="1145"/>
      <c r="G77" s="1145"/>
      <c r="H77" s="1145"/>
      <c r="I77" s="1145"/>
      <c r="J77" s="1145"/>
    </row>
    <row r="78" spans="1:10" ht="30.75" customHeight="1">
      <c r="A78" s="64" t="s">
        <v>1200</v>
      </c>
      <c r="B78" s="1146" t="s">
        <v>1201</v>
      </c>
      <c r="C78" s="1146"/>
      <c r="D78" s="1146"/>
      <c r="E78" s="1146"/>
      <c r="F78" s="1146"/>
      <c r="G78" s="1146"/>
      <c r="H78" s="1146"/>
      <c r="I78" s="1146"/>
      <c r="J78" s="1146"/>
    </row>
  </sheetData>
  <mergeCells count="5">
    <mergeCell ref="B5:I5"/>
    <mergeCell ref="B6:I6"/>
    <mergeCell ref="B76:J76"/>
    <mergeCell ref="B77:J77"/>
    <mergeCell ref="B78:J78"/>
  </mergeCells>
  <pageMargins left="0.7" right="0.7" top="0.75" bottom="0.75" header="0.3" footer="0.3"/>
  <pageSetup scale="41" orientation="portrait" r:id="rId1"/>
  <ignoredErrors>
    <ignoredError sqref="D18:D28 G17:H17 H18:H28 G30 G32 G45 H51:H62 G64 G66 G68 D51:D62 D32:D43 D10" unlockedFormula="1"/>
    <ignoredError sqref="G20 G26 G23 G35 G38 G41 G54 G57 G60"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127C6-AF9F-481A-9761-4342AB66683E}">
  <sheetPr codeName="Sheet20"/>
  <dimension ref="A1:L78"/>
  <sheetViews>
    <sheetView view="pageBreakPreview" zoomScale="80" zoomScaleNormal="80" zoomScaleSheetLayoutView="80" workbookViewId="0"/>
  </sheetViews>
  <sheetFormatPr defaultColWidth="8.88671875" defaultRowHeight="15.75"/>
  <cols>
    <col min="1" max="1" width="7.6640625" style="62" customWidth="1"/>
    <col min="2" max="2" width="24.88671875" style="64" customWidth="1"/>
    <col min="3" max="3" width="7.109375" style="64" customWidth="1"/>
    <col min="4" max="4" width="25.5546875" style="62" customWidth="1"/>
    <col min="5" max="5" width="9" style="62" customWidth="1"/>
    <col min="6" max="6" width="34.21875" style="62" bestFit="1" customWidth="1"/>
    <col min="7" max="9" width="15.88671875" style="62" customWidth="1"/>
    <col min="10" max="10" width="20.88671875" style="62" customWidth="1"/>
    <col min="11" max="16384" width="8.88671875" style="62"/>
  </cols>
  <sheetData>
    <row r="1" spans="1:10" ht="16.5" customHeight="1">
      <c r="B1" s="61"/>
      <c r="C1" s="61"/>
      <c r="J1" s="63" t="str">
        <f>'Attachment H-11A '!K1&amp;""&amp;", Attachment 13a"</f>
        <v>Attachment H -11A, Attachment 13a</v>
      </c>
    </row>
    <row r="2" spans="1:10" ht="16.5" customHeight="1">
      <c r="B2" s="61"/>
      <c r="C2" s="61"/>
      <c r="J2" s="63" t="s">
        <v>168</v>
      </c>
    </row>
    <row r="3" spans="1:10" ht="16.5" customHeight="1">
      <c r="B3" s="61"/>
      <c r="C3" s="61"/>
      <c r="J3" s="63" t="str">
        <f>'Attachment H-11A '!K4</f>
        <v>For the 12 months ended 12/31/2022</v>
      </c>
    </row>
    <row r="4" spans="1:10" ht="20.100000000000001" customHeight="1">
      <c r="B4" s="61"/>
      <c r="C4" s="61"/>
    </row>
    <row r="5" spans="1:10" ht="20.100000000000001" customHeight="1">
      <c r="B5" s="1143" t="s">
        <v>542</v>
      </c>
      <c r="C5" s="1143"/>
      <c r="D5" s="1143"/>
      <c r="E5" s="1143"/>
      <c r="F5" s="1143"/>
      <c r="G5" s="1143"/>
      <c r="H5" s="1143"/>
      <c r="I5" s="1143"/>
    </row>
    <row r="6" spans="1:10" ht="20.100000000000001" customHeight="1">
      <c r="B6" s="1143"/>
      <c r="C6" s="1143"/>
      <c r="D6" s="1143"/>
      <c r="E6" s="1143"/>
      <c r="F6" s="1143"/>
      <c r="G6" s="1143"/>
      <c r="H6" s="1143"/>
      <c r="I6" s="1143"/>
    </row>
    <row r="7" spans="1:10" ht="20.100000000000001" customHeight="1" thickBot="1"/>
    <row r="8" spans="1:10" s="81" customFormat="1" ht="98.25" customHeight="1">
      <c r="B8" s="392" t="s">
        <v>1342</v>
      </c>
      <c r="C8" s="83"/>
      <c r="D8" s="392" t="s">
        <v>1343</v>
      </c>
      <c r="E8" s="83"/>
      <c r="F8" s="82" t="s">
        <v>252</v>
      </c>
      <c r="H8" s="80"/>
      <c r="I8" s="80"/>
    </row>
    <row r="9" spans="1:10" ht="20.100000000000001" customHeight="1">
      <c r="B9" s="67" t="s">
        <v>1196</v>
      </c>
      <c r="C9" s="65"/>
      <c r="D9" s="67" t="s">
        <v>1196</v>
      </c>
      <c r="E9" s="65"/>
      <c r="F9" s="68"/>
      <c r="H9" s="66"/>
      <c r="I9" s="66"/>
    </row>
    <row r="10" spans="1:10" ht="20.100000000000001" customHeight="1" thickBot="1">
      <c r="A10" s="274" t="s">
        <v>245</v>
      </c>
      <c r="B10" s="399">
        <f>'Attachment 12 - TEC True-up'!I34</f>
        <v>16533001.180266386</v>
      </c>
      <c r="C10" s="71" t="str">
        <f>"-"</f>
        <v>-</v>
      </c>
      <c r="D10" s="399">
        <f>'Attachment 12 - TEC True-up'!E15</f>
        <v>15972956.586802505</v>
      </c>
      <c r="E10" s="71" t="str">
        <f>"="</f>
        <v>=</v>
      </c>
      <c r="F10" s="72">
        <f>IF(B10=0,0,D10-B10)</f>
        <v>-560044.59346388094</v>
      </c>
      <c r="H10" s="66"/>
      <c r="I10" s="66"/>
    </row>
    <row r="11" spans="1:10" ht="20.100000000000001" customHeight="1" thickBot="1">
      <c r="A11" s="274"/>
      <c r="B11" s="73"/>
      <c r="C11" s="74"/>
      <c r="D11" s="73"/>
      <c r="E11" s="74"/>
      <c r="F11" s="73"/>
      <c r="G11" s="75"/>
      <c r="H11" s="75"/>
      <c r="I11" s="75"/>
    </row>
    <row r="12" spans="1:10" ht="20.100000000000001" customHeight="1">
      <c r="A12" s="274"/>
      <c r="B12" s="70"/>
      <c r="C12" s="69"/>
      <c r="D12" s="70"/>
      <c r="E12" s="69"/>
      <c r="F12" s="70"/>
      <c r="G12" s="66"/>
      <c r="H12" s="66"/>
      <c r="I12" s="66"/>
    </row>
    <row r="13" spans="1:10" ht="20.100000000000001" customHeight="1">
      <c r="A13" s="274"/>
      <c r="B13" s="1034" t="s">
        <v>1344</v>
      </c>
      <c r="C13" s="1035"/>
      <c r="D13" s="1036"/>
      <c r="E13" s="1037"/>
      <c r="F13" s="1038"/>
      <c r="G13" s="1038"/>
      <c r="H13" s="66"/>
      <c r="I13" s="66"/>
    </row>
    <row r="14" spans="1:10" ht="20.100000000000001" customHeight="1">
      <c r="A14" s="274"/>
      <c r="B14" s="70"/>
      <c r="C14" s="69"/>
      <c r="D14" s="70"/>
      <c r="E14" s="69"/>
      <c r="F14" s="70"/>
      <c r="G14" s="66"/>
      <c r="H14" s="66"/>
      <c r="I14" s="66"/>
    </row>
    <row r="15" spans="1:10" ht="20.100000000000001" customHeight="1">
      <c r="A15" s="274"/>
      <c r="B15" s="77" t="s">
        <v>688</v>
      </c>
      <c r="C15" s="69"/>
      <c r="D15" s="77" t="s">
        <v>807</v>
      </c>
      <c r="E15" s="69"/>
      <c r="F15" s="77" t="s">
        <v>808</v>
      </c>
      <c r="G15" s="1005" t="s">
        <v>809</v>
      </c>
      <c r="H15" s="1005" t="s">
        <v>803</v>
      </c>
      <c r="I15" s="1005" t="s">
        <v>1064</v>
      </c>
    </row>
    <row r="16" spans="1:10" ht="20.100000000000001" customHeight="1">
      <c r="A16" s="1002" t="s">
        <v>5</v>
      </c>
      <c r="B16" s="1003" t="s">
        <v>690</v>
      </c>
      <c r="C16" s="979"/>
      <c r="D16" s="71" t="s">
        <v>1072</v>
      </c>
      <c r="E16" s="1004"/>
      <c r="F16" s="1003" t="s">
        <v>254</v>
      </c>
      <c r="G16" s="71" t="s">
        <v>1056</v>
      </c>
      <c r="H16" s="1003" t="s">
        <v>415</v>
      </c>
      <c r="I16" s="71" t="s">
        <v>1057</v>
      </c>
    </row>
    <row r="17" spans="1:9" ht="20.100000000000001" customHeight="1">
      <c r="A17" s="274">
        <v>1</v>
      </c>
      <c r="B17" s="998">
        <v>44582</v>
      </c>
      <c r="C17" s="69"/>
      <c r="D17" s="999">
        <v>2.7399999999999998E-3</v>
      </c>
      <c r="E17" s="69"/>
      <c r="F17" s="991">
        <f>D17</f>
        <v>2.7399999999999998E-3</v>
      </c>
      <c r="G17" s="990">
        <f>1/12</f>
        <v>8.3333333333333329E-2</v>
      </c>
      <c r="H17" s="990">
        <f>F17*G17</f>
        <v>2.2833333333333332E-4</v>
      </c>
      <c r="I17" s="990">
        <v>0</v>
      </c>
    </row>
    <row r="18" spans="1:9" ht="20.100000000000001" customHeight="1">
      <c r="A18" s="274">
        <f>IF(ISBLANK(G18)=TRUE,"",MAX($A$17:A17)+1)</f>
        <v>2</v>
      </c>
      <c r="B18" s="992">
        <f>EOMONTH(B17,1)</f>
        <v>44620</v>
      </c>
      <c r="C18" s="69"/>
      <c r="D18" s="991">
        <f>D17</f>
        <v>2.7399999999999998E-3</v>
      </c>
      <c r="E18" s="69"/>
      <c r="F18" s="991">
        <f t="shared" ref="F18:F28" si="0">D18</f>
        <v>2.7399999999999998E-3</v>
      </c>
      <c r="G18" s="990">
        <f>G17+1/12</f>
        <v>0.16666666666666666</v>
      </c>
      <c r="H18" s="990">
        <f t="shared" ref="H18:H28" si="1">F18*G18</f>
        <v>4.5666666666666664E-4</v>
      </c>
      <c r="I18" s="990">
        <v>0</v>
      </c>
    </row>
    <row r="19" spans="1:9" ht="20.100000000000001" customHeight="1">
      <c r="A19" s="274">
        <f>IF(ISBLANK(G19)=TRUE,"",MAX($A$17:A18)+1)</f>
        <v>3</v>
      </c>
      <c r="B19" s="992">
        <f t="shared" ref="B19:B27" si="2">EOMONTH(B18,1)</f>
        <v>44651</v>
      </c>
      <c r="C19" s="69"/>
      <c r="D19" s="991">
        <f>D18</f>
        <v>2.7399999999999998E-3</v>
      </c>
      <c r="E19" s="69"/>
      <c r="F19" s="991">
        <f t="shared" si="0"/>
        <v>2.7399999999999998E-3</v>
      </c>
      <c r="G19" s="994">
        <f t="shared" ref="G19:G28" si="3">G18+1/12</f>
        <v>0.25</v>
      </c>
      <c r="H19" s="990">
        <f t="shared" si="1"/>
        <v>6.8499999999999995E-4</v>
      </c>
      <c r="I19" s="990">
        <f>I18+SUM(H17:H19)</f>
        <v>1.3699999999999999E-3</v>
      </c>
    </row>
    <row r="20" spans="1:9" ht="20.100000000000001" customHeight="1">
      <c r="A20" s="274">
        <f>IF(ISBLANK(G20)=TRUE,"",MAX($A$17:A19)+1)</f>
        <v>4</v>
      </c>
      <c r="B20" s="992">
        <f t="shared" si="2"/>
        <v>44681</v>
      </c>
      <c r="C20" s="69"/>
      <c r="D20" s="991">
        <f>D19</f>
        <v>2.7399999999999998E-3</v>
      </c>
      <c r="E20" s="69"/>
      <c r="F20" s="991">
        <f t="shared" si="0"/>
        <v>2.7399999999999998E-3</v>
      </c>
      <c r="G20" s="990">
        <f>G19+1/12+I19</f>
        <v>0.3347033333333333</v>
      </c>
      <c r="H20" s="990">
        <f t="shared" si="1"/>
        <v>9.1708713333333322E-4</v>
      </c>
      <c r="I20" s="990">
        <v>0</v>
      </c>
    </row>
    <row r="21" spans="1:9" ht="20.100000000000001" customHeight="1">
      <c r="A21" s="274">
        <f>IF(ISBLANK(G21)=TRUE,"",MAX($A$17:A20)+1)</f>
        <v>5</v>
      </c>
      <c r="B21" s="992">
        <f t="shared" si="2"/>
        <v>44712</v>
      </c>
      <c r="C21" s="69"/>
      <c r="D21" s="991">
        <f>D20</f>
        <v>2.7399999999999998E-3</v>
      </c>
      <c r="E21" s="69"/>
      <c r="F21" s="991">
        <f t="shared" si="0"/>
        <v>2.7399999999999998E-3</v>
      </c>
      <c r="G21" s="990">
        <f t="shared" si="3"/>
        <v>0.41803666666666661</v>
      </c>
      <c r="H21" s="990">
        <f t="shared" si="1"/>
        <v>1.1454204666666665E-3</v>
      </c>
      <c r="I21" s="990">
        <v>0</v>
      </c>
    </row>
    <row r="22" spans="1:9" ht="20.100000000000001" customHeight="1">
      <c r="A22" s="274">
        <f>IF(ISBLANK(G22)=TRUE,"",MAX($A$17:A21)+1)</f>
        <v>6</v>
      </c>
      <c r="B22" s="992">
        <f t="shared" si="2"/>
        <v>44742</v>
      </c>
      <c r="C22" s="69"/>
      <c r="D22" s="991">
        <f>D21</f>
        <v>2.7399999999999998E-3</v>
      </c>
      <c r="E22" s="69"/>
      <c r="F22" s="991">
        <f t="shared" si="0"/>
        <v>2.7399999999999998E-3</v>
      </c>
      <c r="G22" s="994">
        <f t="shared" si="3"/>
        <v>0.50136999999999998</v>
      </c>
      <c r="H22" s="990">
        <f t="shared" si="1"/>
        <v>1.3737538E-3</v>
      </c>
      <c r="I22" s="990">
        <f>I21+SUM(H20:H22)</f>
        <v>3.4362613999999996E-3</v>
      </c>
    </row>
    <row r="23" spans="1:9" ht="20.100000000000001" customHeight="1">
      <c r="A23" s="274">
        <f>IF(ISBLANK(G23)=TRUE,"",MAX($A$17:A22)+1)</f>
        <v>7</v>
      </c>
      <c r="B23" s="992">
        <f t="shared" si="2"/>
        <v>44773</v>
      </c>
      <c r="C23" s="69"/>
      <c r="D23" s="991">
        <f t="shared" ref="D23:D28" si="4">D22</f>
        <v>2.7399999999999998E-3</v>
      </c>
      <c r="E23" s="69"/>
      <c r="F23" s="991">
        <f t="shared" si="0"/>
        <v>2.7399999999999998E-3</v>
      </c>
      <c r="G23" s="990">
        <f>G22+1/12+I22</f>
        <v>0.58813959473333333</v>
      </c>
      <c r="H23" s="990">
        <f t="shared" si="1"/>
        <v>1.6115024895693331E-3</v>
      </c>
      <c r="I23" s="990">
        <v>0</v>
      </c>
    </row>
    <row r="24" spans="1:9" ht="20.100000000000001" customHeight="1">
      <c r="A24" s="274">
        <f>IF(ISBLANK(G24)=TRUE,"",MAX($A$17:A23)+1)</f>
        <v>8</v>
      </c>
      <c r="B24" s="992">
        <f t="shared" si="2"/>
        <v>44804</v>
      </c>
      <c r="C24" s="69"/>
      <c r="D24" s="991">
        <f t="shared" si="4"/>
        <v>2.7399999999999998E-3</v>
      </c>
      <c r="E24" s="69"/>
      <c r="F24" s="991">
        <f t="shared" si="0"/>
        <v>2.7399999999999998E-3</v>
      </c>
      <c r="G24" s="990">
        <f t="shared" si="3"/>
        <v>0.6714729280666667</v>
      </c>
      <c r="H24" s="990">
        <f t="shared" si="1"/>
        <v>1.8398358229026665E-3</v>
      </c>
      <c r="I24" s="990">
        <v>0</v>
      </c>
    </row>
    <row r="25" spans="1:9" ht="20.100000000000001" customHeight="1">
      <c r="A25" s="274">
        <f>IF(ISBLANK(G25)=TRUE,"",MAX($A$17:A24)+1)</f>
        <v>9</v>
      </c>
      <c r="B25" s="992">
        <f t="shared" si="2"/>
        <v>44834</v>
      </c>
      <c r="C25" s="69"/>
      <c r="D25" s="991">
        <f t="shared" si="4"/>
        <v>2.7399999999999998E-3</v>
      </c>
      <c r="E25" s="69"/>
      <c r="F25" s="991">
        <f t="shared" si="0"/>
        <v>2.7399999999999998E-3</v>
      </c>
      <c r="G25" s="994">
        <f t="shared" si="3"/>
        <v>0.75480626140000007</v>
      </c>
      <c r="H25" s="990">
        <f t="shared" si="1"/>
        <v>2.0681691562360002E-3</v>
      </c>
      <c r="I25" s="990">
        <f>I24+SUM(H23:H25)</f>
        <v>5.5195074687079994E-3</v>
      </c>
    </row>
    <row r="26" spans="1:9" ht="20.100000000000001" customHeight="1">
      <c r="A26" s="274">
        <f>IF(ISBLANK(G26)=TRUE,"",MAX($A$17:A25)+1)</f>
        <v>10</v>
      </c>
      <c r="B26" s="992">
        <f t="shared" si="2"/>
        <v>44865</v>
      </c>
      <c r="C26" s="69"/>
      <c r="D26" s="991">
        <f t="shared" si="4"/>
        <v>2.7399999999999998E-3</v>
      </c>
      <c r="E26" s="69"/>
      <c r="F26" s="991">
        <f t="shared" si="0"/>
        <v>2.7399999999999998E-3</v>
      </c>
      <c r="G26" s="990">
        <f>G25+1/12+I25</f>
        <v>0.84365910220204143</v>
      </c>
      <c r="H26" s="990">
        <f t="shared" si="1"/>
        <v>2.3116259400335934E-3</v>
      </c>
      <c r="I26" s="990">
        <v>0</v>
      </c>
    </row>
    <row r="27" spans="1:9" ht="20.100000000000001" customHeight="1">
      <c r="A27" s="274">
        <f>IF(ISBLANK(G27)=TRUE,"",MAX($A$17:A26)+1)</f>
        <v>11</v>
      </c>
      <c r="B27" s="992">
        <f t="shared" si="2"/>
        <v>44895</v>
      </c>
      <c r="C27" s="69"/>
      <c r="D27" s="991">
        <f t="shared" si="4"/>
        <v>2.7399999999999998E-3</v>
      </c>
      <c r="E27" s="69"/>
      <c r="F27" s="991">
        <f t="shared" si="0"/>
        <v>2.7399999999999998E-3</v>
      </c>
      <c r="G27" s="990">
        <f t="shared" si="3"/>
        <v>0.9269924355353748</v>
      </c>
      <c r="H27" s="990">
        <f t="shared" si="1"/>
        <v>2.5399592733669268E-3</v>
      </c>
      <c r="I27" s="990">
        <v>0</v>
      </c>
    </row>
    <row r="28" spans="1:9" ht="20.100000000000001" customHeight="1">
      <c r="A28" s="274">
        <f>IF(ISBLANK(G28)=TRUE,"",MAX($A$17:A27)+1)</f>
        <v>12</v>
      </c>
      <c r="B28" s="992">
        <f>EOMONTH(B27,1)</f>
        <v>44926</v>
      </c>
      <c r="C28" s="69"/>
      <c r="D28" s="991">
        <f t="shared" si="4"/>
        <v>2.7399999999999998E-3</v>
      </c>
      <c r="E28" s="69"/>
      <c r="F28" s="991">
        <f t="shared" si="0"/>
        <v>2.7399999999999998E-3</v>
      </c>
      <c r="G28" s="994">
        <f t="shared" si="3"/>
        <v>1.0103257688687082</v>
      </c>
      <c r="H28" s="990">
        <f t="shared" si="1"/>
        <v>2.7682926067002602E-3</v>
      </c>
      <c r="I28" s="990">
        <f>I27+SUM(H26:H28)</f>
        <v>7.6198778201007795E-3</v>
      </c>
    </row>
    <row r="29" spans="1:9" ht="20.100000000000001" customHeight="1">
      <c r="A29" s="274" t="str">
        <f>IF(ISBLANK(G29)=TRUE,"",MAX($A$17:A28)+1)</f>
        <v/>
      </c>
      <c r="B29" s="76"/>
      <c r="C29" s="69"/>
      <c r="D29" s="70"/>
      <c r="E29" s="69"/>
      <c r="F29" s="70"/>
      <c r="G29" s="66"/>
      <c r="H29" s="66"/>
      <c r="I29" s="66"/>
    </row>
    <row r="30" spans="1:9" ht="20.100000000000001" customHeight="1">
      <c r="A30" s="274">
        <f>IF(ISBLANK(G30)=TRUE,"",MAX($A$17:A29)+1)</f>
        <v>13</v>
      </c>
      <c r="B30" s="76"/>
      <c r="C30" s="69"/>
      <c r="E30" s="70" t="s">
        <v>1065</v>
      </c>
      <c r="F30" s="70"/>
      <c r="G30" s="990">
        <f>G28+I28</f>
        <v>1.017945646688809</v>
      </c>
      <c r="H30" s="66"/>
      <c r="I30" s="66"/>
    </row>
    <row r="31" spans="1:9" ht="20.100000000000001" customHeight="1">
      <c r="A31" s="274" t="str">
        <f>IF(ISBLANK(G31)=TRUE,"",MAX($A$17:A30)+1)</f>
        <v/>
      </c>
      <c r="B31" s="76"/>
      <c r="C31" s="69"/>
      <c r="D31" s="70"/>
      <c r="E31" s="69"/>
      <c r="F31" s="70"/>
      <c r="G31" s="66"/>
      <c r="H31" s="66"/>
      <c r="I31" s="66"/>
    </row>
    <row r="32" spans="1:9" ht="20.100000000000001" customHeight="1">
      <c r="A32" s="274">
        <f>IF(ISBLANK(G32)=TRUE,"",MAX($A$17:A31)+1)</f>
        <v>14</v>
      </c>
      <c r="B32" s="992">
        <f>EOMONTH(B28,1)</f>
        <v>44957</v>
      </c>
      <c r="C32" s="69"/>
      <c r="D32" s="991">
        <f>D28</f>
        <v>2.7399999999999998E-3</v>
      </c>
      <c r="E32" s="69"/>
      <c r="F32" s="991">
        <f>D32</f>
        <v>2.7399999999999998E-3</v>
      </c>
      <c r="G32" s="990">
        <f>G30</f>
        <v>1.017945646688809</v>
      </c>
      <c r="H32" s="990">
        <f>F32*G32</f>
        <v>2.7891710719273365E-3</v>
      </c>
      <c r="I32" s="990">
        <v>0</v>
      </c>
    </row>
    <row r="33" spans="1:12" ht="20.100000000000001" customHeight="1">
      <c r="A33" s="274">
        <f>IF(ISBLANK(G33)=TRUE,"",MAX($A$17:A32)+1)</f>
        <v>15</v>
      </c>
      <c r="B33" s="992">
        <f>EOMONTH(B32,1)</f>
        <v>44985</v>
      </c>
      <c r="C33" s="69"/>
      <c r="D33" s="991">
        <f>D32</f>
        <v>2.7399999999999998E-3</v>
      </c>
      <c r="E33" s="69"/>
      <c r="F33" s="991">
        <f t="shared" ref="F33:F43" si="5">D33</f>
        <v>2.7399999999999998E-3</v>
      </c>
      <c r="G33" s="990">
        <f>G32</f>
        <v>1.017945646688809</v>
      </c>
      <c r="H33" s="990">
        <f t="shared" ref="H33:H43" si="6">F33*G33</f>
        <v>2.7891710719273365E-3</v>
      </c>
      <c r="I33" s="990">
        <v>0</v>
      </c>
    </row>
    <row r="34" spans="1:12" ht="20.100000000000001" customHeight="1">
      <c r="A34" s="274">
        <f>IF(ISBLANK(G34)=TRUE,"",MAX($A$17:A33)+1)</f>
        <v>16</v>
      </c>
      <c r="B34" s="992">
        <f t="shared" ref="B34:B42" si="7">EOMONTH(B33,1)</f>
        <v>45016</v>
      </c>
      <c r="C34" s="69"/>
      <c r="D34" s="991">
        <f t="shared" ref="D34:D43" si="8">D33</f>
        <v>2.7399999999999998E-3</v>
      </c>
      <c r="E34" s="69"/>
      <c r="F34" s="991">
        <f t="shared" si="5"/>
        <v>2.7399999999999998E-3</v>
      </c>
      <c r="G34" s="994">
        <f>G33</f>
        <v>1.017945646688809</v>
      </c>
      <c r="H34" s="990">
        <f t="shared" si="6"/>
        <v>2.7891710719273365E-3</v>
      </c>
      <c r="I34" s="990">
        <f>I33+SUM(H32:H34)</f>
        <v>8.3675132157820103E-3</v>
      </c>
    </row>
    <row r="35" spans="1:12" ht="20.100000000000001" customHeight="1">
      <c r="A35" s="274">
        <f>IF(ISBLANK(G35)=TRUE,"",MAX($A$17:A34)+1)</f>
        <v>17</v>
      </c>
      <c r="B35" s="992">
        <f t="shared" si="7"/>
        <v>45046</v>
      </c>
      <c r="C35" s="69"/>
      <c r="D35" s="991">
        <f t="shared" si="8"/>
        <v>2.7399999999999998E-3</v>
      </c>
      <c r="E35" s="69"/>
      <c r="F35" s="991">
        <f t="shared" si="5"/>
        <v>2.7399999999999998E-3</v>
      </c>
      <c r="G35" s="990">
        <f>G34+I34</f>
        <v>1.0263131599045912</v>
      </c>
      <c r="H35" s="990">
        <f t="shared" si="6"/>
        <v>2.8120980581385797E-3</v>
      </c>
      <c r="I35" s="990">
        <v>0</v>
      </c>
    </row>
    <row r="36" spans="1:12" ht="20.100000000000001" customHeight="1">
      <c r="A36" s="274">
        <f>IF(ISBLANK(G36)=TRUE,"",MAX($A$17:A35)+1)</f>
        <v>18</v>
      </c>
      <c r="B36" s="992">
        <f t="shared" si="7"/>
        <v>45077</v>
      </c>
      <c r="C36" s="69"/>
      <c r="D36" s="991">
        <f t="shared" si="8"/>
        <v>2.7399999999999998E-3</v>
      </c>
      <c r="E36" s="69"/>
      <c r="F36" s="991">
        <f t="shared" si="5"/>
        <v>2.7399999999999998E-3</v>
      </c>
      <c r="G36" s="990">
        <f>G35</f>
        <v>1.0263131599045912</v>
      </c>
      <c r="H36" s="990">
        <f t="shared" si="6"/>
        <v>2.8120980581385797E-3</v>
      </c>
      <c r="I36" s="990">
        <v>0</v>
      </c>
    </row>
    <row r="37" spans="1:12" ht="20.100000000000001" customHeight="1">
      <c r="A37" s="274">
        <f>IF(ISBLANK(G37)=TRUE,"",MAX($A$17:A36)+1)</f>
        <v>19</v>
      </c>
      <c r="B37" s="992">
        <f t="shared" si="7"/>
        <v>45107</v>
      </c>
      <c r="C37" s="69"/>
      <c r="D37" s="991">
        <f t="shared" si="8"/>
        <v>2.7399999999999998E-3</v>
      </c>
      <c r="E37" s="69"/>
      <c r="F37" s="991">
        <f t="shared" si="5"/>
        <v>2.7399999999999998E-3</v>
      </c>
      <c r="G37" s="994">
        <f>G36</f>
        <v>1.0263131599045912</v>
      </c>
      <c r="H37" s="990">
        <f t="shared" si="6"/>
        <v>2.8120980581385797E-3</v>
      </c>
      <c r="I37" s="990">
        <f>I36+SUM(H35:H37)</f>
        <v>8.4362941744157392E-3</v>
      </c>
    </row>
    <row r="38" spans="1:12" ht="20.100000000000001" customHeight="1">
      <c r="A38" s="274">
        <f>IF(ISBLANK(G38)=TRUE,"",MAX($A$17:A37)+1)</f>
        <v>20</v>
      </c>
      <c r="B38" s="992">
        <f t="shared" si="7"/>
        <v>45138</v>
      </c>
      <c r="C38" s="69"/>
      <c r="D38" s="991">
        <f t="shared" si="8"/>
        <v>2.7399999999999998E-3</v>
      </c>
      <c r="E38" s="69"/>
      <c r="F38" s="991">
        <f t="shared" si="5"/>
        <v>2.7399999999999998E-3</v>
      </c>
      <c r="G38" s="990">
        <f>G37+I37</f>
        <v>1.034749454079007</v>
      </c>
      <c r="H38" s="990">
        <f t="shared" si="6"/>
        <v>2.8352135041764788E-3</v>
      </c>
      <c r="I38" s="990">
        <v>0</v>
      </c>
    </row>
    <row r="39" spans="1:12" ht="20.100000000000001" customHeight="1">
      <c r="A39" s="274">
        <f>IF(ISBLANK(G39)=TRUE,"",MAX($A$17:A38)+1)</f>
        <v>21</v>
      </c>
      <c r="B39" s="992">
        <f t="shared" si="7"/>
        <v>45169</v>
      </c>
      <c r="C39" s="69"/>
      <c r="D39" s="991">
        <f t="shared" si="8"/>
        <v>2.7399999999999998E-3</v>
      </c>
      <c r="E39" s="69"/>
      <c r="F39" s="991">
        <f>D39</f>
        <v>2.7399999999999998E-3</v>
      </c>
      <c r="G39" s="990">
        <f>G38</f>
        <v>1.034749454079007</v>
      </c>
      <c r="H39" s="990">
        <f t="shared" si="6"/>
        <v>2.8352135041764788E-3</v>
      </c>
      <c r="I39" s="990">
        <v>0</v>
      </c>
    </row>
    <row r="40" spans="1:12" ht="20.100000000000001" customHeight="1">
      <c r="A40" s="274">
        <f>IF(ISBLANK(G40)=TRUE,"",MAX($A$17:A39)+1)</f>
        <v>22</v>
      </c>
      <c r="B40" s="992">
        <f t="shared" si="7"/>
        <v>45199</v>
      </c>
      <c r="C40" s="69"/>
      <c r="D40" s="991">
        <f t="shared" si="8"/>
        <v>2.7399999999999998E-3</v>
      </c>
      <c r="E40" s="69"/>
      <c r="F40" s="991">
        <f t="shared" si="5"/>
        <v>2.7399999999999998E-3</v>
      </c>
      <c r="G40" s="994">
        <f>G39</f>
        <v>1.034749454079007</v>
      </c>
      <c r="H40" s="990">
        <f t="shared" si="6"/>
        <v>2.8352135041764788E-3</v>
      </c>
      <c r="I40" s="990">
        <f>I39+SUM(H38:H40)</f>
        <v>8.5056405125294374E-3</v>
      </c>
    </row>
    <row r="41" spans="1:12" ht="20.100000000000001" customHeight="1">
      <c r="A41" s="274">
        <f>IF(ISBLANK(G41)=TRUE,"",MAX($A$17:A40)+1)</f>
        <v>23</v>
      </c>
      <c r="B41" s="992">
        <f t="shared" si="7"/>
        <v>45230</v>
      </c>
      <c r="C41" s="69"/>
      <c r="D41" s="991">
        <f t="shared" si="8"/>
        <v>2.7399999999999998E-3</v>
      </c>
      <c r="E41" s="69"/>
      <c r="F41" s="991">
        <f t="shared" si="5"/>
        <v>2.7399999999999998E-3</v>
      </c>
      <c r="G41" s="990">
        <f>G40+I40</f>
        <v>1.0432550945915364</v>
      </c>
      <c r="H41" s="990">
        <f t="shared" si="6"/>
        <v>2.8585189591808094E-3</v>
      </c>
      <c r="I41" s="990">
        <v>0</v>
      </c>
    </row>
    <row r="42" spans="1:12" ht="20.100000000000001" customHeight="1">
      <c r="A42" s="274">
        <f>IF(ISBLANK(G42)=TRUE,"",MAX($A$17:A41)+1)</f>
        <v>24</v>
      </c>
      <c r="B42" s="992">
        <f t="shared" si="7"/>
        <v>45260</v>
      </c>
      <c r="C42" s="69"/>
      <c r="D42" s="991">
        <f t="shared" si="8"/>
        <v>2.7399999999999998E-3</v>
      </c>
      <c r="E42" s="69"/>
      <c r="F42" s="991">
        <f t="shared" si="5"/>
        <v>2.7399999999999998E-3</v>
      </c>
      <c r="G42" s="990">
        <f>G41</f>
        <v>1.0432550945915364</v>
      </c>
      <c r="H42" s="990">
        <f t="shared" si="6"/>
        <v>2.8585189591808094E-3</v>
      </c>
      <c r="I42" s="990">
        <v>0</v>
      </c>
    </row>
    <row r="43" spans="1:12" ht="20.100000000000001" customHeight="1">
      <c r="A43" s="274">
        <f>IF(ISBLANK(G43)=TRUE,"",MAX($A$17:A42)+1)</f>
        <v>25</v>
      </c>
      <c r="B43" s="992">
        <f>EOMONTH(B42,1)</f>
        <v>45291</v>
      </c>
      <c r="C43" s="69"/>
      <c r="D43" s="991">
        <f t="shared" si="8"/>
        <v>2.7399999999999998E-3</v>
      </c>
      <c r="E43" s="69"/>
      <c r="F43" s="991">
        <f t="shared" si="5"/>
        <v>2.7399999999999998E-3</v>
      </c>
      <c r="G43" s="994">
        <f>G42</f>
        <v>1.0432550945915364</v>
      </c>
      <c r="H43" s="990">
        <f t="shared" si="6"/>
        <v>2.8585189591808094E-3</v>
      </c>
      <c r="I43" s="990">
        <f>I42+SUM(H41:H43)</f>
        <v>8.5755568775424292E-3</v>
      </c>
    </row>
    <row r="44" spans="1:12" ht="20.100000000000001" customHeight="1">
      <c r="A44" s="274" t="str">
        <f>IF(ISBLANK(G44)=TRUE,"",MAX($A$17:A43)+1)</f>
        <v/>
      </c>
      <c r="B44" s="76"/>
      <c r="C44" s="69"/>
      <c r="D44" s="70"/>
      <c r="E44" s="69"/>
      <c r="F44" s="70"/>
      <c r="G44" s="66"/>
      <c r="H44" s="66"/>
      <c r="I44" s="66"/>
    </row>
    <row r="45" spans="1:12" ht="20.100000000000001" customHeight="1">
      <c r="A45" s="274">
        <f>IF(ISBLANK(G45)=TRUE,"",MAX($A$17:A44)+1)</f>
        <v>26</v>
      </c>
      <c r="B45" s="76"/>
      <c r="C45" s="69"/>
      <c r="D45" s="70"/>
      <c r="E45" s="70" t="s">
        <v>1066</v>
      </c>
      <c r="F45" s="70"/>
      <c r="G45" s="990">
        <f>G43+I43</f>
        <v>1.0518306514690789</v>
      </c>
      <c r="H45" s="66"/>
      <c r="I45" s="66"/>
    </row>
    <row r="46" spans="1:12" ht="20.100000000000001" customHeight="1">
      <c r="A46" s="274" t="str">
        <f>IF(ISBLANK(G46)=TRUE,"",MAX($A$17:A45)+1)</f>
        <v/>
      </c>
      <c r="B46" s="76"/>
      <c r="C46" s="69"/>
      <c r="D46" s="70"/>
      <c r="E46" s="70"/>
      <c r="F46" s="70"/>
      <c r="G46" s="990"/>
      <c r="H46" s="66"/>
      <c r="I46" s="66"/>
    </row>
    <row r="47" spans="1:12" ht="20.100000000000001" customHeight="1">
      <c r="A47" s="274">
        <f>IF(ISBLANK(G47)=TRUE,"",MAX($A$17:A46)+1)</f>
        <v>27</v>
      </c>
      <c r="B47" s="76"/>
      <c r="C47" s="69"/>
      <c r="D47" s="70"/>
      <c r="E47" s="877"/>
      <c r="F47" s="995" t="s">
        <v>1058</v>
      </c>
      <c r="G47" s="1006">
        <f>G45/12</f>
        <v>8.7652554289089912E-2</v>
      </c>
      <c r="H47" s="66"/>
      <c r="I47" s="66"/>
    </row>
    <row r="48" spans="1:12" ht="20.100000000000001" customHeight="1" thickBot="1">
      <c r="A48" s="274">
        <f>IF(ISBLANK(G48)=TRUE,"",MAX($A$17:A47)+1)</f>
        <v>28</v>
      </c>
      <c r="B48" s="76"/>
      <c r="C48" s="69"/>
      <c r="D48" s="70"/>
      <c r="E48" s="877"/>
      <c r="F48" s="996" t="s">
        <v>1059</v>
      </c>
      <c r="G48" s="1007">
        <v>1.3210573759383885E-3</v>
      </c>
      <c r="H48" s="990" t="s">
        <v>1197</v>
      </c>
      <c r="I48" s="877"/>
      <c r="J48" s="990"/>
      <c r="K48" s="877"/>
      <c r="L48" s="997"/>
    </row>
    <row r="49" spans="1:9" ht="20.100000000000001" customHeight="1" thickTop="1">
      <c r="A49" s="274">
        <f>IF(ISBLANK(G49)=TRUE,"",MAX($A$17:A48)+1)</f>
        <v>29</v>
      </c>
      <c r="B49" s="76"/>
      <c r="C49" s="69"/>
      <c r="D49" s="70"/>
      <c r="E49" s="877"/>
      <c r="F49" s="995" t="s">
        <v>1060</v>
      </c>
      <c r="G49" s="990">
        <f>G47+G48</f>
        <v>8.8973611665028304E-2</v>
      </c>
      <c r="H49" s="66"/>
      <c r="I49" s="66"/>
    </row>
    <row r="50" spans="1:9" ht="20.100000000000001" customHeight="1">
      <c r="A50" s="274" t="str">
        <f>IF(ISBLANK(G50)=TRUE,"",MAX($A$17:A49)+1)</f>
        <v/>
      </c>
      <c r="B50" s="76"/>
      <c r="C50" s="69"/>
      <c r="D50" s="70"/>
      <c r="E50" s="877"/>
      <c r="F50" s="995"/>
      <c r="G50" s="990"/>
      <c r="H50" s="66"/>
      <c r="I50" s="66"/>
    </row>
    <row r="51" spans="1:9" ht="20.100000000000001" customHeight="1">
      <c r="A51" s="274">
        <f>IF(ISBLANK(G51)=TRUE,"",MAX($A$17:A50)+1)</f>
        <v>30</v>
      </c>
      <c r="B51" s="992">
        <f>EOMONTH(B43,1)</f>
        <v>45322</v>
      </c>
      <c r="C51" s="69"/>
      <c r="D51" s="991">
        <f>D41</f>
        <v>2.7399999999999998E-3</v>
      </c>
      <c r="E51" s="877"/>
      <c r="F51" s="991">
        <f>D51</f>
        <v>2.7399999999999998E-3</v>
      </c>
      <c r="G51" s="990">
        <f>$G$45-($G$49*A17)</f>
        <v>0.96285703980405069</v>
      </c>
      <c r="H51" s="990">
        <f>F51*G51</f>
        <v>2.6382282890630988E-3</v>
      </c>
      <c r="I51" s="990">
        <v>0</v>
      </c>
    </row>
    <row r="52" spans="1:9" ht="20.100000000000001" customHeight="1">
      <c r="A52" s="274">
        <f>IF(ISBLANK(G52)=TRUE,"",MAX($A$17:A51)+1)</f>
        <v>31</v>
      </c>
      <c r="B52" s="992">
        <f>EOMONTH(B51,1)</f>
        <v>45351</v>
      </c>
      <c r="C52" s="69"/>
      <c r="D52" s="991">
        <f t="shared" ref="D52:D62" si="9">D51</f>
        <v>2.7399999999999998E-3</v>
      </c>
      <c r="E52" s="877"/>
      <c r="F52" s="991">
        <f t="shared" ref="F52:F61" si="10">D52</f>
        <v>2.7399999999999998E-3</v>
      </c>
      <c r="G52" s="990">
        <f>G51-$G$49</f>
        <v>0.87388342813902242</v>
      </c>
      <c r="H52" s="990">
        <f t="shared" ref="H52:H62" si="11">F52*G52</f>
        <v>2.3944405931009211E-3</v>
      </c>
      <c r="I52" s="990">
        <v>0</v>
      </c>
    </row>
    <row r="53" spans="1:9" ht="20.100000000000001" customHeight="1">
      <c r="A53" s="274">
        <f>IF(ISBLANK(G53)=TRUE,"",MAX($A$17:A52)+1)</f>
        <v>32</v>
      </c>
      <c r="B53" s="992">
        <f t="shared" ref="B53:B61" si="12">EOMONTH(B52,1)</f>
        <v>45382</v>
      </c>
      <c r="C53" s="69"/>
      <c r="D53" s="991">
        <f t="shared" si="9"/>
        <v>2.7399999999999998E-3</v>
      </c>
      <c r="E53" s="877"/>
      <c r="F53" s="991">
        <f t="shared" si="10"/>
        <v>2.7399999999999998E-3</v>
      </c>
      <c r="G53" s="994">
        <f t="shared" ref="G53:G62" si="13">G52-$G$49</f>
        <v>0.78490981647399416</v>
      </c>
      <c r="H53" s="990">
        <f t="shared" si="11"/>
        <v>2.1506528971387438E-3</v>
      </c>
      <c r="I53" s="990">
        <f>I52+SUM(H51:H53)</f>
        <v>7.1833217793027633E-3</v>
      </c>
    </row>
    <row r="54" spans="1:9" ht="20.100000000000001" customHeight="1">
      <c r="A54" s="274">
        <f>IF(ISBLANK(G54)=TRUE,"",MAX($A$17:A53)+1)</f>
        <v>33</v>
      </c>
      <c r="B54" s="992">
        <f t="shared" si="12"/>
        <v>45412</v>
      </c>
      <c r="C54" s="69"/>
      <c r="D54" s="991">
        <f t="shared" si="9"/>
        <v>2.7399999999999998E-3</v>
      </c>
      <c r="E54" s="877"/>
      <c r="F54" s="991">
        <f t="shared" si="10"/>
        <v>2.7399999999999998E-3</v>
      </c>
      <c r="G54" s="990">
        <f>G53-$G$49+I53</f>
        <v>0.70311952658826871</v>
      </c>
      <c r="H54" s="990">
        <f t="shared" si="11"/>
        <v>1.9265475028518561E-3</v>
      </c>
      <c r="I54" s="990">
        <v>0</v>
      </c>
    </row>
    <row r="55" spans="1:9" ht="20.100000000000001" customHeight="1">
      <c r="A55" s="274">
        <f>IF(ISBLANK(G55)=TRUE,"",MAX($A$17:A54)+1)</f>
        <v>34</v>
      </c>
      <c r="B55" s="992">
        <f t="shared" si="12"/>
        <v>45443</v>
      </c>
      <c r="C55" s="69"/>
      <c r="D55" s="991">
        <f t="shared" si="9"/>
        <v>2.7399999999999998E-3</v>
      </c>
      <c r="E55" s="70"/>
      <c r="F55" s="991">
        <f t="shared" si="10"/>
        <v>2.7399999999999998E-3</v>
      </c>
      <c r="G55" s="990">
        <f t="shared" si="13"/>
        <v>0.61414591492324044</v>
      </c>
      <c r="H55" s="990">
        <f t="shared" si="11"/>
        <v>1.6827598068896788E-3</v>
      </c>
      <c r="I55" s="990">
        <v>0</v>
      </c>
    </row>
    <row r="56" spans="1:9" ht="20.100000000000001" customHeight="1">
      <c r="A56" s="274">
        <f>IF(ISBLANK(G56)=TRUE,"",MAX($A$17:A55)+1)</f>
        <v>35</v>
      </c>
      <c r="B56" s="992">
        <f t="shared" si="12"/>
        <v>45473</v>
      </c>
      <c r="C56" s="69"/>
      <c r="D56" s="991">
        <f t="shared" si="9"/>
        <v>2.7399999999999998E-3</v>
      </c>
      <c r="E56" s="70"/>
      <c r="F56" s="991">
        <f>D56</f>
        <v>2.7399999999999998E-3</v>
      </c>
      <c r="G56" s="994">
        <f t="shared" si="13"/>
        <v>0.52517230325821218</v>
      </c>
      <c r="H56" s="990">
        <f t="shared" si="11"/>
        <v>1.4389721109275013E-3</v>
      </c>
      <c r="I56" s="990">
        <f>I55+SUM(H54:H56)</f>
        <v>5.0482794206690362E-3</v>
      </c>
    </row>
    <row r="57" spans="1:9" ht="20.100000000000001" customHeight="1">
      <c r="A57" s="274">
        <f>IF(ISBLANK(G57)=TRUE,"",MAX($A$17:A56)+1)</f>
        <v>36</v>
      </c>
      <c r="B57" s="992">
        <f t="shared" si="12"/>
        <v>45504</v>
      </c>
      <c r="C57" s="69"/>
      <c r="D57" s="991">
        <f t="shared" si="9"/>
        <v>2.7399999999999998E-3</v>
      </c>
      <c r="E57" s="70"/>
      <c r="F57" s="991">
        <f t="shared" si="10"/>
        <v>2.7399999999999998E-3</v>
      </c>
      <c r="G57" s="990">
        <f>G56-$G$49+I56</f>
        <v>0.44124697101385291</v>
      </c>
      <c r="H57" s="990">
        <f t="shared" si="11"/>
        <v>1.2090167005779568E-3</v>
      </c>
      <c r="I57" s="990">
        <v>0</v>
      </c>
    </row>
    <row r="58" spans="1:9" ht="20.100000000000001" customHeight="1">
      <c r="A58" s="274">
        <f>IF(ISBLANK(G58)=TRUE,"",MAX($A$17:A57)+1)</f>
        <v>37</v>
      </c>
      <c r="B58" s="992">
        <f t="shared" si="12"/>
        <v>45535</v>
      </c>
      <c r="C58" s="69"/>
      <c r="D58" s="991">
        <f t="shared" si="9"/>
        <v>2.7399999999999998E-3</v>
      </c>
      <c r="E58" s="70"/>
      <c r="F58" s="991">
        <f>D58</f>
        <v>2.7399999999999998E-3</v>
      </c>
      <c r="G58" s="990">
        <f t="shared" si="13"/>
        <v>0.35227335934882459</v>
      </c>
      <c r="H58" s="990">
        <f t="shared" si="11"/>
        <v>9.6522900461577929E-4</v>
      </c>
      <c r="I58" s="990">
        <v>0</v>
      </c>
    </row>
    <row r="59" spans="1:9" ht="20.100000000000001" customHeight="1">
      <c r="A59" s="274">
        <f>IF(ISBLANK(G59)=TRUE,"",MAX($A$17:A58)+1)</f>
        <v>38</v>
      </c>
      <c r="B59" s="992">
        <f t="shared" si="12"/>
        <v>45565</v>
      </c>
      <c r="C59" s="69"/>
      <c r="D59" s="991">
        <f t="shared" si="9"/>
        <v>2.7399999999999998E-3</v>
      </c>
      <c r="E59" s="70"/>
      <c r="F59" s="991">
        <f t="shared" si="10"/>
        <v>2.7399999999999998E-3</v>
      </c>
      <c r="G59" s="994">
        <f t="shared" si="13"/>
        <v>0.26329974768379627</v>
      </c>
      <c r="H59" s="990">
        <f t="shared" si="11"/>
        <v>7.2144130865360178E-4</v>
      </c>
      <c r="I59" s="990">
        <f>I58+SUM(H57:H59)</f>
        <v>2.8956870138473374E-3</v>
      </c>
    </row>
    <row r="60" spans="1:9" ht="20.100000000000001" customHeight="1">
      <c r="A60" s="274">
        <f>IF(ISBLANK(G60)=TRUE,"",MAX($A$17:A59)+1)</f>
        <v>39</v>
      </c>
      <c r="B60" s="992">
        <f t="shared" si="12"/>
        <v>45596</v>
      </c>
      <c r="C60" s="69"/>
      <c r="D60" s="991">
        <f t="shared" si="9"/>
        <v>2.7399999999999998E-3</v>
      </c>
      <c r="E60" s="70"/>
      <c r="F60" s="991">
        <f t="shared" si="10"/>
        <v>2.7399999999999998E-3</v>
      </c>
      <c r="G60" s="990">
        <f>G59-$G$49+I59</f>
        <v>0.1772218230326153</v>
      </c>
      <c r="H60" s="990">
        <f t="shared" si="11"/>
        <v>4.8558779510936588E-4</v>
      </c>
      <c r="I60" s="990">
        <v>0</v>
      </c>
    </row>
    <row r="61" spans="1:9" ht="20.100000000000001" customHeight="1">
      <c r="A61" s="274">
        <f>IF(ISBLANK(G61)=TRUE,"",MAX($A$17:A60)+1)</f>
        <v>40</v>
      </c>
      <c r="B61" s="992">
        <f t="shared" si="12"/>
        <v>45626</v>
      </c>
      <c r="C61" s="69"/>
      <c r="D61" s="991">
        <f t="shared" si="9"/>
        <v>2.7399999999999998E-3</v>
      </c>
      <c r="E61" s="70"/>
      <c r="F61" s="991">
        <f t="shared" si="10"/>
        <v>2.7399999999999998E-3</v>
      </c>
      <c r="G61" s="990">
        <f t="shared" si="13"/>
        <v>8.8248211367586996E-2</v>
      </c>
      <c r="H61" s="990">
        <f t="shared" si="11"/>
        <v>2.4180009914718834E-4</v>
      </c>
      <c r="I61" s="990">
        <v>0</v>
      </c>
    </row>
    <row r="62" spans="1:9" ht="20.100000000000001" customHeight="1">
      <c r="A62" s="274">
        <f>IF(ISBLANK(G62)=TRUE,"",MAX($A$17:A61)+1)</f>
        <v>41</v>
      </c>
      <c r="B62" s="992">
        <f>EOMONTH(B61,1)</f>
        <v>45657</v>
      </c>
      <c r="C62" s="69"/>
      <c r="D62" s="991">
        <f t="shared" si="9"/>
        <v>2.7399999999999998E-3</v>
      </c>
      <c r="E62" s="69"/>
      <c r="F62" s="991">
        <f>D62</f>
        <v>2.7399999999999998E-3</v>
      </c>
      <c r="G62" s="994">
        <f t="shared" si="13"/>
        <v>-7.2540029744130874E-4</v>
      </c>
      <c r="H62" s="990">
        <f t="shared" si="11"/>
        <v>-1.9875968149891857E-6</v>
      </c>
      <c r="I62" s="990">
        <f>I61+SUM(H60:H62)</f>
        <v>7.2540029744156504E-4</v>
      </c>
    </row>
    <row r="63" spans="1:9" ht="20.100000000000001" customHeight="1">
      <c r="A63" s="274" t="str">
        <f>IF(ISBLANK(G63)=TRUE,"",MAX($A$17:A62)+1)</f>
        <v/>
      </c>
      <c r="B63" s="76"/>
      <c r="C63" s="69"/>
      <c r="D63" s="70"/>
      <c r="E63" s="69"/>
      <c r="F63" s="70"/>
      <c r="G63" s="66"/>
      <c r="H63" s="66"/>
      <c r="I63" s="66"/>
    </row>
    <row r="64" spans="1:9" ht="20.100000000000001" customHeight="1">
      <c r="A64" s="274">
        <f>IF(ISBLANK(G64)=TRUE,"",MAX($A$17:A63)+1)</f>
        <v>42</v>
      </c>
      <c r="B64" s="76"/>
      <c r="C64" s="69"/>
      <c r="D64" s="70"/>
      <c r="E64" s="70" t="s">
        <v>1067</v>
      </c>
      <c r="F64" s="70"/>
      <c r="G64" s="990">
        <f>G62+I62</f>
        <v>2.5630539357557325E-16</v>
      </c>
      <c r="H64" s="66"/>
      <c r="I64" s="66"/>
    </row>
    <row r="65" spans="1:10" ht="20.100000000000001" customHeight="1">
      <c r="A65" s="274" t="str">
        <f>IF(ISBLANK(G65)=TRUE,"",MAX($A$17:A64)+1)</f>
        <v/>
      </c>
      <c r="B65" s="76"/>
      <c r="C65" s="69"/>
      <c r="D65" s="70"/>
      <c r="E65" s="69"/>
      <c r="F65" s="70"/>
      <c r="G65" s="66"/>
      <c r="H65" s="66"/>
      <c r="I65" s="66"/>
    </row>
    <row r="66" spans="1:10" ht="20.100000000000001" customHeight="1">
      <c r="A66" s="274">
        <f>IF(ISBLANK(G66)=TRUE,"",MAX($A$17:A65)+1)</f>
        <v>43</v>
      </c>
      <c r="B66" s="76"/>
      <c r="C66" s="69"/>
      <c r="D66" s="993"/>
      <c r="E66" s="1000"/>
      <c r="F66" s="1001" t="s">
        <v>1061</v>
      </c>
      <c r="G66" s="990">
        <f>G49*12</f>
        <v>1.0676833399803396</v>
      </c>
      <c r="H66" s="66"/>
      <c r="I66" s="66"/>
    </row>
    <row r="67" spans="1:10" ht="20.100000000000001" customHeight="1">
      <c r="A67" s="274">
        <f>IF(ISBLANK(G67)=TRUE,"",MAX($A$17:A66)+1)</f>
        <v>44</v>
      </c>
      <c r="B67" s="76"/>
      <c r="C67" s="69"/>
      <c r="D67" s="70"/>
      <c r="E67" s="69"/>
      <c r="F67" s="70" t="s">
        <v>1062</v>
      </c>
      <c r="G67" s="994">
        <v>1</v>
      </c>
      <c r="H67" s="66"/>
      <c r="I67" s="66"/>
    </row>
    <row r="68" spans="1:10" ht="20.100000000000001" customHeight="1">
      <c r="A68" s="274">
        <f>IF(ISBLANK(G68)=TRUE,"",MAX($A$17:A67)+1)</f>
        <v>45</v>
      </c>
      <c r="B68" s="76"/>
      <c r="C68" s="69"/>
      <c r="D68" s="993"/>
      <c r="E68" s="1000"/>
      <c r="F68" s="1001" t="s">
        <v>1063</v>
      </c>
      <c r="G68" s="990">
        <f>G66-G67</f>
        <v>6.7683339980339596E-2</v>
      </c>
      <c r="H68" s="66"/>
      <c r="I68" s="66"/>
    </row>
    <row r="69" spans="1:10" ht="20.100000000000001" customHeight="1">
      <c r="A69" s="274" t="str">
        <f>IF(ISBLANK(G69)=TRUE,"",MAX($A$17:A68)+1)</f>
        <v/>
      </c>
      <c r="B69" s="76"/>
      <c r="C69" s="69"/>
      <c r="D69" s="70"/>
      <c r="E69" s="69"/>
      <c r="F69" s="70"/>
      <c r="G69" s="66"/>
      <c r="H69" s="66"/>
      <c r="I69" s="66"/>
    </row>
    <row r="70" spans="1:10" ht="20.100000000000001" customHeight="1">
      <c r="A70" s="274" t="str">
        <f>IF(ISBLANK(G70)=TRUE,"",MAX($A$17:A69)+1)</f>
        <v/>
      </c>
      <c r="B70" s="76"/>
      <c r="C70" s="69"/>
      <c r="D70" s="70"/>
      <c r="E70" s="69"/>
      <c r="F70" s="70"/>
      <c r="G70" s="66"/>
      <c r="H70" s="66"/>
      <c r="I70" s="66"/>
    </row>
    <row r="71" spans="1:10" ht="20.100000000000001" customHeight="1">
      <c r="A71" s="274" t="str">
        <f>IF(ISBLANK(G71)=TRUE,"",MAX($A$17:A70)+1)</f>
        <v/>
      </c>
      <c r="B71" s="78"/>
      <c r="C71" s="78"/>
      <c r="D71" s="78"/>
      <c r="E71" s="78"/>
      <c r="F71" s="78"/>
      <c r="G71" s="78"/>
      <c r="H71" s="78"/>
      <c r="I71" s="78"/>
    </row>
    <row r="72" spans="1:10" ht="20.100000000000001" customHeight="1">
      <c r="A72" s="1028">
        <f>IF(ISBLANK(G72)=TRUE,"",MAX($A$17:A71)+1)</f>
        <v>46</v>
      </c>
      <c r="B72" s="65" t="s">
        <v>1070</v>
      </c>
      <c r="C72" s="78"/>
      <c r="D72" s="78"/>
      <c r="E72" s="78"/>
      <c r="F72" s="78"/>
      <c r="G72" s="1029">
        <f>+F10</f>
        <v>-560044.59346388094</v>
      </c>
      <c r="H72" s="79"/>
      <c r="I72" s="78"/>
    </row>
    <row r="73" spans="1:10" ht="20.100000000000001" customHeight="1">
      <c r="A73" s="1028">
        <f>IF(ISBLANK(G73)=TRUE,"",MAX($A$17:A72)+1)</f>
        <v>47</v>
      </c>
      <c r="B73" s="65" t="s">
        <v>415</v>
      </c>
      <c r="C73" s="78"/>
      <c r="D73" s="78"/>
      <c r="E73" s="78"/>
      <c r="F73" s="78"/>
      <c r="G73" s="1029">
        <f>G68*G72</f>
        <v>-37905.68862356693</v>
      </c>
      <c r="H73" s="79"/>
      <c r="I73" s="78"/>
    </row>
    <row r="74" spans="1:10" ht="20.100000000000001" customHeight="1">
      <c r="A74" s="1028">
        <f>IF(ISBLANK(G74)=TRUE,"",MAX($A$17:A73)+1)</f>
        <v>48</v>
      </c>
      <c r="B74" s="65" t="s">
        <v>1073</v>
      </c>
      <c r="C74" s="78"/>
      <c r="D74" s="78"/>
      <c r="E74" s="78"/>
      <c r="F74" s="78"/>
      <c r="G74" s="1029">
        <f>G72+G73</f>
        <v>-597950.28208744782</v>
      </c>
      <c r="H74" s="79"/>
      <c r="I74" s="78"/>
    </row>
    <row r="75" spans="1:10" ht="20.100000000000001" customHeight="1">
      <c r="A75" s="274"/>
      <c r="B75" s="65"/>
      <c r="C75" s="78"/>
      <c r="D75" s="78"/>
      <c r="E75" s="78"/>
      <c r="F75" s="78"/>
      <c r="G75" s="78"/>
      <c r="H75" s="79"/>
      <c r="I75" s="78"/>
    </row>
    <row r="76" spans="1:10" ht="48" customHeight="1">
      <c r="A76" s="493" t="s">
        <v>1068</v>
      </c>
      <c r="B76" s="1144" t="s">
        <v>1198</v>
      </c>
      <c r="C76" s="1144"/>
      <c r="D76" s="1144"/>
      <c r="E76" s="1144"/>
      <c r="F76" s="1144"/>
      <c r="G76" s="1144"/>
      <c r="H76" s="1144"/>
      <c r="I76" s="1144"/>
      <c r="J76" s="1144"/>
    </row>
    <row r="77" spans="1:10">
      <c r="A77" s="64" t="s">
        <v>1069</v>
      </c>
      <c r="B77" s="1145" t="s">
        <v>1199</v>
      </c>
      <c r="C77" s="1145"/>
      <c r="D77" s="1145"/>
      <c r="E77" s="1145"/>
      <c r="F77" s="1145"/>
      <c r="G77" s="1145"/>
      <c r="H77" s="1145"/>
      <c r="I77" s="1145"/>
      <c r="J77" s="1145"/>
    </row>
    <row r="78" spans="1:10" ht="36" customHeight="1">
      <c r="A78" s="64" t="s">
        <v>1200</v>
      </c>
      <c r="B78" s="1146" t="s">
        <v>1245</v>
      </c>
      <c r="C78" s="1146"/>
      <c r="D78" s="1146"/>
      <c r="E78" s="1146"/>
      <c r="F78" s="1146"/>
      <c r="G78" s="1146"/>
      <c r="H78" s="1146"/>
      <c r="I78" s="1146"/>
      <c r="J78" s="1146"/>
    </row>
  </sheetData>
  <mergeCells count="5">
    <mergeCell ref="B5:I5"/>
    <mergeCell ref="B6:I6"/>
    <mergeCell ref="B76:J76"/>
    <mergeCell ref="B77:J77"/>
    <mergeCell ref="B78:J78"/>
  </mergeCells>
  <pageMargins left="0.7" right="0.7" top="0.75" bottom="0.75" header="0.3" footer="0.3"/>
  <pageSetup scale="4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5CE-0880-43AA-8019-A76AA9DD1C6A}">
  <sheetPr codeName="Sheet23"/>
  <dimension ref="B1:Y107"/>
  <sheetViews>
    <sheetView view="pageBreakPreview" zoomScale="90" zoomScaleNormal="80" zoomScaleSheetLayoutView="90" workbookViewId="0">
      <selection activeCell="B1" sqref="B1"/>
    </sheetView>
  </sheetViews>
  <sheetFormatPr defaultColWidth="8.88671875" defaultRowHeight="15.75"/>
  <cols>
    <col min="1" max="1" width="1.44140625" style="1" customWidth="1"/>
    <col min="2" max="2" width="4.109375" style="655" bestFit="1" customWidth="1"/>
    <col min="3" max="3" width="1.44140625" style="1" customWidth="1"/>
    <col min="4" max="4" width="8.88671875" style="16"/>
    <col min="5" max="5" width="1.44140625" style="1" customWidth="1"/>
    <col min="6" max="6" width="24.33203125" style="661" bestFit="1" customWidth="1"/>
    <col min="7" max="7" width="1.44140625" style="1" customWidth="1"/>
    <col min="8" max="8" width="12.109375" style="661" bestFit="1" customWidth="1"/>
    <col min="9" max="9" width="1.44140625" style="1" customWidth="1"/>
    <col min="10" max="10" width="12.109375" style="661" bestFit="1" customWidth="1"/>
    <col min="11" max="11" width="1.44140625" style="1" customWidth="1"/>
    <col min="12" max="12" width="12.109375" style="661" bestFit="1" customWidth="1"/>
    <col min="13" max="16384" width="8.88671875" style="1"/>
  </cols>
  <sheetData>
    <row r="1" spans="2:24">
      <c r="J1" s="38"/>
      <c r="K1" s="38"/>
      <c r="L1" s="3" t="str">
        <f>'Attachment H-11A '!K1&amp;""&amp;", Attachment 13b"</f>
        <v>Attachment H -11A, Attachment 13b</v>
      </c>
    </row>
    <row r="2" spans="2:24">
      <c r="J2" s="38"/>
      <c r="K2" s="38"/>
      <c r="L2" s="3" t="s">
        <v>168</v>
      </c>
    </row>
    <row r="3" spans="2:24">
      <c r="J3" s="38"/>
      <c r="K3" s="38"/>
      <c r="L3" s="3" t="str">
        <f>'Attachment H-11A '!K4</f>
        <v>For the 12 months ended 12/31/2022</v>
      </c>
    </row>
    <row r="5" spans="2:24">
      <c r="D5" s="698" t="s">
        <v>688</v>
      </c>
      <c r="E5" s="699"/>
      <c r="F5" s="698" t="str">
        <f>"("&amp;CHAR(CODE(MID(D5,2,1))+1)&amp;")"</f>
        <v>(B)</v>
      </c>
      <c r="H5" s="698" t="str">
        <f t="shared" ref="H5" si="0">"("&amp;CHAR(CODE(MID(F5,2,1))+1)&amp;")"</f>
        <v>(C)</v>
      </c>
      <c r="J5" s="698" t="str">
        <f t="shared" ref="J5" si="1">"("&amp;CHAR(CODE(MID(H5,2,1))+1)&amp;")"</f>
        <v>(D)</v>
      </c>
      <c r="L5" s="698" t="str">
        <f>"("&amp;CHAR(CODE(MID(J5,2,1))+1)&amp;")"</f>
        <v>(E)</v>
      </c>
    </row>
    <row r="6" spans="2:24">
      <c r="F6" s="875" t="s">
        <v>689</v>
      </c>
      <c r="G6" s="876"/>
      <c r="H6" s="700"/>
      <c r="I6" s="700"/>
      <c r="J6" s="700"/>
    </row>
    <row r="7" spans="2:24">
      <c r="B7" s="701" t="s">
        <v>5</v>
      </c>
      <c r="D7" s="702" t="s">
        <v>690</v>
      </c>
      <c r="F7" s="701" t="s">
        <v>819</v>
      </c>
      <c r="G7" s="703" t="s">
        <v>691</v>
      </c>
      <c r="H7" s="701" t="s">
        <v>821</v>
      </c>
      <c r="I7" s="703" t="s">
        <v>691</v>
      </c>
      <c r="J7" s="701" t="s">
        <v>1024</v>
      </c>
      <c r="K7" s="703" t="s">
        <v>78</v>
      </c>
      <c r="L7" s="702" t="s">
        <v>9</v>
      </c>
      <c r="N7" s="704"/>
    </row>
    <row r="8" spans="2:24">
      <c r="B8" s="655">
        <v>1</v>
      </c>
      <c r="D8" s="16" t="s">
        <v>181</v>
      </c>
      <c r="F8" s="659">
        <v>4340155.1376373265</v>
      </c>
      <c r="H8" s="649"/>
      <c r="J8" s="649"/>
      <c r="L8" s="649">
        <f>F8-H8-J8</f>
        <v>4340155.1376373265</v>
      </c>
      <c r="N8" s="705"/>
      <c r="O8" s="705"/>
      <c r="P8" s="705"/>
      <c r="Q8" s="705"/>
      <c r="R8" s="705"/>
      <c r="S8" s="705"/>
      <c r="T8" s="705"/>
      <c r="U8" s="705"/>
      <c r="V8" s="705"/>
      <c r="W8" s="705"/>
      <c r="X8" s="705"/>
    </row>
    <row r="9" spans="2:24">
      <c r="B9" s="655">
        <f>MAX($B$8:B8)+1</f>
        <v>2</v>
      </c>
      <c r="D9" s="16" t="s">
        <v>182</v>
      </c>
      <c r="F9" s="659">
        <v>3920140.0503963022</v>
      </c>
      <c r="H9" s="649"/>
      <c r="J9" s="649"/>
      <c r="L9" s="649">
        <f t="shared" ref="L9:L19" si="2">F9-H9-J9</f>
        <v>3920140.0503963022</v>
      </c>
    </row>
    <row r="10" spans="2:24">
      <c r="B10" s="655">
        <f>MAX($B$8:B9)+1</f>
        <v>3</v>
      </c>
      <c r="D10" s="16" t="s">
        <v>183</v>
      </c>
      <c r="F10" s="659">
        <v>4340155.3439411828</v>
      </c>
      <c r="H10" s="649"/>
      <c r="J10" s="649"/>
      <c r="L10" s="649">
        <f t="shared" si="2"/>
        <v>4340155.3439411828</v>
      </c>
    </row>
    <row r="11" spans="2:24">
      <c r="B11" s="655">
        <f>MAX($B$8:B10)+1</f>
        <v>4</v>
      </c>
      <c r="D11" s="16" t="s">
        <v>184</v>
      </c>
      <c r="F11" s="659">
        <v>4200150.4375851862</v>
      </c>
      <c r="H11" s="649"/>
      <c r="J11" s="649"/>
      <c r="L11" s="649">
        <f t="shared" si="2"/>
        <v>4200150.4375851862</v>
      </c>
    </row>
    <row r="12" spans="2:24">
      <c r="B12" s="655">
        <f>MAX($B$8:B11)+1</f>
        <v>5</v>
      </c>
      <c r="D12" s="16" t="s">
        <v>185</v>
      </c>
      <c r="F12" s="659">
        <v>4340155.0995504605</v>
      </c>
      <c r="H12" s="649"/>
      <c r="J12" s="649"/>
      <c r="L12" s="649">
        <f t="shared" si="2"/>
        <v>4340155.0995504605</v>
      </c>
    </row>
    <row r="13" spans="2:24">
      <c r="B13" s="655">
        <f>MAX($B$8:B12)+1</f>
        <v>6</v>
      </c>
      <c r="D13" s="16" t="s">
        <v>195</v>
      </c>
      <c r="F13" s="659">
        <v>4200150.1709771259</v>
      </c>
      <c r="H13" s="649"/>
      <c r="J13" s="649"/>
      <c r="L13" s="649">
        <f t="shared" si="2"/>
        <v>4200150.1709771259</v>
      </c>
    </row>
    <row r="14" spans="2:24">
      <c r="B14" s="655">
        <f>MAX($B$8:B13)+1</f>
        <v>7</v>
      </c>
      <c r="D14" s="16" t="s">
        <v>186</v>
      </c>
      <c r="F14" s="659">
        <v>4340154.8456380218</v>
      </c>
      <c r="H14" s="649"/>
      <c r="J14" s="649"/>
      <c r="L14" s="649">
        <f t="shared" si="2"/>
        <v>4340154.8456380218</v>
      </c>
    </row>
    <row r="15" spans="2:24">
      <c r="B15" s="655">
        <f>MAX($B$8:B14)+1</f>
        <v>8</v>
      </c>
      <c r="D15" s="16" t="s">
        <v>187</v>
      </c>
      <c r="F15" s="659">
        <v>4340154.5599865289</v>
      </c>
      <c r="H15" s="649"/>
      <c r="J15" s="649"/>
      <c r="L15" s="649">
        <f t="shared" si="2"/>
        <v>4340154.5599865289</v>
      </c>
    </row>
    <row r="16" spans="2:24">
      <c r="B16" s="655">
        <f>MAX($B$8:B15)+1</f>
        <v>9</v>
      </c>
      <c r="D16" s="16" t="s">
        <v>188</v>
      </c>
      <c r="F16" s="659">
        <v>4200149.9392820261</v>
      </c>
      <c r="H16" s="649"/>
      <c r="J16" s="649"/>
      <c r="L16" s="649">
        <f t="shared" si="2"/>
        <v>4200149.9392820261</v>
      </c>
    </row>
    <row r="17" spans="2:12">
      <c r="B17" s="655">
        <f>MAX($B$8:B16)+1</f>
        <v>10</v>
      </c>
      <c r="D17" s="16" t="s">
        <v>190</v>
      </c>
      <c r="F17" s="659">
        <v>4340154.997985485</v>
      </c>
      <c r="H17" s="649"/>
      <c r="J17" s="649"/>
      <c r="L17" s="649">
        <f>F17-H17-J17</f>
        <v>4340154.997985485</v>
      </c>
    </row>
    <row r="18" spans="2:12">
      <c r="B18" s="655">
        <f>MAX($B$8:B17)+1</f>
        <v>11</v>
      </c>
      <c r="D18" s="16" t="s">
        <v>189</v>
      </c>
      <c r="F18" s="659">
        <v>4200149.9107168764</v>
      </c>
      <c r="H18" s="649"/>
      <c r="J18" s="649"/>
      <c r="L18" s="649">
        <f t="shared" si="2"/>
        <v>4200149.9107168764</v>
      </c>
    </row>
    <row r="19" spans="2:12">
      <c r="B19" s="655">
        <f>MAX($B$8:B18)+1</f>
        <v>12</v>
      </c>
      <c r="D19" s="16" t="s">
        <v>180</v>
      </c>
      <c r="F19" s="659">
        <v>4340154.7885077232</v>
      </c>
      <c r="H19" s="666"/>
      <c r="J19" s="666"/>
      <c r="L19" s="649">
        <f t="shared" si="2"/>
        <v>4340154.7885077232</v>
      </c>
    </row>
    <row r="20" spans="2:12">
      <c r="B20" s="655">
        <f>MAX($B$8:B19)+1</f>
        <v>13</v>
      </c>
      <c r="D20" s="16" t="s">
        <v>9</v>
      </c>
      <c r="F20" s="706">
        <f>SUM(F8:F19)</f>
        <v>51101825.282204248</v>
      </c>
      <c r="H20" s="659">
        <v>0</v>
      </c>
      <c r="J20" s="659">
        <v>-2962000</v>
      </c>
      <c r="L20" s="706">
        <f>F20-H20-J20</f>
        <v>54063825.282204248</v>
      </c>
    </row>
    <row r="22" spans="2:12">
      <c r="D22" s="698"/>
      <c r="E22" s="699"/>
      <c r="F22" s="698"/>
      <c r="H22" s="698"/>
      <c r="J22" s="698"/>
      <c r="L22" s="698"/>
    </row>
    <row r="23" spans="2:12">
      <c r="F23" s="875" t="s">
        <v>689</v>
      </c>
      <c r="G23" s="876"/>
      <c r="H23" s="700"/>
      <c r="I23" s="700"/>
      <c r="J23" s="700"/>
    </row>
    <row r="24" spans="2:12">
      <c r="B24" s="707"/>
      <c r="D24" s="702" t="s">
        <v>690</v>
      </c>
      <c r="F24" s="701" t="s">
        <v>820</v>
      </c>
      <c r="G24" s="703" t="s">
        <v>691</v>
      </c>
      <c r="H24" s="701" t="s">
        <v>821</v>
      </c>
      <c r="I24" s="703" t="s">
        <v>691</v>
      </c>
      <c r="J24" s="701" t="s">
        <v>1024</v>
      </c>
      <c r="K24" s="703" t="s">
        <v>78</v>
      </c>
      <c r="L24" s="702" t="s">
        <v>9</v>
      </c>
    </row>
    <row r="25" spans="2:12">
      <c r="B25" s="655">
        <f>B20+1</f>
        <v>14</v>
      </c>
      <c r="D25" s="16" t="s">
        <v>181</v>
      </c>
      <c r="F25" s="659">
        <v>1311403.1322335424</v>
      </c>
      <c r="H25" s="649"/>
      <c r="J25" s="649"/>
      <c r="L25" s="649">
        <f>F25-H25-J25</f>
        <v>1311403.1322335424</v>
      </c>
    </row>
    <row r="26" spans="2:12">
      <c r="B26" s="655">
        <f>B25+1</f>
        <v>15</v>
      </c>
      <c r="D26" s="16" t="s">
        <v>182</v>
      </c>
      <c r="F26" s="659">
        <v>1311403.1322335424</v>
      </c>
      <c r="H26" s="649"/>
      <c r="J26" s="649"/>
      <c r="L26" s="649">
        <f t="shared" ref="L26:L36" si="3">F26-H26-J26</f>
        <v>1311403.1322335424</v>
      </c>
    </row>
    <row r="27" spans="2:12">
      <c r="B27" s="655">
        <f t="shared" ref="B27:B37" si="4">B26+1</f>
        <v>16</v>
      </c>
      <c r="D27" s="16" t="s">
        <v>183</v>
      </c>
      <c r="F27" s="659">
        <v>1311403.1322335424</v>
      </c>
      <c r="H27" s="649"/>
      <c r="J27" s="649"/>
      <c r="L27" s="649">
        <f t="shared" si="3"/>
        <v>1311403.1322335424</v>
      </c>
    </row>
    <row r="28" spans="2:12">
      <c r="B28" s="655">
        <f t="shared" si="4"/>
        <v>17</v>
      </c>
      <c r="D28" s="16" t="s">
        <v>184</v>
      </c>
      <c r="F28" s="659">
        <v>1311403.1322335424</v>
      </c>
      <c r="H28" s="649"/>
      <c r="J28" s="649"/>
      <c r="L28" s="649">
        <f t="shared" si="3"/>
        <v>1311403.1322335424</v>
      </c>
    </row>
    <row r="29" spans="2:12">
      <c r="B29" s="655">
        <f t="shared" si="4"/>
        <v>18</v>
      </c>
      <c r="D29" s="16" t="s">
        <v>185</v>
      </c>
      <c r="F29" s="659">
        <v>1311403.1322335424</v>
      </c>
      <c r="H29" s="649"/>
      <c r="J29" s="649"/>
      <c r="L29" s="649">
        <f>F29-H29-J29</f>
        <v>1311403.1322335424</v>
      </c>
    </row>
    <row r="30" spans="2:12">
      <c r="B30" s="655">
        <f t="shared" si="4"/>
        <v>19</v>
      </c>
      <c r="D30" s="16" t="s">
        <v>195</v>
      </c>
      <c r="F30" s="659">
        <v>1311403.1322335424</v>
      </c>
      <c r="H30" s="649"/>
      <c r="J30" s="649"/>
      <c r="L30" s="649">
        <f t="shared" si="3"/>
        <v>1311403.1322335424</v>
      </c>
    </row>
    <row r="31" spans="2:12">
      <c r="B31" s="655">
        <f t="shared" si="4"/>
        <v>20</v>
      </c>
      <c r="D31" s="16" t="s">
        <v>186</v>
      </c>
      <c r="F31" s="659">
        <v>1311403.1322335424</v>
      </c>
      <c r="H31" s="649"/>
      <c r="J31" s="649"/>
      <c r="L31" s="649">
        <f t="shared" si="3"/>
        <v>1311403.1322335424</v>
      </c>
    </row>
    <row r="32" spans="2:12">
      <c r="B32" s="655">
        <f t="shared" si="4"/>
        <v>21</v>
      </c>
      <c r="D32" s="16" t="s">
        <v>187</v>
      </c>
      <c r="F32" s="659">
        <v>1311403.1322335424</v>
      </c>
      <c r="H32" s="649"/>
      <c r="J32" s="649"/>
      <c r="L32" s="649">
        <f t="shared" si="3"/>
        <v>1311403.1322335424</v>
      </c>
    </row>
    <row r="33" spans="2:25">
      <c r="B33" s="655">
        <f t="shared" si="4"/>
        <v>22</v>
      </c>
      <c r="D33" s="16" t="s">
        <v>188</v>
      </c>
      <c r="F33" s="659">
        <v>1311403.1322335424</v>
      </c>
      <c r="H33" s="649"/>
      <c r="J33" s="649"/>
      <c r="L33" s="649">
        <f t="shared" si="3"/>
        <v>1311403.1322335424</v>
      </c>
    </row>
    <row r="34" spans="2:25">
      <c r="B34" s="655">
        <f t="shared" si="4"/>
        <v>23</v>
      </c>
      <c r="D34" s="16" t="s">
        <v>190</v>
      </c>
      <c r="F34" s="659">
        <v>1311403.1322335424</v>
      </c>
      <c r="H34" s="649"/>
      <c r="J34" s="649"/>
      <c r="L34" s="649">
        <f t="shared" si="3"/>
        <v>1311403.1322335424</v>
      </c>
    </row>
    <row r="35" spans="2:25">
      <c r="B35" s="655">
        <f t="shared" si="4"/>
        <v>24</v>
      </c>
      <c r="D35" s="16" t="s">
        <v>189</v>
      </c>
      <c r="F35" s="659">
        <v>1311403.1322335424</v>
      </c>
      <c r="H35" s="649"/>
      <c r="J35" s="649"/>
      <c r="L35" s="649">
        <f t="shared" si="3"/>
        <v>1311403.1322335424</v>
      </c>
    </row>
    <row r="36" spans="2:25">
      <c r="B36" s="655">
        <f t="shared" si="4"/>
        <v>25</v>
      </c>
      <c r="D36" s="16" t="s">
        <v>180</v>
      </c>
      <c r="F36" s="659">
        <v>1311403.1322335424</v>
      </c>
      <c r="H36" s="666"/>
      <c r="J36" s="666"/>
      <c r="L36" s="649">
        <f t="shared" si="3"/>
        <v>1311403.1322335424</v>
      </c>
    </row>
    <row r="37" spans="2:25">
      <c r="B37" s="655">
        <f t="shared" si="4"/>
        <v>26</v>
      </c>
      <c r="D37" s="16" t="s">
        <v>9</v>
      </c>
      <c r="F37" s="706">
        <f>SUM(F25:F36)</f>
        <v>15736837.586802505</v>
      </c>
      <c r="H37" s="659">
        <v>0</v>
      </c>
      <c r="J37" s="659">
        <v>-236119</v>
      </c>
      <c r="L37" s="706">
        <f>F37-H37-J37</f>
        <v>15972956.586802505</v>
      </c>
    </row>
    <row r="38" spans="2:25">
      <c r="F38" s="665"/>
      <c r="H38" s="649"/>
      <c r="J38" s="649"/>
      <c r="L38" s="665"/>
    </row>
    <row r="39" spans="2:25">
      <c r="F39" s="665"/>
      <c r="H39" s="649"/>
      <c r="J39" s="649"/>
      <c r="L39" s="665"/>
    </row>
    <row r="40" spans="2:25" ht="15.6" customHeight="1">
      <c r="D40" s="708" t="s">
        <v>176</v>
      </c>
      <c r="F40" s="709"/>
      <c r="H40" s="710"/>
      <c r="I40" s="710"/>
      <c r="J40" s="710"/>
    </row>
    <row r="41" spans="2:25" ht="15.6" customHeight="1">
      <c r="D41" s="708"/>
      <c r="F41" s="709"/>
      <c r="H41" s="710"/>
      <c r="I41" s="710"/>
      <c r="J41" s="710"/>
    </row>
    <row r="42" spans="2:25" ht="15.6" customHeight="1">
      <c r="D42" s="877" t="s">
        <v>825</v>
      </c>
      <c r="F42" s="709"/>
      <c r="H42" s="710"/>
      <c r="I42" s="710"/>
      <c r="J42" s="710"/>
      <c r="L42" s="649"/>
    </row>
    <row r="43" spans="2:25" ht="15.6" customHeight="1">
      <c r="D43" s="1147" t="s">
        <v>1023</v>
      </c>
      <c r="E43" s="1148"/>
      <c r="F43" s="1148"/>
      <c r="G43" s="1148"/>
      <c r="H43" s="1148"/>
      <c r="I43" s="1148"/>
      <c r="J43" s="1148"/>
      <c r="K43" s="1148"/>
      <c r="L43" s="1148"/>
    </row>
    <row r="44" spans="2:25">
      <c r="D44" s="1148"/>
      <c r="E44" s="1148"/>
      <c r="F44" s="1148"/>
      <c r="G44" s="1148"/>
      <c r="H44" s="1148"/>
      <c r="I44" s="1148"/>
      <c r="J44" s="1148"/>
      <c r="K44" s="1148"/>
      <c r="L44" s="1148"/>
    </row>
    <row r="45" spans="2:25">
      <c r="D45" s="1148"/>
      <c r="E45" s="1148"/>
      <c r="F45" s="1148"/>
      <c r="G45" s="1148"/>
      <c r="H45" s="1148"/>
      <c r="I45" s="1148"/>
      <c r="J45" s="1148"/>
      <c r="K45" s="1148"/>
      <c r="L45" s="1148"/>
      <c r="N45" s="704"/>
    </row>
    <row r="46" spans="2:25">
      <c r="D46" s="1148"/>
      <c r="E46" s="1148"/>
      <c r="F46" s="1148"/>
      <c r="G46" s="1148"/>
      <c r="H46" s="1148"/>
      <c r="I46" s="1148"/>
      <c r="J46" s="1148"/>
      <c r="K46" s="1148"/>
      <c r="L46" s="1148"/>
      <c r="N46" s="705"/>
      <c r="O46" s="705"/>
      <c r="P46" s="705"/>
      <c r="Q46" s="705"/>
      <c r="R46" s="705"/>
      <c r="S46" s="705"/>
      <c r="T46" s="705"/>
      <c r="U46" s="705"/>
      <c r="V46" s="705"/>
      <c r="W46" s="705"/>
      <c r="X46" s="705"/>
      <c r="Y46" s="705"/>
    </row>
    <row r="47" spans="2:25" ht="51" customHeight="1">
      <c r="D47" s="1105" t="s">
        <v>1165</v>
      </c>
      <c r="E47" s="1105"/>
      <c r="F47" s="1105"/>
      <c r="G47" s="1105"/>
      <c r="H47" s="1105"/>
      <c r="I47" s="1105"/>
      <c r="J47" s="1105"/>
      <c r="K47" s="1105"/>
      <c r="L47" s="1105"/>
      <c r="N47" s="705"/>
      <c r="O47" s="705"/>
      <c r="P47" s="705"/>
      <c r="Q47" s="705"/>
      <c r="R47" s="705"/>
      <c r="S47" s="705"/>
      <c r="T47" s="705"/>
      <c r="U47" s="705"/>
      <c r="V47" s="705"/>
      <c r="W47" s="705"/>
      <c r="X47" s="705"/>
      <c r="Y47" s="705"/>
    </row>
    <row r="48" spans="2:25">
      <c r="F48" s="709"/>
      <c r="H48" s="710"/>
      <c r="I48" s="710"/>
      <c r="J48" s="710"/>
    </row>
    <row r="49" spans="2:12">
      <c r="F49" s="709"/>
      <c r="H49" s="710"/>
      <c r="I49" s="710"/>
      <c r="J49" s="710"/>
    </row>
    <row r="50" spans="2:12">
      <c r="F50" s="709"/>
      <c r="H50" s="710"/>
      <c r="I50" s="710"/>
      <c r="J50" s="710"/>
    </row>
    <row r="51" spans="2:12">
      <c r="B51" s="1"/>
      <c r="D51" s="1"/>
      <c r="F51" s="709"/>
      <c r="H51" s="710"/>
      <c r="I51" s="710"/>
      <c r="J51" s="710"/>
      <c r="L51" s="1"/>
    </row>
    <row r="52" spans="2:12">
      <c r="B52" s="1"/>
      <c r="D52" s="1"/>
      <c r="F52" s="709"/>
      <c r="L52" s="1"/>
    </row>
    <row r="53" spans="2:12">
      <c r="B53" s="1"/>
      <c r="D53" s="1"/>
      <c r="F53"/>
      <c r="L53" s="1"/>
    </row>
    <row r="54" spans="2:12">
      <c r="B54" s="1"/>
      <c r="D54" s="1"/>
      <c r="F54"/>
      <c r="L54" s="1"/>
    </row>
    <row r="55" spans="2:12">
      <c r="B55" s="1"/>
      <c r="D55" s="1"/>
      <c r="F55"/>
      <c r="L55" s="1"/>
    </row>
    <row r="56" spans="2:12">
      <c r="B56" s="1"/>
      <c r="D56" s="1"/>
      <c r="F56"/>
      <c r="L56" s="1"/>
    </row>
    <row r="57" spans="2:12">
      <c r="B57" s="1"/>
      <c r="D57" s="1"/>
      <c r="F57"/>
      <c r="L57" s="1"/>
    </row>
    <row r="58" spans="2:12">
      <c r="B58" s="1"/>
      <c r="D58" s="1"/>
      <c r="F58"/>
      <c r="L58" s="1"/>
    </row>
    <row r="59" spans="2:12">
      <c r="B59" s="1"/>
      <c r="D59" s="1"/>
      <c r="F59"/>
      <c r="L59" s="1"/>
    </row>
    <row r="60" spans="2:12">
      <c r="B60" s="1"/>
      <c r="D60" s="1"/>
      <c r="F60"/>
      <c r="L60" s="1"/>
    </row>
    <row r="61" spans="2:12">
      <c r="B61" s="1"/>
      <c r="D61" s="1"/>
      <c r="F61"/>
      <c r="L61" s="1"/>
    </row>
    <row r="62" spans="2:12">
      <c r="B62" s="1"/>
      <c r="D62" s="1"/>
      <c r="F62"/>
      <c r="L62" s="1"/>
    </row>
    <row r="63" spans="2:12">
      <c r="B63" s="1"/>
      <c r="D63" s="1"/>
      <c r="F63"/>
      <c r="L63" s="1"/>
    </row>
    <row r="64" spans="2:12">
      <c r="B64" s="1"/>
      <c r="D64" s="1"/>
      <c r="F64"/>
      <c r="L64" s="1"/>
    </row>
    <row r="65" spans="2:12">
      <c r="B65" s="1"/>
      <c r="D65" s="1"/>
      <c r="F65"/>
      <c r="L65" s="1"/>
    </row>
    <row r="66" spans="2:12">
      <c r="B66" s="1"/>
      <c r="D66" s="1"/>
      <c r="F66"/>
      <c r="L66" s="1"/>
    </row>
    <row r="67" spans="2:12" s="1" customFormat="1">
      <c r="F67"/>
    </row>
    <row r="68" spans="2:12" s="1" customFormat="1">
      <c r="F68"/>
    </row>
    <row r="69" spans="2:12" s="1" customFormat="1">
      <c r="F69"/>
    </row>
    <row r="70" spans="2:12" s="1" customFormat="1">
      <c r="F70"/>
    </row>
    <row r="71" spans="2:12" s="1" customFormat="1">
      <c r="F71"/>
    </row>
    <row r="72" spans="2:12" s="1" customFormat="1">
      <c r="F72"/>
    </row>
    <row r="73" spans="2:12" s="1" customFormat="1">
      <c r="F73"/>
    </row>
    <row r="74" spans="2:12" s="1" customFormat="1">
      <c r="F74"/>
    </row>
    <row r="75" spans="2:12" s="1" customFormat="1">
      <c r="F75"/>
    </row>
    <row r="76" spans="2:12" s="1" customFormat="1">
      <c r="F76"/>
    </row>
    <row r="77" spans="2:12" s="1" customFormat="1">
      <c r="F77"/>
    </row>
    <row r="78" spans="2:12" s="1" customFormat="1">
      <c r="F78"/>
    </row>
    <row r="79" spans="2:12" s="1" customFormat="1">
      <c r="F79"/>
    </row>
    <row r="80" spans="2:12" s="1" customFormat="1">
      <c r="F80"/>
    </row>
    <row r="81" spans="6:6" s="1" customFormat="1">
      <c r="F81"/>
    </row>
    <row r="82" spans="6:6" s="1" customFormat="1">
      <c r="F82"/>
    </row>
    <row r="83" spans="6:6" s="1" customFormat="1">
      <c r="F83"/>
    </row>
    <row r="84" spans="6:6" s="1" customFormat="1">
      <c r="F84"/>
    </row>
    <row r="85" spans="6:6" s="1" customFormat="1">
      <c r="F85"/>
    </row>
    <row r="86" spans="6:6" s="1" customFormat="1">
      <c r="F86"/>
    </row>
    <row r="87" spans="6:6" s="1" customFormat="1">
      <c r="F87"/>
    </row>
    <row r="88" spans="6:6" s="1" customFormat="1">
      <c r="F88"/>
    </row>
    <row r="89" spans="6:6" s="1" customFormat="1">
      <c r="F89"/>
    </row>
    <row r="90" spans="6:6" s="1" customFormat="1">
      <c r="F90"/>
    </row>
    <row r="91" spans="6:6" s="1" customFormat="1">
      <c r="F91"/>
    </row>
    <row r="92" spans="6:6" s="1" customFormat="1">
      <c r="F92"/>
    </row>
    <row r="93" spans="6:6" s="1" customFormat="1">
      <c r="F93"/>
    </row>
    <row r="94" spans="6:6" s="1" customFormat="1">
      <c r="F94" s="711"/>
    </row>
    <row r="95" spans="6:6" s="1" customFormat="1">
      <c r="F95" s="711"/>
    </row>
    <row r="96" spans="6:6" s="1" customFormat="1">
      <c r="F96" s="711"/>
    </row>
    <row r="97" spans="6:6" s="1" customFormat="1">
      <c r="F97" s="711"/>
    </row>
    <row r="98" spans="6:6" s="1" customFormat="1">
      <c r="F98" s="711"/>
    </row>
    <row r="99" spans="6:6" s="1" customFormat="1">
      <c r="F99" s="711"/>
    </row>
    <row r="100" spans="6:6" s="1" customFormat="1">
      <c r="F100" s="711"/>
    </row>
    <row r="101" spans="6:6" s="1" customFormat="1">
      <c r="F101" s="711"/>
    </row>
    <row r="102" spans="6:6" s="1" customFormat="1">
      <c r="F102" s="711"/>
    </row>
    <row r="103" spans="6:6" s="1" customFormat="1">
      <c r="F103" s="711"/>
    </row>
    <row r="104" spans="6:6" s="1" customFormat="1">
      <c r="F104" s="711"/>
    </row>
    <row r="105" spans="6:6" s="1" customFormat="1">
      <c r="F105" s="711"/>
    </row>
    <row r="106" spans="6:6" s="1" customFormat="1">
      <c r="F106" s="711"/>
    </row>
    <row r="107" spans="6:6" s="1" customFormat="1">
      <c r="F107" s="711"/>
    </row>
  </sheetData>
  <mergeCells count="2">
    <mergeCell ref="D43:L46"/>
    <mergeCell ref="D47:L47"/>
  </mergeCells>
  <pageMargins left="0.7" right="0.7" top="0.75" bottom="0.75" header="0.3" footer="0.3"/>
  <pageSetup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3024-4FB6-425E-879F-4BDCFAB522C0}">
  <sheetPr codeName="Sheet24"/>
  <dimension ref="A1:AF71"/>
  <sheetViews>
    <sheetView view="pageBreakPreview" zoomScale="60" zoomScaleNormal="80" workbookViewId="0">
      <selection activeCell="C1" sqref="C1"/>
    </sheetView>
  </sheetViews>
  <sheetFormatPr defaultColWidth="8.88671875" defaultRowHeight="15.75"/>
  <cols>
    <col min="1" max="1" width="7.33203125" style="38" bestFit="1" customWidth="1"/>
    <col min="2" max="2" width="3.21875" style="33" customWidth="1"/>
    <col min="3" max="3" width="67.6640625" style="33" customWidth="1"/>
    <col min="4" max="4" width="22" style="33" bestFit="1" customWidth="1"/>
    <col min="5" max="5" width="1" style="33" customWidth="1"/>
    <col min="6" max="6" width="15.44140625" style="38" customWidth="1"/>
    <col min="7" max="7" width="1.77734375" style="33" customWidth="1"/>
    <col min="8" max="8" width="12.77734375" style="33" customWidth="1"/>
    <col min="9" max="9" width="1.77734375" style="33" customWidth="1"/>
    <col min="10" max="10" width="12.77734375" style="33" customWidth="1"/>
    <col min="11" max="11" width="1.77734375" style="33" customWidth="1"/>
    <col min="12" max="12" width="21.109375" style="33" bestFit="1" customWidth="1"/>
    <col min="13" max="13" width="1.77734375" style="33" customWidth="1"/>
    <col min="14" max="14" width="11.77734375" style="33" bestFit="1" customWidth="1"/>
    <col min="15" max="15" width="1.77734375" style="33" customWidth="1"/>
    <col min="16" max="16" width="11.44140625" style="33" bestFit="1" customWidth="1"/>
    <col min="17" max="17" width="1.77734375" style="33" customWidth="1"/>
    <col min="18" max="18" width="11.77734375" style="33" bestFit="1" customWidth="1"/>
    <col min="19" max="19" width="1.77734375" style="33" customWidth="1"/>
    <col min="20" max="20" width="11.77734375" style="33" bestFit="1" customWidth="1"/>
    <col min="21" max="21" width="1.77734375" style="33" customWidth="1"/>
    <col min="22" max="22" width="11.5546875" style="33" bestFit="1" customWidth="1"/>
    <col min="23" max="23" width="1.77734375" style="33" customWidth="1"/>
    <col min="24" max="24" width="16" style="33" bestFit="1" customWidth="1"/>
    <col min="25" max="25" width="1.77734375" style="33" customWidth="1"/>
    <col min="26" max="26" width="12.6640625" style="33" bestFit="1" customWidth="1"/>
    <col min="27" max="27" width="1.77734375" style="33" customWidth="1"/>
    <col min="28" max="28" width="15.109375" style="33" bestFit="1" customWidth="1"/>
    <col min="29" max="29" width="1.77734375" style="33" customWidth="1"/>
    <col min="30" max="30" width="32" style="33" bestFit="1" customWidth="1"/>
    <col min="31" max="31" width="1.77734375" style="33" customWidth="1"/>
    <col min="32" max="32" width="13.44140625" style="33" bestFit="1" customWidth="1"/>
    <col min="33" max="16384" width="8.88671875" style="33"/>
  </cols>
  <sheetData>
    <row r="1" spans="1:32" ht="20.100000000000001" customHeight="1">
      <c r="B1" s="902"/>
      <c r="C1" s="902"/>
      <c r="D1" s="902"/>
      <c r="AD1" s="687" t="s">
        <v>957</v>
      </c>
    </row>
    <row r="2" spans="1:32" ht="20.100000000000001" customHeight="1">
      <c r="B2" s="902"/>
      <c r="C2" s="902"/>
      <c r="D2" s="902"/>
      <c r="AD2" s="687" t="s">
        <v>168</v>
      </c>
    </row>
    <row r="3" spans="1:32" ht="20.100000000000001" customHeight="1">
      <c r="B3" s="902"/>
      <c r="C3" s="902"/>
      <c r="D3" s="902"/>
      <c r="J3" s="903"/>
      <c r="K3" s="903"/>
      <c r="L3" s="904" t="s">
        <v>504</v>
      </c>
      <c r="M3" s="903"/>
      <c r="N3" s="903"/>
      <c r="AD3" s="905" t="s">
        <v>1303</v>
      </c>
    </row>
    <row r="4" spans="1:32" ht="20.100000000000001" customHeight="1">
      <c r="A4" s="41"/>
      <c r="B4" s="902"/>
      <c r="C4" s="902"/>
      <c r="D4" s="902"/>
    </row>
    <row r="5" spans="1:32">
      <c r="A5" s="906"/>
      <c r="B5" s="907"/>
      <c r="C5" s="908" t="s">
        <v>688</v>
      </c>
      <c r="D5" s="908" t="str">
        <f>"("&amp;CHAR(CODE(MID(C5,2,1))+1)&amp;")"</f>
        <v>(B)</v>
      </c>
      <c r="E5" s="907"/>
      <c r="F5" s="908" t="str">
        <f>"("&amp;CHAR(CODE(MID(D5,2,1))+1)&amp;")"</f>
        <v>(C)</v>
      </c>
      <c r="G5" s="907"/>
      <c r="H5" s="908" t="str">
        <f>"("&amp;CHAR(CODE(MID(F5,2,1))+1)&amp;")"</f>
        <v>(D)</v>
      </c>
      <c r="I5" s="907"/>
      <c r="J5" s="908" t="str">
        <f>"("&amp;CHAR(CODE(MID(H5,2,1))+1)&amp;")"</f>
        <v>(E)</v>
      </c>
      <c r="K5" s="907"/>
      <c r="L5" s="908" t="str">
        <f>"("&amp;CHAR(CODE(MID(J5,2,1))+1)&amp;")"</f>
        <v>(F)</v>
      </c>
      <c r="M5" s="907"/>
      <c r="N5" s="908" t="str">
        <f>"("&amp;CHAR(CODE(MID(L5,2,1))+1)&amp;")"</f>
        <v>(G)</v>
      </c>
      <c r="O5" s="907"/>
      <c r="P5" s="908" t="str">
        <f>"("&amp;CHAR(CODE(MID(N5,2,1))+1)&amp;")"</f>
        <v>(H)</v>
      </c>
      <c r="Q5" s="907"/>
      <c r="R5" s="908" t="str">
        <f>"("&amp;CHAR(CODE(MID(P5,2,1))+1)&amp;")"</f>
        <v>(I)</v>
      </c>
      <c r="S5" s="907"/>
      <c r="T5" s="908" t="str">
        <f>"("&amp;CHAR(CODE(MID(R5,2,1))+1)&amp;")"</f>
        <v>(J)</v>
      </c>
      <c r="U5" s="907"/>
      <c r="V5" s="908" t="str">
        <f>"("&amp;CHAR(CODE(MID(T5,2,1))+1)&amp;")"</f>
        <v>(K)</v>
      </c>
      <c r="W5" s="907"/>
      <c r="X5" s="908" t="str">
        <f>"("&amp;CHAR(CODE(MID(V5,2,1))+1)&amp;")"</f>
        <v>(L)</v>
      </c>
      <c r="Y5" s="907"/>
      <c r="Z5" s="908" t="str">
        <f>"("&amp;CHAR(CODE(MID(X5,2,1))+1)&amp;")"</f>
        <v>(M)</v>
      </c>
      <c r="AA5" s="907"/>
      <c r="AB5" s="908" t="str">
        <f>"("&amp;CHAR(CODE(MID(Z5,2,1))+1)&amp;")"</f>
        <v>(N)</v>
      </c>
      <c r="AC5" s="907"/>
      <c r="AD5" s="908" t="str">
        <f>"("&amp;CHAR(CODE(MID(AB5,2,1))+1)&amp;")"</f>
        <v>(O)</v>
      </c>
      <c r="AE5" s="907"/>
      <c r="AF5" s="908" t="str">
        <f>"("&amp;CHAR(CODE(MID(AD5,2,1))+1)&amp;")"</f>
        <v>(P)</v>
      </c>
    </row>
    <row r="6" spans="1:32">
      <c r="A6" s="906"/>
      <c r="B6" s="907"/>
      <c r="C6" s="907"/>
      <c r="D6" s="907"/>
      <c r="E6" s="907"/>
      <c r="F6" s="908"/>
      <c r="G6" s="907"/>
      <c r="H6" s="908"/>
      <c r="I6" s="907"/>
      <c r="J6" s="908"/>
      <c r="K6" s="907"/>
      <c r="L6" s="908"/>
      <c r="M6" s="907"/>
      <c r="N6" s="908"/>
      <c r="O6" s="907"/>
      <c r="P6" s="908"/>
      <c r="Q6" s="907"/>
      <c r="R6" s="908"/>
      <c r="S6" s="907"/>
      <c r="T6" s="908"/>
      <c r="U6" s="907"/>
      <c r="V6" s="908"/>
      <c r="W6" s="907"/>
      <c r="X6" s="908"/>
      <c r="Y6" s="907"/>
      <c r="Z6" s="908"/>
      <c r="AA6" s="907"/>
      <c r="AB6" s="908"/>
      <c r="AC6" s="906"/>
      <c r="AD6" s="908"/>
      <c r="AE6" s="906"/>
      <c r="AF6" s="906"/>
    </row>
    <row r="7" spans="1:32">
      <c r="A7" s="906"/>
      <c r="B7" s="907"/>
      <c r="C7" s="907"/>
      <c r="E7" s="907"/>
      <c r="F7" s="909">
        <v>2021</v>
      </c>
      <c r="G7" s="907"/>
      <c r="H7" s="910">
        <f>$F$7+1</f>
        <v>2022</v>
      </c>
      <c r="I7" s="907"/>
      <c r="J7" s="910">
        <f>$F$7+1</f>
        <v>2022</v>
      </c>
      <c r="K7" s="907"/>
      <c r="L7" s="910">
        <f>$F$7+1</f>
        <v>2022</v>
      </c>
      <c r="M7" s="907"/>
      <c r="N7" s="910">
        <f>$F$7+1</f>
        <v>2022</v>
      </c>
      <c r="O7" s="907"/>
      <c r="P7" s="910">
        <f>$F$7+1</f>
        <v>2022</v>
      </c>
      <c r="Q7" s="907"/>
      <c r="R7" s="910">
        <f>$F$7+1</f>
        <v>2022</v>
      </c>
      <c r="S7" s="907"/>
      <c r="T7" s="910">
        <f>$F$7+1</f>
        <v>2022</v>
      </c>
      <c r="U7" s="907"/>
      <c r="V7" s="910">
        <f>$F$7+1</f>
        <v>2022</v>
      </c>
      <c r="W7" s="907"/>
      <c r="X7" s="910">
        <f>$F$7+1</f>
        <v>2022</v>
      </c>
      <c r="Y7" s="907"/>
      <c r="Z7" s="910">
        <f>$F$7+1</f>
        <v>2022</v>
      </c>
      <c r="AA7" s="907"/>
      <c r="AB7" s="910">
        <f>$F$7+1</f>
        <v>2022</v>
      </c>
      <c r="AC7" s="907"/>
      <c r="AD7" s="910">
        <f>$F$7+1</f>
        <v>2022</v>
      </c>
      <c r="AE7" s="906"/>
      <c r="AF7" s="906"/>
    </row>
    <row r="8" spans="1:32" ht="20.100000000000001" customHeight="1">
      <c r="A8" s="911" t="s">
        <v>724</v>
      </c>
      <c r="B8" s="912"/>
      <c r="C8" s="913" t="s">
        <v>958</v>
      </c>
      <c r="D8" s="914" t="s">
        <v>959</v>
      </c>
      <c r="E8" s="915"/>
      <c r="F8" s="916" t="s">
        <v>216</v>
      </c>
      <c r="G8" s="912"/>
      <c r="H8" s="916" t="s">
        <v>727</v>
      </c>
      <c r="I8" s="912"/>
      <c r="J8" s="916" t="s">
        <v>728</v>
      </c>
      <c r="K8" s="912"/>
      <c r="L8" s="916" t="s">
        <v>729</v>
      </c>
      <c r="M8" s="912"/>
      <c r="N8" s="916" t="s">
        <v>730</v>
      </c>
      <c r="O8" s="912"/>
      <c r="P8" s="916" t="s">
        <v>731</v>
      </c>
      <c r="Q8" s="912"/>
      <c r="R8" s="916" t="s">
        <v>732</v>
      </c>
      <c r="S8" s="912"/>
      <c r="T8" s="916" t="s">
        <v>733</v>
      </c>
      <c r="U8" s="912"/>
      <c r="V8" s="916" t="s">
        <v>734</v>
      </c>
      <c r="W8" s="912"/>
      <c r="X8" s="916" t="s">
        <v>735</v>
      </c>
      <c r="Y8" s="912"/>
      <c r="Z8" s="916" t="s">
        <v>736</v>
      </c>
      <c r="AA8" s="912"/>
      <c r="AB8" s="916" t="s">
        <v>737</v>
      </c>
      <c r="AC8" s="912"/>
      <c r="AD8" s="916" t="s">
        <v>216</v>
      </c>
      <c r="AE8" s="917"/>
      <c r="AF8" s="918" t="s">
        <v>738</v>
      </c>
    </row>
    <row r="9" spans="1:32" ht="20.100000000000001" customHeight="1">
      <c r="A9" s="919"/>
      <c r="B9" s="912"/>
      <c r="C9" s="920"/>
      <c r="D9" s="920"/>
      <c r="E9" s="915"/>
      <c r="F9" s="921"/>
      <c r="G9" s="912"/>
      <c r="H9" s="921"/>
      <c r="I9" s="912"/>
      <c r="J9" s="921"/>
      <c r="K9" s="912"/>
      <c r="L9" s="921"/>
      <c r="M9" s="912"/>
      <c r="N9" s="921"/>
      <c r="O9" s="912"/>
      <c r="P9" s="921"/>
      <c r="Q9" s="912"/>
      <c r="R9" s="921"/>
      <c r="S9" s="912"/>
      <c r="T9" s="921"/>
      <c r="U9" s="912"/>
      <c r="V9" s="921"/>
      <c r="W9" s="912"/>
      <c r="X9" s="921"/>
      <c r="Y9" s="912"/>
      <c r="Z9" s="921"/>
      <c r="AA9" s="912"/>
      <c r="AB9" s="921"/>
      <c r="AC9" s="912"/>
      <c r="AD9" s="921"/>
      <c r="AE9" s="917"/>
      <c r="AF9" s="922"/>
    </row>
    <row r="10" spans="1:32" ht="20.100000000000001" customHeight="1">
      <c r="A10" s="923">
        <v>1</v>
      </c>
      <c r="B10" s="912"/>
      <c r="C10" s="924" t="s">
        <v>1079</v>
      </c>
      <c r="D10" s="925"/>
      <c r="E10" s="915"/>
      <c r="F10" s="922"/>
      <c r="G10" s="912"/>
      <c r="H10" s="922"/>
      <c r="I10" s="912"/>
      <c r="J10" s="922"/>
      <c r="K10" s="912"/>
      <c r="L10" s="922"/>
      <c r="M10" s="912"/>
      <c r="N10" s="922"/>
      <c r="O10" s="912"/>
      <c r="P10" s="922"/>
      <c r="Q10" s="912"/>
      <c r="R10" s="922"/>
      <c r="S10" s="912"/>
      <c r="T10" s="922"/>
      <c r="U10" s="912"/>
      <c r="V10" s="922"/>
      <c r="W10" s="912"/>
      <c r="X10" s="922"/>
      <c r="Y10" s="912"/>
      <c r="Z10" s="922"/>
      <c r="AA10" s="912"/>
      <c r="AB10" s="922"/>
      <c r="AC10" s="912"/>
      <c r="AD10" s="922"/>
      <c r="AE10" s="917"/>
      <c r="AF10" s="926"/>
    </row>
    <row r="11" spans="1:32" ht="10.5" customHeight="1">
      <c r="A11" s="906"/>
      <c r="B11" s="906"/>
      <c r="C11" s="927"/>
      <c r="D11" s="927"/>
      <c r="E11" s="915"/>
      <c r="F11" s="921"/>
      <c r="G11" s="912"/>
      <c r="H11" s="921"/>
      <c r="I11" s="912"/>
      <c r="J11" s="921"/>
      <c r="K11" s="912"/>
      <c r="L11" s="921"/>
      <c r="M11" s="912"/>
      <c r="N11" s="921"/>
      <c r="O11" s="912"/>
      <c r="P11" s="921"/>
      <c r="Q11" s="912"/>
      <c r="R11" s="921"/>
      <c r="S11" s="912"/>
      <c r="T11" s="921"/>
      <c r="U11" s="912"/>
      <c r="V11" s="921"/>
      <c r="W11" s="912"/>
      <c r="X11" s="921"/>
      <c r="Y11" s="912"/>
      <c r="Z11" s="921"/>
      <c r="AA11" s="912"/>
      <c r="AB11" s="921"/>
      <c r="AC11" s="912"/>
      <c r="AD11" s="921"/>
      <c r="AE11" s="917"/>
      <c r="AF11" s="922"/>
    </row>
    <row r="12" spans="1:32" ht="18.75" customHeight="1">
      <c r="A12" s="928">
        <v>1.01</v>
      </c>
      <c r="B12" s="906"/>
      <c r="C12" s="929" t="s">
        <v>1313</v>
      </c>
      <c r="D12" s="929" t="s">
        <v>52</v>
      </c>
      <c r="E12" s="915"/>
      <c r="F12" s="84">
        <f>372552.15*'Attachment H-11A '!$G$47</f>
        <v>60670.342947814526</v>
      </c>
      <c r="G12" s="912"/>
      <c r="H12" s="84">
        <f>542595.61*'Attachment H-11A '!$G$47</f>
        <v>88362.023251452498</v>
      </c>
      <c r="I12" s="912"/>
      <c r="J12" s="84">
        <f>498955.45*'Attachment H-11A '!$G$47</f>
        <v>81255.196801793049</v>
      </c>
      <c r="K12" s="912"/>
      <c r="L12" s="84">
        <f>482633.1*'Attachment H-11A '!$G$47</f>
        <v>78597.092232501847</v>
      </c>
      <c r="M12" s="912"/>
      <c r="N12" s="84">
        <f>465420.2*'Attachment H-11A '!$G$47</f>
        <v>75793.961057104156</v>
      </c>
      <c r="O12" s="912"/>
      <c r="P12" s="84">
        <f>424379.81*'Attachment H-11A '!$G$47</f>
        <v>69110.508724290994</v>
      </c>
      <c r="Q12" s="912"/>
      <c r="R12" s="84">
        <f>290968.24*'Attachment H-11A '!$G$47</f>
        <v>47384.353862196214</v>
      </c>
      <c r="S12" s="912"/>
      <c r="T12" s="84">
        <f>2247997.9*'Attachment H-11A '!$G$47</f>
        <v>366087.81760880147</v>
      </c>
      <c r="U12" s="912"/>
      <c r="V12" s="84">
        <f>1983520.1*'Attachment H-11A '!$G$47</f>
        <v>323017.44792207849</v>
      </c>
      <c r="W12" s="912"/>
      <c r="X12" s="84">
        <f>1757015.39*'Attachment H-11A '!$G$47</f>
        <v>286131.01890805911</v>
      </c>
      <c r="Y12" s="912"/>
      <c r="Z12" s="84">
        <f>1768634.1*'Attachment H-11A '!$G$47</f>
        <v>288023.13285857911</v>
      </c>
      <c r="AA12" s="912"/>
      <c r="AB12" s="84">
        <f>1547650.83*'Attachment H-11A '!$G$47</f>
        <v>252035.87368793818</v>
      </c>
      <c r="AC12" s="912"/>
      <c r="AD12" s="84">
        <f>1332184.04*'Attachment H-11A '!$G$47</f>
        <v>216946.97662167583</v>
      </c>
      <c r="AE12" s="917"/>
      <c r="AF12" s="926">
        <f>SUM(F12:AD12)/13</f>
        <v>171801.21126802199</v>
      </c>
    </row>
    <row r="13" spans="1:32" ht="18.75" customHeight="1">
      <c r="A13" s="928">
        <v>1.02</v>
      </c>
      <c r="B13" s="906"/>
      <c r="C13" s="929"/>
      <c r="D13" s="929"/>
      <c r="E13" s="915"/>
      <c r="F13" s="84"/>
      <c r="G13" s="912"/>
      <c r="H13" s="84"/>
      <c r="I13" s="912"/>
      <c r="J13" s="84"/>
      <c r="K13" s="912"/>
      <c r="L13" s="84"/>
      <c r="M13" s="912"/>
      <c r="N13" s="84"/>
      <c r="O13" s="912"/>
      <c r="P13" s="84"/>
      <c r="Q13" s="912"/>
      <c r="R13" s="84"/>
      <c r="S13" s="912"/>
      <c r="T13" s="84"/>
      <c r="U13" s="912"/>
      <c r="V13" s="84"/>
      <c r="W13" s="912"/>
      <c r="X13" s="84"/>
      <c r="Y13" s="912"/>
      <c r="Z13" s="84"/>
      <c r="AA13" s="912"/>
      <c r="AB13" s="84"/>
      <c r="AC13" s="912"/>
      <c r="AD13" s="84"/>
      <c r="AE13" s="917"/>
      <c r="AF13" s="926">
        <f>SUM(F13:AD13)/13</f>
        <v>0</v>
      </c>
    </row>
    <row r="14" spans="1:32" ht="20.100000000000001" customHeight="1">
      <c r="A14" s="906">
        <f>A10+1</f>
        <v>2</v>
      </c>
      <c r="B14" s="907"/>
      <c r="C14" s="385" t="str">
        <f ca="1">"Sum of Lines "&amp;A12&amp;" through "&amp;OFFSET(A14,-1,0)</f>
        <v>Sum of Lines 1.01 through 1.02</v>
      </c>
      <c r="E14" s="915"/>
      <c r="F14" s="931">
        <f>SUM(F12:F13)</f>
        <v>60670.342947814526</v>
      </c>
      <c r="G14" s="912"/>
      <c r="H14" s="931">
        <f>SUM(H12:H13)</f>
        <v>88362.023251452498</v>
      </c>
      <c r="I14" s="907"/>
      <c r="J14" s="931">
        <f>SUM(J12:J13)</f>
        <v>81255.196801793049</v>
      </c>
      <c r="K14" s="907"/>
      <c r="L14" s="931">
        <f>SUM(L12:L13)</f>
        <v>78597.092232501847</v>
      </c>
      <c r="M14" s="907"/>
      <c r="N14" s="931">
        <f>SUM(N12:N13)</f>
        <v>75793.961057104156</v>
      </c>
      <c r="O14" s="907"/>
      <c r="P14" s="931">
        <f>SUM(P12:P13)</f>
        <v>69110.508724290994</v>
      </c>
      <c r="Q14" s="907"/>
      <c r="R14" s="931">
        <f>SUM(R12:R13)</f>
        <v>47384.353862196214</v>
      </c>
      <c r="S14" s="907"/>
      <c r="T14" s="931">
        <f>SUM(T12:T13)</f>
        <v>366087.81760880147</v>
      </c>
      <c r="U14" s="907"/>
      <c r="V14" s="931">
        <f>SUM(V12:V13)</f>
        <v>323017.44792207849</v>
      </c>
      <c r="W14" s="907"/>
      <c r="X14" s="931">
        <f>SUM(X12:X13)</f>
        <v>286131.01890805911</v>
      </c>
      <c r="Y14" s="907"/>
      <c r="Z14" s="931">
        <f>SUM(Z12:Z13)</f>
        <v>288023.13285857911</v>
      </c>
      <c r="AA14" s="907"/>
      <c r="AB14" s="931">
        <f>SUM(AB12:AB13)</f>
        <v>252035.87368793818</v>
      </c>
      <c r="AC14" s="907"/>
      <c r="AD14" s="931">
        <f>SUM(AD12:AD13)</f>
        <v>216946.97662167583</v>
      </c>
      <c r="AE14" s="917"/>
      <c r="AF14" s="931">
        <f>SUM(AF12:AF13)</f>
        <v>171801.21126802199</v>
      </c>
    </row>
    <row r="15" spans="1:32" ht="20.100000000000001" customHeight="1">
      <c r="A15" s="906">
        <v>2.0099999999999998</v>
      </c>
      <c r="B15" s="907"/>
      <c r="C15" s="33" t="s">
        <v>1202</v>
      </c>
      <c r="E15" s="915"/>
      <c r="F15" s="1047"/>
      <c r="G15" s="912"/>
      <c r="H15" s="1046"/>
      <c r="I15" s="907"/>
      <c r="J15" s="1046"/>
      <c r="K15" s="907"/>
      <c r="L15" s="1046"/>
      <c r="M15" s="907"/>
      <c r="N15" s="1046"/>
      <c r="O15" s="907"/>
      <c r="P15" s="1046"/>
      <c r="Q15" s="907"/>
      <c r="R15" s="1046"/>
      <c r="S15" s="907"/>
      <c r="T15" s="1046"/>
      <c r="U15" s="907"/>
      <c r="V15" s="1046"/>
      <c r="W15" s="907"/>
      <c r="X15" s="1046"/>
      <c r="Y15" s="907"/>
      <c r="Z15" s="1046"/>
      <c r="AA15" s="907"/>
      <c r="AB15" s="1046"/>
      <c r="AC15" s="907"/>
      <c r="AD15" s="1047"/>
      <c r="AE15" s="917"/>
      <c r="AF15" s="1046"/>
    </row>
    <row r="16" spans="1:32" ht="20.100000000000001" customHeight="1">
      <c r="A16" s="906"/>
      <c r="B16" s="907"/>
      <c r="E16" s="915"/>
      <c r="F16" s="921"/>
      <c r="G16" s="912"/>
      <c r="H16" s="921"/>
      <c r="I16" s="912"/>
      <c r="J16" s="921"/>
      <c r="K16" s="912"/>
      <c r="L16" s="921"/>
      <c r="M16" s="912"/>
      <c r="N16" s="921"/>
      <c r="O16" s="912"/>
      <c r="P16" s="921"/>
      <c r="Q16" s="912"/>
      <c r="R16" s="921"/>
      <c r="S16" s="912"/>
      <c r="T16" s="921"/>
      <c r="U16" s="912"/>
      <c r="V16" s="921"/>
      <c r="W16" s="912"/>
      <c r="X16" s="921"/>
      <c r="Y16" s="912"/>
      <c r="Z16" s="921"/>
      <c r="AA16" s="912"/>
      <c r="AB16" s="921"/>
      <c r="AC16" s="912"/>
      <c r="AD16" s="921"/>
      <c r="AE16" s="917"/>
      <c r="AF16" s="922"/>
    </row>
    <row r="17" spans="1:32" ht="20.100000000000001" customHeight="1">
      <c r="A17" s="906">
        <f>A14+1</f>
        <v>3</v>
      </c>
      <c r="B17" s="906"/>
      <c r="C17" s="914" t="s">
        <v>960</v>
      </c>
      <c r="D17" s="932"/>
      <c r="E17" s="915"/>
      <c r="F17" s="930"/>
      <c r="G17" s="912"/>
      <c r="H17" s="930"/>
      <c r="I17" s="912"/>
      <c r="J17" s="930"/>
      <c r="K17" s="912"/>
      <c r="L17" s="930"/>
      <c r="M17" s="912"/>
      <c r="N17" s="930"/>
      <c r="O17" s="912"/>
      <c r="P17" s="930"/>
      <c r="Q17" s="912"/>
      <c r="R17" s="930"/>
      <c r="S17" s="912"/>
      <c r="T17" s="930"/>
      <c r="U17" s="912"/>
      <c r="V17" s="930"/>
      <c r="W17" s="912"/>
      <c r="X17" s="930"/>
      <c r="Y17" s="912"/>
      <c r="Z17" s="930"/>
      <c r="AA17" s="912"/>
      <c r="AB17" s="930"/>
      <c r="AC17" s="912"/>
      <c r="AD17" s="930"/>
      <c r="AE17" s="917"/>
      <c r="AF17" s="926">
        <f>SUM(F17:AD17)/13</f>
        <v>0</v>
      </c>
    </row>
    <row r="18" spans="1:32" ht="20.100000000000001" customHeight="1">
      <c r="A18" s="906"/>
      <c r="B18" s="906"/>
      <c r="C18" s="927" t="s">
        <v>961</v>
      </c>
      <c r="D18" s="933"/>
      <c r="E18" s="915"/>
      <c r="F18" s="930"/>
      <c r="G18" s="912"/>
      <c r="H18" s="921"/>
      <c r="I18" s="912"/>
      <c r="J18" s="921"/>
      <c r="K18" s="912"/>
      <c r="L18" s="921"/>
      <c r="M18" s="912"/>
      <c r="N18" s="921"/>
      <c r="O18" s="912"/>
      <c r="P18" s="921"/>
      <c r="Q18" s="912"/>
      <c r="R18" s="921"/>
      <c r="S18" s="912"/>
      <c r="T18" s="921"/>
      <c r="U18" s="912"/>
      <c r="V18" s="921"/>
      <c r="W18" s="912"/>
      <c r="X18" s="921"/>
      <c r="Y18" s="912"/>
      <c r="Z18" s="921"/>
      <c r="AA18" s="912"/>
      <c r="AB18" s="921"/>
      <c r="AC18" s="912"/>
      <c r="AD18" s="930"/>
      <c r="AE18" s="917"/>
      <c r="AF18" s="922"/>
    </row>
    <row r="19" spans="1:32" ht="20.100000000000001" customHeight="1">
      <c r="A19" s="906"/>
      <c r="B19" s="906"/>
      <c r="C19" s="927"/>
      <c r="D19" s="933"/>
      <c r="E19" s="915"/>
      <c r="F19" s="921"/>
      <c r="G19" s="912"/>
      <c r="H19" s="921"/>
      <c r="I19" s="912"/>
      <c r="J19" s="921"/>
      <c r="K19" s="912"/>
      <c r="L19" s="921"/>
      <c r="M19" s="912"/>
      <c r="N19" s="921"/>
      <c r="O19" s="912"/>
      <c r="P19" s="921"/>
      <c r="Q19" s="912"/>
      <c r="R19" s="921"/>
      <c r="S19" s="912"/>
      <c r="T19" s="921"/>
      <c r="U19" s="912"/>
      <c r="V19" s="921"/>
      <c r="W19" s="912"/>
      <c r="X19" s="921"/>
      <c r="Y19" s="912"/>
      <c r="Z19" s="921"/>
      <c r="AA19" s="912"/>
      <c r="AB19" s="921"/>
      <c r="AC19" s="912"/>
      <c r="AD19" s="921"/>
      <c r="AE19" s="917"/>
      <c r="AF19" s="922"/>
    </row>
    <row r="20" spans="1:32" ht="20.100000000000001" customHeight="1">
      <c r="A20" s="906">
        <f>A17+1</f>
        <v>4</v>
      </c>
      <c r="B20" s="906"/>
      <c r="C20" s="914" t="s">
        <v>962</v>
      </c>
      <c r="D20" s="932"/>
      <c r="E20" s="915"/>
      <c r="F20" s="930"/>
      <c r="G20" s="912"/>
      <c r="H20" s="930"/>
      <c r="I20" s="912"/>
      <c r="J20" s="930"/>
      <c r="K20" s="912"/>
      <c r="L20" s="930"/>
      <c r="M20" s="912"/>
      <c r="N20" s="930"/>
      <c r="O20" s="912"/>
      <c r="P20" s="930"/>
      <c r="Q20" s="912"/>
      <c r="R20" s="930"/>
      <c r="S20" s="912"/>
      <c r="T20" s="930"/>
      <c r="U20" s="912"/>
      <c r="V20" s="930"/>
      <c r="W20" s="912"/>
      <c r="X20" s="930"/>
      <c r="Y20" s="912"/>
      <c r="Z20" s="930"/>
      <c r="AA20" s="912"/>
      <c r="AB20" s="930"/>
      <c r="AC20" s="912"/>
      <c r="AD20" s="930"/>
      <c r="AE20" s="917"/>
      <c r="AF20" s="926">
        <f>SUM(F20:AD20)/13</f>
        <v>0</v>
      </c>
    </row>
    <row r="21" spans="1:32" ht="20.100000000000001" customHeight="1">
      <c r="A21" s="906"/>
      <c r="B21" s="906"/>
      <c r="C21" s="934" t="s">
        <v>963</v>
      </c>
      <c r="D21" s="934"/>
      <c r="E21" s="915"/>
      <c r="F21" s="930"/>
      <c r="G21" s="912"/>
      <c r="H21" s="921"/>
      <c r="I21" s="912"/>
      <c r="J21" s="921"/>
      <c r="K21" s="912"/>
      <c r="L21" s="921"/>
      <c r="M21" s="912"/>
      <c r="N21" s="921"/>
      <c r="O21" s="912"/>
      <c r="P21" s="921"/>
      <c r="Q21" s="912"/>
      <c r="R21" s="921"/>
      <c r="S21" s="912"/>
      <c r="T21" s="921"/>
      <c r="U21" s="912"/>
      <c r="V21" s="921"/>
      <c r="W21" s="912"/>
      <c r="X21" s="921"/>
      <c r="Y21" s="912"/>
      <c r="Z21" s="921"/>
      <c r="AA21" s="912"/>
      <c r="AB21" s="921"/>
      <c r="AC21" s="912"/>
      <c r="AD21" s="930"/>
      <c r="AE21" s="917"/>
      <c r="AF21" s="926"/>
    </row>
    <row r="22" spans="1:32" ht="20.100000000000001" customHeight="1">
      <c r="A22" s="906"/>
      <c r="B22" s="906"/>
      <c r="C22" s="934"/>
      <c r="D22" s="934"/>
      <c r="E22" s="915"/>
      <c r="F22" s="921"/>
      <c r="G22" s="912"/>
      <c r="H22" s="921"/>
      <c r="I22" s="912"/>
      <c r="J22" s="921"/>
      <c r="K22" s="912"/>
      <c r="L22" s="921"/>
      <c r="M22" s="912"/>
      <c r="N22" s="921"/>
      <c r="O22" s="912"/>
      <c r="P22" s="921"/>
      <c r="Q22" s="912"/>
      <c r="R22" s="921"/>
      <c r="S22" s="912"/>
      <c r="T22" s="921"/>
      <c r="U22" s="912"/>
      <c r="V22" s="921"/>
      <c r="W22" s="912"/>
      <c r="X22" s="921"/>
      <c r="Y22" s="912"/>
      <c r="Z22" s="921"/>
      <c r="AA22" s="912"/>
      <c r="AB22" s="921"/>
      <c r="AC22" s="912"/>
      <c r="AD22" s="921"/>
      <c r="AE22" s="917"/>
      <c r="AF22" s="922"/>
    </row>
    <row r="23" spans="1:32" ht="20.100000000000001" customHeight="1">
      <c r="A23" s="906"/>
      <c r="B23" s="906"/>
      <c r="C23" s="934"/>
      <c r="D23" s="934"/>
      <c r="E23" s="915"/>
      <c r="F23" s="921"/>
      <c r="G23" s="912"/>
      <c r="H23" s="921"/>
      <c r="I23" s="912"/>
      <c r="J23" s="921"/>
      <c r="K23" s="912"/>
      <c r="L23" s="921"/>
      <c r="M23" s="912"/>
      <c r="N23" s="921"/>
      <c r="O23" s="912"/>
      <c r="P23" s="921"/>
      <c r="Q23" s="912"/>
      <c r="R23" s="921"/>
      <c r="S23" s="912"/>
      <c r="T23" s="921"/>
      <c r="U23" s="912"/>
      <c r="V23" s="921"/>
      <c r="W23" s="912"/>
      <c r="X23" s="921"/>
      <c r="Y23" s="912"/>
      <c r="Z23" s="921"/>
      <c r="AA23" s="912"/>
      <c r="AB23" s="921"/>
      <c r="AC23" s="912"/>
      <c r="AD23" s="921"/>
      <c r="AE23" s="917"/>
      <c r="AF23" s="922"/>
    </row>
    <row r="24" spans="1:32" ht="20.100000000000001" customHeight="1">
      <c r="A24" s="923">
        <v>5</v>
      </c>
      <c r="B24" s="912"/>
      <c r="C24" s="935" t="s">
        <v>1203</v>
      </c>
      <c r="D24" s="935"/>
      <c r="E24" s="43"/>
      <c r="F24" s="43"/>
      <c r="G24" s="43"/>
      <c r="H24" s="43"/>
      <c r="I24" s="912"/>
      <c r="J24" s="936"/>
      <c r="K24" s="912"/>
      <c r="L24" s="936"/>
      <c r="M24" s="912"/>
      <c r="N24" s="936"/>
      <c r="O24" s="912"/>
      <c r="P24" s="936"/>
      <c r="Q24" s="912"/>
      <c r="R24" s="936"/>
      <c r="S24" s="912"/>
      <c r="T24" s="936"/>
      <c r="U24" s="912"/>
      <c r="V24" s="936"/>
      <c r="W24" s="912"/>
      <c r="X24" s="936"/>
      <c r="Y24" s="912"/>
      <c r="Z24" s="936"/>
      <c r="AA24" s="912"/>
      <c r="AB24" s="936"/>
      <c r="AC24" s="912"/>
      <c r="AD24" s="936"/>
      <c r="AE24" s="917"/>
      <c r="AF24" s="936"/>
    </row>
    <row r="25" spans="1:32" ht="20.100000000000001" customHeight="1">
      <c r="A25" s="923">
        <v>6</v>
      </c>
      <c r="B25" s="912"/>
      <c r="C25" s="925" t="s">
        <v>964</v>
      </c>
      <c r="D25" s="925"/>
      <c r="E25" s="912"/>
      <c r="F25" s="936"/>
      <c r="G25" s="912"/>
      <c r="H25" s="936"/>
      <c r="I25" s="912"/>
      <c r="J25" s="936"/>
      <c r="K25" s="912"/>
      <c r="L25" s="936"/>
      <c r="M25" s="912"/>
      <c r="N25" s="936"/>
      <c r="O25" s="912"/>
      <c r="P25" s="936"/>
      <c r="Q25" s="912"/>
      <c r="R25" s="936"/>
      <c r="S25" s="912"/>
      <c r="T25" s="936"/>
      <c r="U25" s="912"/>
      <c r="V25" s="936"/>
      <c r="W25" s="912"/>
      <c r="X25" s="936"/>
      <c r="Y25" s="912"/>
      <c r="Z25" s="936"/>
      <c r="AA25" s="912"/>
      <c r="AB25" s="936"/>
      <c r="AC25" s="912"/>
      <c r="AD25" s="936"/>
      <c r="AE25" s="917"/>
      <c r="AF25" s="936"/>
    </row>
    <row r="26" spans="1:32" ht="20.100000000000001" customHeight="1">
      <c r="A26" s="906"/>
      <c r="B26" s="906"/>
      <c r="C26" s="906"/>
      <c r="D26" s="906"/>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row>
    <row r="27" spans="1:32">
      <c r="A27" s="937">
        <f>A25+0.01</f>
        <v>6.01</v>
      </c>
      <c r="B27" s="907"/>
      <c r="C27" s="938" t="s">
        <v>1314</v>
      </c>
      <c r="D27" s="938" t="s">
        <v>35</v>
      </c>
      <c r="E27" s="907"/>
      <c r="F27" s="929">
        <f>-785000*'Attachment H-11A '!I213</f>
        <v>-73265.343591076729</v>
      </c>
      <c r="G27" s="907"/>
      <c r="H27" s="929">
        <f>-785000*'Attachment H-11A '!I213</f>
        <v>-73265.343591076729</v>
      </c>
      <c r="I27" s="907"/>
      <c r="J27" s="929">
        <f>-785000*'Attachment H-11A '!I213</f>
        <v>-73265.343591076729</v>
      </c>
      <c r="K27" s="907"/>
      <c r="L27" s="929">
        <f>-662000*'Attachment H-11A '!I213</f>
        <v>-61785.550901009934</v>
      </c>
      <c r="M27" s="907"/>
      <c r="N27" s="929">
        <f>-662000*'Attachment H-11A '!I213</f>
        <v>-61785.550901009934</v>
      </c>
      <c r="O27" s="907"/>
      <c r="P27" s="929">
        <f>-22000*'Attachment H-11A '!I213</f>
        <v>-2053.2962535078827</v>
      </c>
      <c r="Q27" s="907"/>
      <c r="R27" s="929">
        <f>-22000*'Attachment H-11A '!I213</f>
        <v>-2053.2962535078827</v>
      </c>
      <c r="S27" s="907"/>
      <c r="T27" s="929">
        <f>-2000*'Attachment H-11A '!I213</f>
        <v>-186.66329577344391</v>
      </c>
      <c r="U27" s="907"/>
      <c r="V27" s="929">
        <f>-95000*'Attachment H-11A '!I213</f>
        <v>-8866.5065492385856</v>
      </c>
      <c r="W27" s="907"/>
      <c r="X27" s="929">
        <f>-37000*'Attachment H-11A '!I213</f>
        <v>-3453.2709718087121</v>
      </c>
      <c r="Y27" s="907"/>
      <c r="Z27" s="929">
        <f>-2000*'Attachment H-11A '!I213</f>
        <v>-186.66329577344391</v>
      </c>
      <c r="AA27" s="907"/>
      <c r="AB27" s="929">
        <f>0*'Attachment H-11A '!I213</f>
        <v>0</v>
      </c>
      <c r="AC27" s="907"/>
      <c r="AD27" s="929">
        <f>-39000*'Attachment H-11A '!I213</f>
        <v>-3639.9342675821558</v>
      </c>
      <c r="AE27" s="907"/>
      <c r="AF27" s="926">
        <f>SUM(F27:AD27)/13</f>
        <v>-27985.135650957087</v>
      </c>
    </row>
    <row r="28" spans="1:32">
      <c r="A28" s="937">
        <f>A27+0.01</f>
        <v>6.02</v>
      </c>
      <c r="B28" s="907"/>
      <c r="C28" s="938" t="s">
        <v>1315</v>
      </c>
      <c r="D28" s="938" t="s">
        <v>35</v>
      </c>
      <c r="E28" s="907"/>
      <c r="F28" s="929">
        <f>-4642000.09*'Attachment H-11A '!I213</f>
        <v>-433245.5178900116</v>
      </c>
      <c r="G28" s="907"/>
      <c r="H28" s="929">
        <f>-4642000.09*'Attachment H-11A '!I213</f>
        <v>-433245.5178900116</v>
      </c>
      <c r="I28" s="907"/>
      <c r="J28" s="929">
        <f>-4642000.09*'Attachment H-11A '!I213</f>
        <v>-433245.5178900116</v>
      </c>
      <c r="K28" s="907"/>
      <c r="L28" s="929">
        <f>-4514666.64*'Attachment H-11A '!I213</f>
        <v>-421361.27717041003</v>
      </c>
      <c r="M28" s="907"/>
      <c r="N28" s="929">
        <f>-4514666.64*'Attachment H-11A '!I213</f>
        <v>-421361.27717041003</v>
      </c>
      <c r="O28" s="907"/>
      <c r="P28" s="929">
        <f>-4514666.64*'Attachment H-11A '!I213</f>
        <v>-421361.27717041003</v>
      </c>
      <c r="Q28" s="907"/>
      <c r="R28" s="929">
        <f>-4475724.24*'Attachment H-11A '!I213</f>
        <v>-417726.71880574623</v>
      </c>
      <c r="S28" s="907"/>
      <c r="T28" s="929">
        <f>-4475724.24*'Attachment H-11A '!I213</f>
        <v>-417726.71880574623</v>
      </c>
      <c r="U28" s="907"/>
      <c r="V28" s="929">
        <f>-4475724.24*'Attachment H-11A '!I213</f>
        <v>-417726.71880574623</v>
      </c>
      <c r="W28" s="907"/>
      <c r="X28" s="929">
        <f>-4463825.29*'Attachment H-11A '!I213</f>
        <v>-416616.17019412451</v>
      </c>
      <c r="Y28" s="907"/>
      <c r="Z28" s="929">
        <f>-4463825.29*'Attachment H-11A '!I213</f>
        <v>-416616.17019412451</v>
      </c>
      <c r="AA28" s="907"/>
      <c r="AB28" s="929">
        <f>-4463825.29*'Attachment H-11A '!I213</f>
        <v>-416616.17019412451</v>
      </c>
      <c r="AC28" s="907"/>
      <c r="AD28" s="929">
        <f>-4101997.96*'Attachment H-11A '!I213</f>
        <v>-382846.22923477174</v>
      </c>
      <c r="AE28" s="907"/>
      <c r="AF28" s="926">
        <f>SUM(F28:AD28)/13</f>
        <v>-419207.3293396653</v>
      </c>
    </row>
    <row r="29" spans="1:32">
      <c r="A29" s="906">
        <f>A25+1</f>
        <v>7</v>
      </c>
      <c r="B29" s="907"/>
      <c r="C29" s="938" t="str">
        <f ca="1">"Sum of Lines "&amp;A27&amp;" through "&amp;OFFSET(A29,-1,0)</f>
        <v>Sum of Lines 6.01 through 6.02</v>
      </c>
      <c r="D29" s="934"/>
      <c r="E29" s="907"/>
      <c r="F29" s="931">
        <f>SUM(F27:F28)</f>
        <v>-506510.86148108833</v>
      </c>
      <c r="G29" s="907"/>
      <c r="H29" s="931">
        <f>SUM(H27:H28)</f>
        <v>-506510.86148108833</v>
      </c>
      <c r="I29" s="907"/>
      <c r="J29" s="931">
        <f>SUM(J27:J28)</f>
        <v>-506510.86148108833</v>
      </c>
      <c r="K29" s="907"/>
      <c r="L29" s="931">
        <f>SUM(L27:L28)</f>
        <v>-483146.82807141996</v>
      </c>
      <c r="M29" s="907"/>
      <c r="N29" s="931">
        <f>SUM(N27:N28)</f>
        <v>-483146.82807141996</v>
      </c>
      <c r="O29" s="907"/>
      <c r="P29" s="931">
        <f>SUM(P27:P28)</f>
        <v>-423414.57342391793</v>
      </c>
      <c r="Q29" s="907"/>
      <c r="R29" s="931">
        <f>SUM(R27:R28)</f>
        <v>-419780.01505925413</v>
      </c>
      <c r="S29" s="907"/>
      <c r="T29" s="931">
        <f>SUM(T27:T28)</f>
        <v>-417913.38210151967</v>
      </c>
      <c r="U29" s="907"/>
      <c r="V29" s="931">
        <f>SUM(V27:V28)</f>
        <v>-426593.22535498481</v>
      </c>
      <c r="W29" s="907"/>
      <c r="X29" s="931">
        <f>SUM(X27:X28)</f>
        <v>-420069.44116593321</v>
      </c>
      <c r="Y29" s="907"/>
      <c r="Z29" s="931">
        <f>SUM(Z27:Z28)</f>
        <v>-416802.83348989795</v>
      </c>
      <c r="AA29" s="907"/>
      <c r="AB29" s="931">
        <f>SUM(AB27:AB28)</f>
        <v>-416616.17019412451</v>
      </c>
      <c r="AC29" s="907"/>
      <c r="AD29" s="931">
        <f>SUM(AD27:AD28)</f>
        <v>-386486.16350235388</v>
      </c>
      <c r="AE29" s="907"/>
      <c r="AF29" s="931">
        <f>SUM(AF27:AF28)</f>
        <v>-447192.46499062236</v>
      </c>
    </row>
    <row r="30" spans="1:32">
      <c r="A30" s="906"/>
      <c r="B30" s="906"/>
      <c r="C30" s="907"/>
      <c r="D30" s="907"/>
      <c r="E30" s="907"/>
      <c r="F30" s="926"/>
      <c r="G30" s="907"/>
      <c r="H30" s="926"/>
      <c r="I30" s="907"/>
      <c r="J30" s="926"/>
      <c r="K30" s="907"/>
      <c r="L30" s="926"/>
      <c r="M30" s="907"/>
      <c r="N30" s="926"/>
      <c r="O30" s="907"/>
      <c r="P30" s="926"/>
      <c r="Q30" s="907"/>
      <c r="R30" s="926"/>
      <c r="S30" s="907"/>
      <c r="T30" s="926"/>
      <c r="U30" s="907"/>
      <c r="V30" s="926"/>
      <c r="W30" s="907"/>
      <c r="X30" s="926"/>
      <c r="Y30" s="907"/>
      <c r="Z30" s="939"/>
      <c r="AA30" s="907"/>
      <c r="AB30" s="939"/>
      <c r="AC30" s="907"/>
      <c r="AD30" s="906"/>
      <c r="AE30" s="907"/>
      <c r="AF30" s="906"/>
    </row>
    <row r="31" spans="1:32">
      <c r="A31" s="923">
        <f>A29+1</f>
        <v>8</v>
      </c>
      <c r="B31" s="912"/>
      <c r="C31" s="925" t="s">
        <v>965</v>
      </c>
      <c r="D31" s="925"/>
      <c r="E31" s="912"/>
      <c r="F31" s="936"/>
      <c r="G31" s="912"/>
      <c r="H31" s="936"/>
      <c r="I31" s="912"/>
      <c r="J31" s="936"/>
      <c r="K31" s="912"/>
      <c r="L31" s="936"/>
      <c r="M31" s="912"/>
      <c r="N31" s="936"/>
      <c r="O31" s="912"/>
      <c r="P31" s="936"/>
      <c r="Q31" s="912"/>
      <c r="R31" s="936"/>
      <c r="S31" s="912"/>
      <c r="T31" s="936"/>
      <c r="U31" s="912"/>
      <c r="V31" s="936"/>
      <c r="W31" s="912"/>
      <c r="X31" s="936"/>
      <c r="Y31" s="912"/>
      <c r="Z31" s="936"/>
      <c r="AA31" s="912"/>
      <c r="AB31" s="936"/>
      <c r="AC31" s="912"/>
      <c r="AD31" s="936"/>
      <c r="AE31" s="917"/>
      <c r="AF31" s="936"/>
    </row>
    <row r="32" spans="1:32">
      <c r="A32" s="906"/>
      <c r="B32" s="906"/>
      <c r="C32" s="906"/>
      <c r="D32" s="906"/>
      <c r="E32" s="906"/>
      <c r="F32" s="906"/>
      <c r="G32" s="906"/>
      <c r="H32" s="906"/>
      <c r="I32" s="906"/>
      <c r="J32" s="906"/>
      <c r="K32" s="906"/>
      <c r="L32" s="906"/>
      <c r="M32" s="906"/>
      <c r="N32" s="906"/>
      <c r="O32" s="906"/>
      <c r="P32" s="906"/>
      <c r="Q32" s="906"/>
      <c r="R32" s="906"/>
      <c r="S32" s="906"/>
      <c r="T32" s="906"/>
      <c r="U32" s="906"/>
      <c r="V32" s="906"/>
      <c r="W32" s="906"/>
      <c r="X32" s="906"/>
      <c r="Y32" s="906"/>
      <c r="Z32" s="906"/>
      <c r="AA32" s="906"/>
      <c r="AB32" s="906"/>
      <c r="AC32" s="906"/>
      <c r="AD32" s="906"/>
      <c r="AE32" s="906"/>
      <c r="AF32" s="906"/>
    </row>
    <row r="33" spans="1:32">
      <c r="A33" s="937">
        <f>A31+0.01</f>
        <v>8.01</v>
      </c>
      <c r="B33" s="907"/>
      <c r="C33" s="938"/>
      <c r="D33" s="938"/>
      <c r="E33" s="907"/>
      <c r="F33" s="929"/>
      <c r="G33" s="907"/>
      <c r="H33" s="929"/>
      <c r="I33" s="907"/>
      <c r="J33" s="929"/>
      <c r="K33" s="907"/>
      <c r="L33" s="929"/>
      <c r="M33" s="907"/>
      <c r="N33" s="929"/>
      <c r="O33" s="907"/>
      <c r="P33" s="929"/>
      <c r="Q33" s="907"/>
      <c r="R33" s="929"/>
      <c r="S33" s="907"/>
      <c r="T33" s="929"/>
      <c r="U33" s="907"/>
      <c r="V33" s="929"/>
      <c r="W33" s="907"/>
      <c r="X33" s="929"/>
      <c r="Y33" s="907"/>
      <c r="Z33" s="929"/>
      <c r="AA33" s="907"/>
      <c r="AB33" s="929"/>
      <c r="AC33" s="907"/>
      <c r="AD33" s="929"/>
      <c r="AE33" s="907"/>
      <c r="AF33" s="926">
        <f>SUM(F33:AD33)/13</f>
        <v>0</v>
      </c>
    </row>
    <row r="34" spans="1:32">
      <c r="A34" s="937">
        <f>A33+0.01</f>
        <v>8.02</v>
      </c>
      <c r="B34" s="907"/>
      <c r="C34" s="938"/>
      <c r="D34" s="938"/>
      <c r="E34" s="907"/>
      <c r="F34" s="929"/>
      <c r="G34" s="907"/>
      <c r="H34" s="929"/>
      <c r="I34" s="907"/>
      <c r="J34" s="929"/>
      <c r="K34" s="907"/>
      <c r="L34" s="929"/>
      <c r="M34" s="907"/>
      <c r="N34" s="929"/>
      <c r="O34" s="907"/>
      <c r="P34" s="929"/>
      <c r="Q34" s="907"/>
      <c r="R34" s="929"/>
      <c r="S34" s="907"/>
      <c r="T34" s="929"/>
      <c r="U34" s="907"/>
      <c r="V34" s="929"/>
      <c r="W34" s="907"/>
      <c r="X34" s="929"/>
      <c r="Y34" s="907"/>
      <c r="Z34" s="929"/>
      <c r="AA34" s="907"/>
      <c r="AB34" s="929"/>
      <c r="AC34" s="907"/>
      <c r="AD34" s="929"/>
      <c r="AE34" s="907"/>
      <c r="AF34" s="926">
        <f>SUM(F34:AD34)/13</f>
        <v>0</v>
      </c>
    </row>
    <row r="35" spans="1:32">
      <c r="A35" s="906">
        <f>A31+1</f>
        <v>9</v>
      </c>
      <c r="B35" s="907"/>
      <c r="C35" s="938" t="str">
        <f ca="1">"Sum of Lines "&amp;A33&amp;" through "&amp;OFFSET(A35,-1,0)</f>
        <v>Sum of Lines 8.01 through 8.02</v>
      </c>
      <c r="D35" s="934"/>
      <c r="E35" s="907"/>
      <c r="F35" s="931">
        <f>SUM(F33:F34)</f>
        <v>0</v>
      </c>
      <c r="G35" s="907"/>
      <c r="H35" s="931">
        <f>SUM(H33:H34)</f>
        <v>0</v>
      </c>
      <c r="I35" s="907"/>
      <c r="J35" s="931">
        <f>SUM(J33:J34)</f>
        <v>0</v>
      </c>
      <c r="K35" s="907"/>
      <c r="L35" s="931">
        <f>SUM(L33:L34)</f>
        <v>0</v>
      </c>
      <c r="M35" s="907"/>
      <c r="N35" s="931">
        <f>SUM(N33:N34)</f>
        <v>0</v>
      </c>
      <c r="O35" s="907"/>
      <c r="P35" s="931">
        <f>SUM(P33:P34)</f>
        <v>0</v>
      </c>
      <c r="Q35" s="907"/>
      <c r="R35" s="931">
        <f>SUM(R33:R34)</f>
        <v>0</v>
      </c>
      <c r="S35" s="907"/>
      <c r="T35" s="931">
        <f>SUM(T33:T34)</f>
        <v>0</v>
      </c>
      <c r="U35" s="907"/>
      <c r="V35" s="931">
        <f>SUM(V33:V34)</f>
        <v>0</v>
      </c>
      <c r="W35" s="907"/>
      <c r="X35" s="931">
        <f>SUM(X33:X34)</f>
        <v>0</v>
      </c>
      <c r="Y35" s="907"/>
      <c r="Z35" s="931">
        <f>SUM(Z33:Z34)</f>
        <v>0</v>
      </c>
      <c r="AA35" s="907"/>
      <c r="AB35" s="931">
        <f>SUM(AB33:AB34)</f>
        <v>0</v>
      </c>
      <c r="AC35" s="907"/>
      <c r="AD35" s="931">
        <f>SUM(AD33:AD34)</f>
        <v>0</v>
      </c>
      <c r="AE35" s="907"/>
      <c r="AF35" s="931">
        <f>SUM(AF33:AF34)</f>
        <v>0</v>
      </c>
    </row>
    <row r="36" spans="1:32">
      <c r="A36" s="906"/>
      <c r="B36" s="906"/>
      <c r="C36" s="907"/>
      <c r="D36" s="907"/>
      <c r="E36" s="907"/>
      <c r="F36" s="926"/>
      <c r="G36" s="907"/>
      <c r="H36" s="926"/>
      <c r="I36" s="907"/>
      <c r="J36" s="926"/>
      <c r="K36" s="907"/>
      <c r="L36" s="926"/>
      <c r="M36" s="907"/>
      <c r="N36" s="926"/>
      <c r="O36" s="907"/>
      <c r="P36" s="926"/>
      <c r="Q36" s="907"/>
      <c r="R36" s="926"/>
      <c r="S36" s="907"/>
      <c r="T36" s="926"/>
      <c r="U36" s="907"/>
      <c r="V36" s="926"/>
      <c r="W36" s="907"/>
      <c r="X36" s="926"/>
      <c r="Y36" s="907"/>
      <c r="Z36" s="926"/>
      <c r="AA36" s="907"/>
      <c r="AB36" s="926"/>
      <c r="AC36" s="907"/>
      <c r="AD36" s="906"/>
      <c r="AE36" s="907"/>
      <c r="AF36" s="906"/>
    </row>
    <row r="37" spans="1:32">
      <c r="A37" s="923">
        <f>A35+1</f>
        <v>10</v>
      </c>
      <c r="B37" s="912"/>
      <c r="C37" s="925" t="s">
        <v>966</v>
      </c>
      <c r="D37" s="925"/>
      <c r="E37" s="912"/>
      <c r="F37" s="936"/>
      <c r="G37" s="912"/>
      <c r="H37" s="936"/>
      <c r="I37" s="912"/>
      <c r="J37" s="936"/>
      <c r="K37" s="912"/>
      <c r="L37" s="936"/>
      <c r="M37" s="912"/>
      <c r="N37" s="936"/>
      <c r="O37" s="912"/>
      <c r="P37" s="936"/>
      <c r="Q37" s="912"/>
      <c r="R37" s="936"/>
      <c r="S37" s="912"/>
      <c r="T37" s="936"/>
      <c r="U37" s="912"/>
      <c r="V37" s="936"/>
      <c r="W37" s="912"/>
      <c r="X37" s="936"/>
      <c r="Y37" s="912"/>
      <c r="Z37" s="936"/>
      <c r="AA37" s="912"/>
      <c r="AB37" s="936"/>
      <c r="AC37" s="912"/>
      <c r="AD37" s="936"/>
      <c r="AE37" s="917"/>
      <c r="AF37" s="936"/>
    </row>
    <row r="38" spans="1:32">
      <c r="A38" s="906"/>
      <c r="B38" s="906"/>
      <c r="C38" s="906"/>
      <c r="D38" s="906"/>
      <c r="E38" s="906"/>
      <c r="F38" s="906"/>
      <c r="G38" s="906"/>
      <c r="H38" s="906"/>
      <c r="I38" s="906"/>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6"/>
    </row>
    <row r="39" spans="1:32">
      <c r="A39" s="937">
        <f>A37+0.01</f>
        <v>10.01</v>
      </c>
      <c r="B39" s="907"/>
      <c r="C39" s="938"/>
      <c r="D39" s="938"/>
      <c r="E39" s="907"/>
      <c r="F39" s="929"/>
      <c r="G39" s="907"/>
      <c r="H39" s="929"/>
      <c r="I39" s="907"/>
      <c r="J39" s="929"/>
      <c r="K39" s="907"/>
      <c r="L39" s="929"/>
      <c r="M39" s="907"/>
      <c r="N39" s="929"/>
      <c r="O39" s="907"/>
      <c r="P39" s="929"/>
      <c r="Q39" s="907"/>
      <c r="R39" s="929"/>
      <c r="S39" s="907"/>
      <c r="T39" s="929"/>
      <c r="U39" s="907"/>
      <c r="V39" s="929"/>
      <c r="W39" s="907"/>
      <c r="X39" s="929"/>
      <c r="Y39" s="907"/>
      <c r="Z39" s="929"/>
      <c r="AA39" s="907"/>
      <c r="AB39" s="929"/>
      <c r="AC39" s="907"/>
      <c r="AD39" s="929"/>
      <c r="AE39" s="907"/>
      <c r="AF39" s="926">
        <f>SUM(F39:AD39)/13</f>
        <v>0</v>
      </c>
    </row>
    <row r="40" spans="1:32">
      <c r="A40" s="937">
        <f>A39+0.01</f>
        <v>10.02</v>
      </c>
      <c r="B40" s="907"/>
      <c r="C40" s="938"/>
      <c r="D40" s="938"/>
      <c r="E40" s="907"/>
      <c r="F40" s="929"/>
      <c r="G40" s="907"/>
      <c r="H40" s="929"/>
      <c r="I40" s="907"/>
      <c r="J40" s="929"/>
      <c r="K40" s="907"/>
      <c r="L40" s="929"/>
      <c r="M40" s="907"/>
      <c r="N40" s="929"/>
      <c r="O40" s="907"/>
      <c r="P40" s="929"/>
      <c r="Q40" s="907"/>
      <c r="R40" s="929"/>
      <c r="S40" s="907"/>
      <c r="T40" s="929"/>
      <c r="U40" s="907"/>
      <c r="V40" s="929"/>
      <c r="W40" s="907"/>
      <c r="X40" s="929"/>
      <c r="Y40" s="907"/>
      <c r="Z40" s="929"/>
      <c r="AA40" s="907"/>
      <c r="AB40" s="929"/>
      <c r="AC40" s="907"/>
      <c r="AD40" s="929"/>
      <c r="AE40" s="907"/>
      <c r="AF40" s="926">
        <f>SUM(F40:AD40)/13</f>
        <v>0</v>
      </c>
    </row>
    <row r="41" spans="1:32">
      <c r="A41" s="906">
        <f>A37+1</f>
        <v>11</v>
      </c>
      <c r="B41" s="907"/>
      <c r="C41" s="938" t="str">
        <f ca="1">"Sum of Lines "&amp;A39&amp;" through "&amp;OFFSET(A41,-1,0)</f>
        <v>Sum of Lines 10.01 through 10.02</v>
      </c>
      <c r="D41" s="934"/>
      <c r="E41" s="907"/>
      <c r="F41" s="931">
        <f>SUM(F39:F40)</f>
        <v>0</v>
      </c>
      <c r="G41" s="907"/>
      <c r="H41" s="931">
        <f>SUM(H39:H40)</f>
        <v>0</v>
      </c>
      <c r="I41" s="907"/>
      <c r="J41" s="931">
        <f>SUM(J39:J40)</f>
        <v>0</v>
      </c>
      <c r="K41" s="907"/>
      <c r="L41" s="931">
        <f>SUM(L39:L40)</f>
        <v>0</v>
      </c>
      <c r="M41" s="907"/>
      <c r="N41" s="931">
        <f>SUM(N39:N40)</f>
        <v>0</v>
      </c>
      <c r="O41" s="907"/>
      <c r="P41" s="931">
        <f>SUM(P39:P40)</f>
        <v>0</v>
      </c>
      <c r="Q41" s="907"/>
      <c r="R41" s="931">
        <f>SUM(R39:R40)</f>
        <v>0</v>
      </c>
      <c r="S41" s="907"/>
      <c r="T41" s="931">
        <f>SUM(T39:T40)</f>
        <v>0</v>
      </c>
      <c r="U41" s="907"/>
      <c r="V41" s="931">
        <f>SUM(V39:V40)</f>
        <v>0</v>
      </c>
      <c r="W41" s="907"/>
      <c r="X41" s="931">
        <f>SUM(X39:X40)</f>
        <v>0</v>
      </c>
      <c r="Y41" s="907"/>
      <c r="Z41" s="931">
        <f>SUM(Z39:Z40)</f>
        <v>0</v>
      </c>
      <c r="AA41" s="907"/>
      <c r="AB41" s="931">
        <f>SUM(AB39:AB40)</f>
        <v>0</v>
      </c>
      <c r="AC41" s="907"/>
      <c r="AD41" s="931">
        <f>SUM(AD39:AD40)</f>
        <v>0</v>
      </c>
      <c r="AE41" s="907"/>
      <c r="AF41" s="931">
        <f>SUM(AF39:AF40)</f>
        <v>0</v>
      </c>
    </row>
    <row r="42" spans="1:32">
      <c r="A42" s="906"/>
      <c r="B42" s="906"/>
      <c r="C42" s="907"/>
      <c r="D42" s="907"/>
      <c r="E42" s="907"/>
      <c r="F42" s="926"/>
      <c r="G42" s="907"/>
      <c r="H42" s="926"/>
      <c r="I42" s="907"/>
      <c r="J42" s="926"/>
      <c r="K42" s="907"/>
      <c r="L42" s="926"/>
      <c r="M42" s="907"/>
      <c r="N42" s="926"/>
      <c r="O42" s="907"/>
      <c r="P42" s="926"/>
      <c r="Q42" s="907"/>
      <c r="R42" s="926"/>
      <c r="S42" s="907"/>
      <c r="T42" s="926"/>
      <c r="U42" s="907"/>
      <c r="V42" s="926"/>
      <c r="W42" s="907"/>
      <c r="X42" s="926"/>
      <c r="Y42" s="907"/>
      <c r="Z42" s="926"/>
      <c r="AA42" s="907"/>
      <c r="AB42" s="926"/>
      <c r="AC42" s="907"/>
      <c r="AD42" s="906"/>
      <c r="AE42" s="907"/>
      <c r="AF42" s="906"/>
    </row>
    <row r="43" spans="1:32">
      <c r="A43" s="923">
        <f>A41+1</f>
        <v>12</v>
      </c>
      <c r="B43" s="912"/>
      <c r="C43" s="925" t="s">
        <v>967</v>
      </c>
      <c r="D43" s="925"/>
      <c r="E43" s="912"/>
      <c r="F43" s="936"/>
      <c r="G43" s="912"/>
      <c r="H43" s="936"/>
      <c r="I43" s="912"/>
      <c r="J43" s="936"/>
      <c r="K43" s="912"/>
      <c r="L43" s="936"/>
      <c r="M43" s="912"/>
      <c r="N43" s="936"/>
      <c r="O43" s="912"/>
      <c r="P43" s="936"/>
      <c r="Q43" s="912"/>
      <c r="R43" s="936"/>
      <c r="S43" s="912"/>
      <c r="T43" s="936"/>
      <c r="U43" s="912"/>
      <c r="V43" s="936"/>
      <c r="W43" s="912"/>
      <c r="X43" s="936"/>
      <c r="Y43" s="912"/>
      <c r="Z43" s="936"/>
      <c r="AA43" s="912"/>
      <c r="AB43" s="936"/>
      <c r="AC43" s="912"/>
      <c r="AD43" s="936"/>
      <c r="AE43" s="917"/>
      <c r="AF43" s="936"/>
    </row>
    <row r="44" spans="1:32">
      <c r="A44" s="90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row>
    <row r="45" spans="1:32">
      <c r="A45" s="937">
        <f>A43+0.01</f>
        <v>12.01</v>
      </c>
      <c r="B45" s="907"/>
      <c r="C45" s="938"/>
      <c r="D45" s="938"/>
      <c r="E45" s="907"/>
      <c r="F45" s="929"/>
      <c r="G45" s="907"/>
      <c r="H45" s="929"/>
      <c r="I45" s="907"/>
      <c r="J45" s="929"/>
      <c r="K45" s="907"/>
      <c r="L45" s="929"/>
      <c r="M45" s="907"/>
      <c r="N45" s="929"/>
      <c r="O45" s="907"/>
      <c r="P45" s="929"/>
      <c r="Q45" s="907"/>
      <c r="R45" s="929"/>
      <c r="S45" s="907"/>
      <c r="T45" s="929"/>
      <c r="U45" s="907"/>
      <c r="V45" s="929"/>
      <c r="W45" s="907"/>
      <c r="X45" s="929"/>
      <c r="Y45" s="907"/>
      <c r="Z45" s="929"/>
      <c r="AA45" s="907"/>
      <c r="AB45" s="929"/>
      <c r="AC45" s="907"/>
      <c r="AD45" s="929"/>
      <c r="AE45" s="907"/>
      <c r="AF45" s="926">
        <f>SUM(F45:AD45)/13</f>
        <v>0</v>
      </c>
    </row>
    <row r="46" spans="1:32">
      <c r="A46" s="937">
        <f>A45+0.01</f>
        <v>12.02</v>
      </c>
      <c r="B46" s="907"/>
      <c r="C46" s="938"/>
      <c r="D46" s="938"/>
      <c r="E46" s="907"/>
      <c r="F46" s="929"/>
      <c r="G46" s="907"/>
      <c r="H46" s="929"/>
      <c r="I46" s="907"/>
      <c r="J46" s="929"/>
      <c r="K46" s="907"/>
      <c r="L46" s="929"/>
      <c r="M46" s="907"/>
      <c r="N46" s="929"/>
      <c r="O46" s="907"/>
      <c r="P46" s="929"/>
      <c r="Q46" s="907"/>
      <c r="R46" s="929"/>
      <c r="S46" s="907"/>
      <c r="T46" s="929"/>
      <c r="U46" s="907"/>
      <c r="V46" s="929"/>
      <c r="W46" s="907"/>
      <c r="X46" s="929"/>
      <c r="Y46" s="907"/>
      <c r="Z46" s="929"/>
      <c r="AA46" s="907"/>
      <c r="AB46" s="929"/>
      <c r="AC46" s="907"/>
      <c r="AD46" s="929"/>
      <c r="AE46" s="907"/>
      <c r="AF46" s="926">
        <f>SUM(F46:AD46)/13</f>
        <v>0</v>
      </c>
    </row>
    <row r="47" spans="1:32">
      <c r="A47" s="906">
        <f>A43+1</f>
        <v>13</v>
      </c>
      <c r="B47" s="907"/>
      <c r="C47" s="938" t="str">
        <f ca="1">"Sum of Lines "&amp;A45&amp;" through "&amp;OFFSET(A47,-1,0)</f>
        <v>Sum of Lines 12.01 through 12.02</v>
      </c>
      <c r="D47" s="934"/>
      <c r="E47" s="907"/>
      <c r="F47" s="931">
        <f>SUM(F45:F46)</f>
        <v>0</v>
      </c>
      <c r="G47" s="907"/>
      <c r="H47" s="931">
        <f>SUM(H45:H46)</f>
        <v>0</v>
      </c>
      <c r="I47" s="907"/>
      <c r="J47" s="931">
        <f>SUM(J45:J46)</f>
        <v>0</v>
      </c>
      <c r="K47" s="907"/>
      <c r="L47" s="931">
        <f>SUM(L45:L46)</f>
        <v>0</v>
      </c>
      <c r="M47" s="907"/>
      <c r="N47" s="931">
        <f>SUM(N45:N46)</f>
        <v>0</v>
      </c>
      <c r="O47" s="907"/>
      <c r="P47" s="931">
        <f>SUM(P45:P46)</f>
        <v>0</v>
      </c>
      <c r="Q47" s="907"/>
      <c r="R47" s="931">
        <f>SUM(R45:R46)</f>
        <v>0</v>
      </c>
      <c r="S47" s="907"/>
      <c r="T47" s="931">
        <f>SUM(T45:T46)</f>
        <v>0</v>
      </c>
      <c r="U47" s="907"/>
      <c r="V47" s="931">
        <f>SUM(V45:V46)</f>
        <v>0</v>
      </c>
      <c r="W47" s="907"/>
      <c r="X47" s="931">
        <f>SUM(X45:X46)</f>
        <v>0</v>
      </c>
      <c r="Y47" s="907"/>
      <c r="Z47" s="931">
        <f>SUM(Z45:Z46)</f>
        <v>0</v>
      </c>
      <c r="AA47" s="907"/>
      <c r="AB47" s="931">
        <f>SUM(AB45:AB46)</f>
        <v>0</v>
      </c>
      <c r="AC47" s="907"/>
      <c r="AD47" s="931">
        <f>SUM(AD45:AD46)</f>
        <v>0</v>
      </c>
      <c r="AE47" s="907"/>
      <c r="AF47" s="931">
        <f>SUM(AF45:AF46)</f>
        <v>0</v>
      </c>
    </row>
    <row r="48" spans="1:32">
      <c r="A48" s="906"/>
      <c r="B48" s="906"/>
      <c r="C48" s="907"/>
      <c r="D48" s="907"/>
      <c r="E48" s="907"/>
      <c r="F48" s="926"/>
      <c r="G48" s="907"/>
      <c r="H48" s="926"/>
      <c r="I48" s="907"/>
      <c r="J48" s="926"/>
      <c r="K48" s="907"/>
      <c r="L48" s="926"/>
      <c r="M48" s="907"/>
      <c r="N48" s="926"/>
      <c r="O48" s="907"/>
      <c r="P48" s="926"/>
      <c r="Q48" s="907"/>
      <c r="R48" s="926"/>
      <c r="S48" s="907"/>
      <c r="T48" s="926"/>
      <c r="U48" s="907"/>
      <c r="V48" s="926"/>
      <c r="W48" s="907"/>
      <c r="X48" s="926"/>
      <c r="Y48" s="907"/>
      <c r="Z48" s="926"/>
      <c r="AA48" s="907"/>
      <c r="AB48" s="926"/>
      <c r="AC48" s="907"/>
      <c r="AD48" s="906"/>
      <c r="AE48" s="907"/>
      <c r="AF48" s="906"/>
    </row>
    <row r="49" spans="1:32">
      <c r="A49" s="923">
        <f>A47+1</f>
        <v>14</v>
      </c>
      <c r="B49" s="912"/>
      <c r="C49" s="925" t="s">
        <v>968</v>
      </c>
      <c r="D49" s="925"/>
      <c r="E49" s="912"/>
      <c r="F49" s="936"/>
      <c r="G49" s="912"/>
      <c r="H49" s="936"/>
      <c r="I49" s="912"/>
      <c r="J49" s="936"/>
      <c r="K49" s="912"/>
      <c r="L49" s="936"/>
      <c r="M49" s="912"/>
      <c r="N49" s="936"/>
      <c r="O49" s="912"/>
      <c r="P49" s="936"/>
      <c r="Q49" s="912"/>
      <c r="R49" s="936"/>
      <c r="S49" s="912"/>
      <c r="T49" s="936"/>
      <c r="U49" s="912"/>
      <c r="V49" s="936"/>
      <c r="W49" s="912"/>
      <c r="X49" s="936"/>
      <c r="Y49" s="912"/>
      <c r="Z49" s="936"/>
      <c r="AA49" s="912"/>
      <c r="AB49" s="936"/>
      <c r="AC49" s="912"/>
      <c r="AD49" s="936"/>
      <c r="AE49" s="917"/>
      <c r="AF49" s="936"/>
    </row>
    <row r="50" spans="1:32">
      <c r="A50" s="906"/>
      <c r="B50" s="906"/>
      <c r="C50" s="906"/>
      <c r="D50" s="906"/>
      <c r="E50" s="906"/>
      <c r="F50" s="906"/>
      <c r="G50" s="906"/>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row>
    <row r="51" spans="1:32">
      <c r="A51" s="937">
        <f>A49+0.01</f>
        <v>14.01</v>
      </c>
      <c r="B51" s="907"/>
      <c r="C51" s="938" t="s">
        <v>1316</v>
      </c>
      <c r="D51" s="938" t="s">
        <v>35</v>
      </c>
      <c r="E51" s="907"/>
      <c r="F51" s="929">
        <f>-6959123*'Attachment H-11A '!I213</f>
        <v>-649506.41743638809</v>
      </c>
      <c r="G51" s="907"/>
      <c r="H51" s="929">
        <f>-7763280*'Attachment H-11A '!I213</f>
        <v>-724559.71540603077</v>
      </c>
      <c r="I51" s="907"/>
      <c r="J51" s="929">
        <f>-909050*'Attachment H-11A '!I213</f>
        <v>-84843.134511424592</v>
      </c>
      <c r="K51" s="907"/>
      <c r="L51" s="929">
        <f>-971136*'Attachment H-11A '!I213</f>
        <v>-90637.723202119611</v>
      </c>
      <c r="M51" s="907"/>
      <c r="N51" s="929">
        <f>-1425661*'Attachment H-11A '!I213</f>
        <v>-133059.2904578319</v>
      </c>
      <c r="O51" s="907"/>
      <c r="P51" s="929">
        <f>-1880186*'Attachment H-11A '!I213</f>
        <v>-175480.85771354419</v>
      </c>
      <c r="Q51" s="907"/>
      <c r="R51" s="929">
        <f>-1946606*'Attachment H-11A '!I213</f>
        <v>-181679.94576618026</v>
      </c>
      <c r="S51" s="907"/>
      <c r="T51" s="929">
        <f>-2271040*'Attachment H-11A '!I213</f>
        <v>-211959.90561666101</v>
      </c>
      <c r="U51" s="907"/>
      <c r="V51" s="929">
        <f>-2595474*'Attachment H-11A '!I213</f>
        <v>-242239.86546714176</v>
      </c>
      <c r="W51" s="907"/>
      <c r="X51" s="929">
        <f>-2706408*'Attachment H-11A '!I213</f>
        <v>-252593.51849380738</v>
      </c>
      <c r="Y51" s="907"/>
      <c r="Z51" s="929">
        <f>-3007120*'Attachment H-11A '!I213</f>
        <v>-280659.4649931193</v>
      </c>
      <c r="AA51" s="907"/>
      <c r="AB51" s="929">
        <f>-3307832*'Attachment H-11A '!I213</f>
        <v>-308725.41149243125</v>
      </c>
      <c r="AC51" s="907"/>
      <c r="AD51" s="929">
        <f>-3708912*'Attachment H-11A '!I213</f>
        <v>-346158.86882683769</v>
      </c>
      <c r="AE51" s="907"/>
      <c r="AF51" s="926">
        <f>SUM(F51:AD51)/13</f>
        <v>-283238.77841411676</v>
      </c>
    </row>
    <row r="52" spans="1:32">
      <c r="A52" s="937">
        <f>A51+0.01</f>
        <v>14.02</v>
      </c>
      <c r="B52" s="907"/>
      <c r="C52" s="938"/>
      <c r="D52" s="938"/>
      <c r="E52" s="907"/>
      <c r="F52" s="929"/>
      <c r="G52" s="907"/>
      <c r="H52" s="929"/>
      <c r="I52" s="907"/>
      <c r="J52" s="929"/>
      <c r="K52" s="907"/>
      <c r="L52" s="929"/>
      <c r="M52" s="907"/>
      <c r="N52" s="929"/>
      <c r="O52" s="907"/>
      <c r="P52" s="929"/>
      <c r="Q52" s="907"/>
      <c r="R52" s="929"/>
      <c r="S52" s="907"/>
      <c r="T52" s="929"/>
      <c r="U52" s="907"/>
      <c r="V52" s="929"/>
      <c r="W52" s="907"/>
      <c r="X52" s="929"/>
      <c r="Y52" s="907"/>
      <c r="Z52" s="929"/>
      <c r="AA52" s="907"/>
      <c r="AB52" s="929"/>
      <c r="AC52" s="907"/>
      <c r="AD52" s="929"/>
      <c r="AE52" s="907"/>
      <c r="AF52" s="926">
        <f>SUM(F52:AD52)/13</f>
        <v>0</v>
      </c>
    </row>
    <row r="53" spans="1:32">
      <c r="A53" s="906">
        <f>A49+1</f>
        <v>15</v>
      </c>
      <c r="B53" s="907"/>
      <c r="C53" s="938" t="str">
        <f ca="1">"Sum of Lines "&amp;A51&amp;" through "&amp;OFFSET(A53,-1,0)</f>
        <v>Sum of Lines 14.01 through 14.02</v>
      </c>
      <c r="D53" s="934"/>
      <c r="E53" s="907"/>
      <c r="F53" s="931">
        <f>SUM(F51:F52)</f>
        <v>-649506.41743638809</v>
      </c>
      <c r="G53" s="907"/>
      <c r="H53" s="931">
        <f>SUM(H51:H52)</f>
        <v>-724559.71540603077</v>
      </c>
      <c r="I53" s="907"/>
      <c r="J53" s="931">
        <f>SUM(J51:J52)</f>
        <v>-84843.134511424592</v>
      </c>
      <c r="K53" s="907"/>
      <c r="L53" s="931">
        <f>SUM(L51:L52)</f>
        <v>-90637.723202119611</v>
      </c>
      <c r="M53" s="907"/>
      <c r="N53" s="931">
        <f>SUM(N51:N52)</f>
        <v>-133059.2904578319</v>
      </c>
      <c r="O53" s="907"/>
      <c r="P53" s="931">
        <f>SUM(P51:P52)</f>
        <v>-175480.85771354419</v>
      </c>
      <c r="Q53" s="907"/>
      <c r="R53" s="931">
        <f>SUM(R51:R52)</f>
        <v>-181679.94576618026</v>
      </c>
      <c r="S53" s="907"/>
      <c r="T53" s="931">
        <f>SUM(T51:T52)</f>
        <v>-211959.90561666101</v>
      </c>
      <c r="U53" s="907"/>
      <c r="V53" s="931">
        <f>SUM(V51:V52)</f>
        <v>-242239.86546714176</v>
      </c>
      <c r="W53" s="907"/>
      <c r="X53" s="931">
        <f>SUM(X51:X52)</f>
        <v>-252593.51849380738</v>
      </c>
      <c r="Y53" s="907"/>
      <c r="Z53" s="931">
        <f>SUM(Z51:Z52)</f>
        <v>-280659.4649931193</v>
      </c>
      <c r="AA53" s="907"/>
      <c r="AB53" s="931">
        <f>SUM(AB51:AB52)</f>
        <v>-308725.41149243125</v>
      </c>
      <c r="AC53" s="907"/>
      <c r="AD53" s="931">
        <f>SUM(AD51:AD52)</f>
        <v>-346158.86882683769</v>
      </c>
      <c r="AE53" s="907"/>
      <c r="AF53" s="931">
        <f>SUM(AF51:AF52)</f>
        <v>-283238.77841411676</v>
      </c>
    </row>
    <row r="54" spans="1:32">
      <c r="A54" s="906"/>
      <c r="B54" s="906"/>
      <c r="C54" s="907"/>
      <c r="D54" s="907"/>
      <c r="E54" s="907"/>
      <c r="F54" s="926"/>
      <c r="G54" s="907"/>
      <c r="H54" s="926"/>
      <c r="I54" s="907"/>
      <c r="J54" s="926"/>
      <c r="K54" s="907"/>
      <c r="L54" s="926"/>
      <c r="M54" s="907"/>
      <c r="N54" s="926"/>
      <c r="O54" s="907"/>
      <c r="P54" s="926"/>
      <c r="Q54" s="907"/>
      <c r="R54" s="926"/>
      <c r="S54" s="907"/>
      <c r="T54" s="926"/>
      <c r="U54" s="907"/>
      <c r="V54" s="926"/>
      <c r="W54" s="907"/>
      <c r="X54" s="926"/>
      <c r="Y54" s="907"/>
      <c r="Z54" s="926"/>
      <c r="AA54" s="907"/>
      <c r="AB54" s="926"/>
      <c r="AC54" s="907"/>
      <c r="AD54" s="906"/>
      <c r="AE54" s="907"/>
      <c r="AF54" s="906"/>
    </row>
    <row r="55" spans="1:32">
      <c r="A55" s="923">
        <f>A53+1</f>
        <v>16</v>
      </c>
      <c r="B55" s="912"/>
      <c r="C55" s="925" t="s">
        <v>969</v>
      </c>
      <c r="D55" s="925"/>
      <c r="E55" s="912"/>
      <c r="F55" s="936"/>
      <c r="G55" s="912"/>
      <c r="H55" s="936"/>
      <c r="I55" s="912"/>
      <c r="J55" s="936"/>
      <c r="K55" s="912"/>
      <c r="L55" s="936"/>
      <c r="M55" s="912"/>
      <c r="N55" s="936"/>
      <c r="O55" s="912"/>
      <c r="P55" s="936"/>
      <c r="Q55" s="912"/>
      <c r="R55" s="936"/>
      <c r="S55" s="912"/>
      <c r="T55" s="936"/>
      <c r="U55" s="912"/>
      <c r="V55" s="936"/>
      <c r="W55" s="912"/>
      <c r="X55" s="936"/>
      <c r="Y55" s="912"/>
      <c r="Z55" s="936"/>
      <c r="AA55" s="912"/>
      <c r="AB55" s="936"/>
      <c r="AC55" s="912"/>
      <c r="AD55" s="936"/>
      <c r="AE55" s="917"/>
      <c r="AF55" s="936"/>
    </row>
    <row r="56" spans="1:32">
      <c r="A56" s="906"/>
      <c r="B56" s="906"/>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row>
    <row r="57" spans="1:32">
      <c r="A57" s="937">
        <f>A55+0.01</f>
        <v>16.010000000000002</v>
      </c>
      <c r="B57" s="907"/>
      <c r="C57" s="938"/>
      <c r="D57" s="938"/>
      <c r="E57" s="907"/>
      <c r="F57" s="929"/>
      <c r="G57" s="907"/>
      <c r="H57" s="929"/>
      <c r="I57" s="907"/>
      <c r="J57" s="929"/>
      <c r="K57" s="907"/>
      <c r="L57" s="929"/>
      <c r="M57" s="907"/>
      <c r="N57" s="929"/>
      <c r="O57" s="907"/>
      <c r="P57" s="929"/>
      <c r="Q57" s="907"/>
      <c r="R57" s="929"/>
      <c r="S57" s="907"/>
      <c r="T57" s="929"/>
      <c r="U57" s="907"/>
      <c r="V57" s="929"/>
      <c r="W57" s="907"/>
      <c r="X57" s="929"/>
      <c r="Y57" s="907"/>
      <c r="Z57" s="929"/>
      <c r="AA57" s="907"/>
      <c r="AB57" s="929"/>
      <c r="AC57" s="907"/>
      <c r="AD57" s="929"/>
      <c r="AE57" s="907"/>
      <c r="AF57" s="926">
        <f>SUM(F57:AD57)/13</f>
        <v>0</v>
      </c>
    </row>
    <row r="58" spans="1:32">
      <c r="A58" s="937">
        <f>A57+0.01</f>
        <v>16.020000000000003</v>
      </c>
      <c r="B58" s="907"/>
      <c r="C58" s="938"/>
      <c r="D58" s="938"/>
      <c r="E58" s="907"/>
      <c r="F58" s="929"/>
      <c r="G58" s="907"/>
      <c r="H58" s="929"/>
      <c r="I58" s="907"/>
      <c r="J58" s="929"/>
      <c r="K58" s="907"/>
      <c r="L58" s="929"/>
      <c r="M58" s="907"/>
      <c r="N58" s="929"/>
      <c r="O58" s="907"/>
      <c r="P58" s="929"/>
      <c r="Q58" s="907"/>
      <c r="R58" s="929"/>
      <c r="S58" s="907"/>
      <c r="T58" s="929"/>
      <c r="U58" s="907"/>
      <c r="V58" s="929"/>
      <c r="W58" s="907"/>
      <c r="X58" s="929"/>
      <c r="Y58" s="907"/>
      <c r="Z58" s="929"/>
      <c r="AA58" s="907"/>
      <c r="AB58" s="929"/>
      <c r="AC58" s="907"/>
      <c r="AD58" s="929"/>
      <c r="AE58" s="907"/>
      <c r="AF58" s="926">
        <f>SUM(F58:AD58)/13</f>
        <v>0</v>
      </c>
    </row>
    <row r="59" spans="1:32">
      <c r="A59" s="906">
        <f>A55+1</f>
        <v>17</v>
      </c>
      <c r="B59" s="907"/>
      <c r="C59" s="938" t="str">
        <f ca="1">"Sum of Lines "&amp;A57&amp;" through "&amp;OFFSET(A59,-1,0)</f>
        <v>Sum of Lines 16.01 through 16.02</v>
      </c>
      <c r="D59" s="934"/>
      <c r="E59" s="907"/>
      <c r="F59" s="931">
        <f>SUM(F57:F58)</f>
        <v>0</v>
      </c>
      <c r="G59" s="907"/>
      <c r="H59" s="931">
        <f>SUM(H57:H58)</f>
        <v>0</v>
      </c>
      <c r="I59" s="907"/>
      <c r="J59" s="931">
        <f>SUM(J57:J58)</f>
        <v>0</v>
      </c>
      <c r="K59" s="907"/>
      <c r="L59" s="931">
        <f>SUM(L57:L58)</f>
        <v>0</v>
      </c>
      <c r="M59" s="907"/>
      <c r="N59" s="931">
        <f>SUM(N57:N58)</f>
        <v>0</v>
      </c>
      <c r="O59" s="907"/>
      <c r="P59" s="931">
        <f>SUM(P57:P58)</f>
        <v>0</v>
      </c>
      <c r="Q59" s="907"/>
      <c r="R59" s="931">
        <f>SUM(R57:R58)</f>
        <v>0</v>
      </c>
      <c r="S59" s="907"/>
      <c r="T59" s="931">
        <f>SUM(T57:T58)</f>
        <v>0</v>
      </c>
      <c r="U59" s="907"/>
      <c r="V59" s="931">
        <f>SUM(V57:V58)</f>
        <v>0</v>
      </c>
      <c r="W59" s="907"/>
      <c r="X59" s="931">
        <f>SUM(X57:X58)</f>
        <v>0</v>
      </c>
      <c r="Y59" s="907"/>
      <c r="Z59" s="931">
        <f>SUM(Z57:Z58)</f>
        <v>0</v>
      </c>
      <c r="AA59" s="907"/>
      <c r="AB59" s="931">
        <f>SUM(AB57:AB58)</f>
        <v>0</v>
      </c>
      <c r="AC59" s="907"/>
      <c r="AD59" s="931">
        <f>SUM(AD57:AD58)</f>
        <v>0</v>
      </c>
      <c r="AE59" s="907"/>
      <c r="AF59" s="931">
        <f>SUM(AF57:AF58)</f>
        <v>0</v>
      </c>
    </row>
    <row r="60" spans="1:32">
      <c r="A60" s="906"/>
      <c r="B60" s="907"/>
      <c r="C60" s="907"/>
      <c r="D60" s="907"/>
      <c r="E60" s="907"/>
      <c r="F60" s="940"/>
      <c r="G60" s="907"/>
      <c r="H60" s="926"/>
      <c r="I60" s="907"/>
      <c r="J60" s="926"/>
      <c r="K60" s="907"/>
      <c r="L60" s="926"/>
      <c r="M60" s="907"/>
      <c r="N60" s="926"/>
      <c r="O60" s="907"/>
      <c r="P60" s="926"/>
      <c r="Q60" s="907"/>
      <c r="R60" s="926"/>
      <c r="S60" s="907"/>
      <c r="T60" s="926"/>
      <c r="U60" s="907"/>
      <c r="V60" s="926"/>
      <c r="W60" s="907"/>
      <c r="X60" s="926"/>
      <c r="Y60" s="907"/>
      <c r="Z60" s="926"/>
      <c r="AA60" s="907"/>
      <c r="AB60" s="940"/>
      <c r="AC60" s="940"/>
      <c r="AD60" s="940"/>
      <c r="AE60" s="907"/>
      <c r="AF60" s="926"/>
    </row>
    <row r="61" spans="1:32" ht="18.75">
      <c r="A61" s="906">
        <f>A59+1</f>
        <v>18</v>
      </c>
      <c r="B61" s="941" t="s">
        <v>356</v>
      </c>
      <c r="C61" s="914" t="str">
        <f>"Total Unfunded Reserve (Line "&amp;A29&amp;" + Line "&amp;A35&amp;" + Line "&amp;A41&amp;" + Line "&amp;A47&amp;" + Line "&amp;A53&amp;"  + Line "&amp;A59&amp;")"</f>
        <v>Total Unfunded Reserve (Line 7 + Line 9 + Line 11 + Line 13 + Line 15  + Line 17)</v>
      </c>
      <c r="D61" s="914"/>
      <c r="E61" s="907"/>
      <c r="F61" s="926"/>
      <c r="G61" s="926"/>
      <c r="H61" s="926"/>
      <c r="I61" s="907"/>
      <c r="J61" s="926"/>
      <c r="K61" s="907"/>
      <c r="L61" s="926"/>
      <c r="M61" s="907"/>
      <c r="N61" s="926"/>
      <c r="O61" s="907"/>
      <c r="P61" s="926"/>
      <c r="Q61" s="907"/>
      <c r="R61" s="926"/>
      <c r="S61" s="907"/>
      <c r="T61" s="926"/>
      <c r="U61" s="907"/>
      <c r="V61" s="926"/>
      <c r="W61" s="907"/>
      <c r="X61" s="926"/>
      <c r="Y61" s="907"/>
      <c r="Z61" s="926"/>
      <c r="AA61" s="907"/>
      <c r="AB61" s="926"/>
      <c r="AC61" s="907"/>
      <c r="AD61" s="926"/>
      <c r="AE61" s="907"/>
      <c r="AF61" s="942">
        <f>AF29+AF35+AF41+AF47+AF53+AF59</f>
        <v>-730431.24340473907</v>
      </c>
    </row>
    <row r="62" spans="1:32" ht="30.75" customHeight="1">
      <c r="A62" s="906"/>
      <c r="B62" s="907"/>
      <c r="C62" s="907"/>
      <c r="D62" s="907"/>
      <c r="E62" s="907"/>
      <c r="F62" s="926"/>
      <c r="G62" s="926"/>
      <c r="H62" s="926"/>
      <c r="I62" s="907"/>
      <c r="J62" s="926"/>
      <c r="K62" s="907"/>
      <c r="L62" s="926"/>
      <c r="M62" s="907"/>
      <c r="N62" s="926"/>
      <c r="O62" s="907"/>
      <c r="P62" s="926"/>
      <c r="Q62" s="907"/>
      <c r="R62" s="926"/>
      <c r="S62" s="907"/>
      <c r="T62" s="926"/>
      <c r="U62" s="907"/>
      <c r="V62" s="926"/>
      <c r="W62" s="907"/>
      <c r="X62" s="926"/>
      <c r="Y62" s="907"/>
      <c r="Z62" s="926"/>
      <c r="AA62" s="907"/>
      <c r="AB62" s="926"/>
      <c r="AC62" s="907"/>
      <c r="AD62" s="926"/>
      <c r="AE62" s="907"/>
      <c r="AF62" s="926"/>
    </row>
    <row r="63" spans="1:32">
      <c r="A63" s="906"/>
      <c r="B63" s="907"/>
      <c r="C63" s="907"/>
      <c r="D63" s="907"/>
      <c r="E63" s="907"/>
      <c r="F63" s="926"/>
      <c r="G63" s="926"/>
      <c r="H63" s="926"/>
      <c r="I63" s="907"/>
      <c r="J63" s="926"/>
      <c r="K63" s="907"/>
      <c r="L63" s="926"/>
      <c r="M63" s="907"/>
      <c r="N63" s="943"/>
      <c r="O63" s="943"/>
      <c r="P63" s="943"/>
      <c r="Q63" s="943"/>
      <c r="R63" s="943"/>
      <c r="S63" s="907"/>
      <c r="T63" s="926"/>
      <c r="U63" s="907"/>
      <c r="V63" s="926"/>
      <c r="W63" s="907"/>
      <c r="X63" s="926"/>
      <c r="Y63" s="907"/>
      <c r="Z63" s="926"/>
      <c r="AA63" s="907"/>
      <c r="AB63" s="926"/>
      <c r="AC63" s="907"/>
      <c r="AD63" s="926"/>
      <c r="AE63" s="907"/>
      <c r="AF63" s="906"/>
    </row>
    <row r="64" spans="1:32">
      <c r="A64" s="906"/>
      <c r="B64" s="907"/>
      <c r="C64" s="907"/>
      <c r="D64" s="907"/>
      <c r="E64" s="907"/>
      <c r="F64" s="926"/>
      <c r="G64" s="926"/>
      <c r="H64" s="926"/>
      <c r="I64" s="907"/>
      <c r="J64" s="926"/>
      <c r="K64" s="907"/>
      <c r="L64" s="926"/>
      <c r="M64" s="907"/>
      <c r="N64" s="943"/>
      <c r="O64" s="943"/>
      <c r="P64" s="943"/>
      <c r="Q64" s="943"/>
      <c r="R64" s="943"/>
      <c r="S64" s="907"/>
      <c r="T64" s="926"/>
      <c r="U64" s="907"/>
      <c r="V64" s="926"/>
      <c r="W64" s="907"/>
      <c r="X64" s="926"/>
      <c r="Y64" s="907"/>
      <c r="Z64" s="926"/>
      <c r="AA64" s="907"/>
      <c r="AB64" s="926"/>
      <c r="AC64" s="907"/>
      <c r="AD64" s="926"/>
      <c r="AE64" s="907"/>
      <c r="AF64" s="906"/>
    </row>
    <row r="65" spans="1:32">
      <c r="A65" s="907"/>
      <c r="B65" s="907"/>
      <c r="C65" s="944" t="s">
        <v>176</v>
      </c>
      <c r="D65" s="944"/>
      <c r="E65" s="906"/>
      <c r="F65" s="926"/>
      <c r="G65" s="907"/>
      <c r="H65" s="926"/>
      <c r="I65" s="907"/>
      <c r="J65" s="926"/>
      <c r="K65" s="907"/>
      <c r="L65" s="926"/>
      <c r="M65" s="907"/>
      <c r="N65" s="943"/>
      <c r="O65" s="943"/>
      <c r="P65" s="943"/>
      <c r="Q65" s="943"/>
      <c r="R65" s="943"/>
      <c r="S65" s="907"/>
      <c r="T65" s="926"/>
      <c r="U65" s="907"/>
      <c r="V65" s="926"/>
      <c r="W65" s="907"/>
      <c r="X65" s="926"/>
      <c r="Y65" s="907"/>
      <c r="Z65" s="926"/>
      <c r="AA65" s="907"/>
      <c r="AB65" s="926"/>
      <c r="AC65" s="907"/>
      <c r="AD65" s="926"/>
      <c r="AE65" s="907"/>
      <c r="AF65" s="926"/>
    </row>
    <row r="66" spans="1:32">
      <c r="A66" s="907"/>
      <c r="B66" s="907"/>
      <c r="C66" s="1149" t="s">
        <v>970</v>
      </c>
      <c r="D66" s="1149"/>
      <c r="E66" s="1149"/>
      <c r="F66" s="939"/>
      <c r="G66" s="907"/>
      <c r="H66" s="945"/>
      <c r="I66" s="907"/>
      <c r="J66" s="926"/>
      <c r="K66" s="907"/>
      <c r="L66" s="946"/>
      <c r="M66" s="947"/>
      <c r="N66" s="943"/>
      <c r="O66" s="943"/>
      <c r="P66" s="943"/>
      <c r="Q66" s="943"/>
      <c r="R66" s="943"/>
      <c r="S66" s="907"/>
      <c r="T66" s="926"/>
      <c r="U66" s="907"/>
      <c r="V66" s="926"/>
      <c r="W66" s="907"/>
      <c r="X66" s="926"/>
      <c r="Y66" s="907"/>
      <c r="Z66" s="926"/>
      <c r="AA66" s="907"/>
      <c r="AB66" s="926"/>
      <c r="AC66" s="907"/>
      <c r="AD66" s="926"/>
      <c r="AE66" s="907"/>
      <c r="AF66" s="906"/>
    </row>
    <row r="67" spans="1:32" ht="15.75" customHeight="1">
      <c r="A67" s="907"/>
      <c r="B67" s="907"/>
      <c r="C67" s="1150" t="s">
        <v>1166</v>
      </c>
      <c r="D67" s="1150"/>
      <c r="E67" s="1150"/>
      <c r="F67" s="939"/>
      <c r="G67" s="907"/>
      <c r="H67" s="945"/>
      <c r="I67" s="907"/>
      <c r="J67" s="926"/>
      <c r="K67" s="907"/>
      <c r="L67" s="926"/>
      <c r="M67" s="907"/>
      <c r="N67" s="943"/>
      <c r="O67" s="943"/>
      <c r="P67" s="943"/>
      <c r="Q67" s="943"/>
      <c r="R67" s="943"/>
      <c r="S67" s="907"/>
      <c r="T67" s="926"/>
      <c r="U67" s="907"/>
      <c r="V67" s="926"/>
      <c r="W67" s="907"/>
      <c r="X67" s="926"/>
      <c r="Y67" s="907"/>
      <c r="Z67" s="926"/>
      <c r="AA67" s="907"/>
      <c r="AB67" s="926"/>
      <c r="AC67" s="907"/>
      <c r="AD67" s="926"/>
      <c r="AE67" s="907"/>
      <c r="AF67" s="906"/>
    </row>
    <row r="68" spans="1:32">
      <c r="A68" s="906"/>
      <c r="B68" s="906"/>
      <c r="C68" s="1039" t="s">
        <v>1204</v>
      </c>
      <c r="D68" s="1039"/>
      <c r="E68" s="907"/>
      <c r="F68" s="939"/>
      <c r="G68" s="907"/>
      <c r="H68" s="939"/>
      <c r="I68" s="907"/>
      <c r="J68" s="926"/>
      <c r="K68" s="907"/>
      <c r="L68" s="926"/>
      <c r="M68" s="907"/>
      <c r="N68" s="926"/>
      <c r="O68" s="907"/>
      <c r="P68" s="926"/>
      <c r="Q68" s="907"/>
      <c r="R68" s="926"/>
      <c r="S68" s="907"/>
      <c r="T68" s="926"/>
      <c r="U68" s="907"/>
      <c r="V68" s="926"/>
      <c r="W68" s="907"/>
      <c r="X68" s="926"/>
      <c r="Y68" s="907"/>
      <c r="Z68" s="926"/>
      <c r="AA68" s="907"/>
      <c r="AB68" s="926"/>
      <c r="AC68" s="907"/>
      <c r="AD68" s="926"/>
      <c r="AE68" s="907"/>
      <c r="AF68" s="906"/>
    </row>
    <row r="69" spans="1:32" ht="32.25" customHeight="1">
      <c r="A69" s="906"/>
      <c r="B69" s="906"/>
      <c r="C69" s="1151" t="s">
        <v>971</v>
      </c>
      <c r="D69" s="1151"/>
      <c r="E69" s="1151"/>
      <c r="F69" s="926"/>
      <c r="G69" s="907"/>
      <c r="H69" s="948"/>
      <c r="I69" s="948"/>
      <c r="J69" s="948"/>
      <c r="K69" s="948"/>
      <c r="L69" s="948"/>
      <c r="M69" s="948"/>
      <c r="N69" s="948"/>
      <c r="O69" s="907"/>
      <c r="P69" s="926"/>
      <c r="Q69" s="907"/>
      <c r="R69" s="926"/>
      <c r="S69" s="907"/>
      <c r="T69" s="926"/>
      <c r="U69" s="907"/>
      <c r="V69" s="926"/>
      <c r="W69" s="907"/>
      <c r="X69" s="926"/>
      <c r="Y69" s="907"/>
      <c r="Z69" s="926"/>
      <c r="AA69" s="907"/>
      <c r="AB69" s="926"/>
      <c r="AC69" s="907"/>
      <c r="AD69" s="926"/>
      <c r="AE69" s="907"/>
      <c r="AF69" s="906"/>
    </row>
    <row r="70" spans="1:32">
      <c r="C70" s="33" t="s">
        <v>972</v>
      </c>
    </row>
    <row r="71" spans="1:32">
      <c r="C71" s="33" t="s">
        <v>973</v>
      </c>
    </row>
  </sheetData>
  <mergeCells count="3">
    <mergeCell ref="C66:E66"/>
    <mergeCell ref="C67:E67"/>
    <mergeCell ref="C69:E69"/>
  </mergeCells>
  <pageMargins left="0.7" right="0.7" top="0.75" bottom="0.75" header="0.3" footer="0.3"/>
  <pageSetup scale="2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8AC-CEF3-4366-81F7-79C30F2C0396}">
  <sheetPr codeName="Sheet25"/>
  <dimension ref="A1:P112"/>
  <sheetViews>
    <sheetView view="pageBreakPreview" zoomScaleNormal="100" zoomScaleSheetLayoutView="100" workbookViewId="0"/>
  </sheetViews>
  <sheetFormatPr defaultColWidth="6.88671875" defaultRowHeight="12.75"/>
  <cols>
    <col min="1" max="1" width="7.109375" style="713" customWidth="1"/>
    <col min="2" max="2" width="53.109375" style="713" customWidth="1"/>
    <col min="3" max="3" width="6.88671875" style="713"/>
    <col min="4" max="4" width="21" style="713" customWidth="1"/>
    <col min="5" max="6" width="15.109375" style="713" customWidth="1"/>
    <col min="7" max="7" width="19.5546875" style="713" customWidth="1"/>
    <col min="8" max="8" width="15.109375" style="713" customWidth="1"/>
    <col min="9" max="9" width="20.33203125" style="713" customWidth="1"/>
    <col min="10" max="10" width="15.109375" style="713" customWidth="1"/>
    <col min="11" max="11" width="11.33203125" style="713" bestFit="1" customWidth="1"/>
    <col min="12" max="12" width="14.5546875" style="713" bestFit="1" customWidth="1"/>
    <col min="13" max="13" width="9" style="713" bestFit="1" customWidth="1"/>
    <col min="14" max="14" width="12.88671875" style="713" bestFit="1" customWidth="1"/>
    <col min="15" max="15" width="6.88671875" style="713"/>
    <col min="16" max="16" width="11.109375" style="713" customWidth="1"/>
    <col min="17" max="16384" width="6.88671875" style="713"/>
  </cols>
  <sheetData>
    <row r="1" spans="1:16" ht="15.75">
      <c r="A1" s="712"/>
      <c r="B1" s="712"/>
      <c r="C1" s="712"/>
      <c r="D1" s="712"/>
      <c r="I1" s="714"/>
      <c r="J1" s="715" t="str">
        <f>'Attachment H-11A '!K1&amp;""&amp;", Attachment 15"</f>
        <v>Attachment H -11A, Attachment 15</v>
      </c>
    </row>
    <row r="2" spans="1:16" ht="15.75">
      <c r="A2" s="712"/>
      <c r="B2" s="712"/>
      <c r="C2" s="712"/>
      <c r="D2" s="712"/>
      <c r="I2" s="714"/>
      <c r="J2" s="715" t="s">
        <v>168</v>
      </c>
    </row>
    <row r="3" spans="1:16" ht="15.75">
      <c r="A3" s="712"/>
      <c r="B3" s="712"/>
      <c r="C3" s="712"/>
      <c r="D3" s="712"/>
      <c r="E3" s="716"/>
      <c r="G3" s="717"/>
      <c r="H3" s="718"/>
      <c r="I3" s="719"/>
      <c r="J3" s="715" t="str">
        <f>'Attachment H-11A '!K4</f>
        <v>For the 12 months ended 12/31/2022</v>
      </c>
    </row>
    <row r="4" spans="1:16" ht="15.75">
      <c r="A4" s="712"/>
      <c r="B4" s="712"/>
      <c r="C4" s="712"/>
      <c r="D4" s="712"/>
      <c r="E4" s="716"/>
      <c r="G4" s="717"/>
      <c r="H4" s="718"/>
      <c r="I4" s="719"/>
      <c r="J4" s="715"/>
    </row>
    <row r="5" spans="1:16" ht="15.75">
      <c r="B5" s="1152" t="s">
        <v>698</v>
      </c>
      <c r="C5" s="1152"/>
      <c r="D5" s="1152"/>
      <c r="E5" s="1152"/>
      <c r="F5" s="1152"/>
      <c r="G5" s="1152"/>
      <c r="H5" s="1152"/>
      <c r="I5" s="1152"/>
      <c r="J5" s="720"/>
    </row>
    <row r="6" spans="1:16" ht="15.75">
      <c r="B6" s="1152" t="s">
        <v>699</v>
      </c>
      <c r="C6" s="1152"/>
      <c r="D6" s="1152"/>
      <c r="E6" s="1152"/>
      <c r="F6" s="1152"/>
      <c r="G6" s="1152"/>
      <c r="H6" s="1152"/>
      <c r="I6" s="1152"/>
      <c r="J6" s="721"/>
    </row>
    <row r="7" spans="1:16">
      <c r="B7" s="722"/>
      <c r="C7" s="722"/>
    </row>
    <row r="8" spans="1:16">
      <c r="B8" s="723" t="s">
        <v>574</v>
      </c>
      <c r="C8" s="722"/>
      <c r="D8" s="723" t="s">
        <v>575</v>
      </c>
      <c r="E8" s="723" t="s">
        <v>576</v>
      </c>
      <c r="F8" s="723" t="s">
        <v>577</v>
      </c>
      <c r="G8" s="723" t="s">
        <v>578</v>
      </c>
      <c r="H8" s="723" t="s">
        <v>579</v>
      </c>
      <c r="I8" s="723" t="s">
        <v>700</v>
      </c>
      <c r="J8" s="723" t="s">
        <v>701</v>
      </c>
    </row>
    <row r="9" spans="1:16">
      <c r="B9" s="722"/>
      <c r="C9" s="722"/>
    </row>
    <row r="10" spans="1:16" ht="117" customHeight="1">
      <c r="A10" s="724" t="s">
        <v>159</v>
      </c>
      <c r="B10" s="724" t="s">
        <v>580</v>
      </c>
      <c r="C10" s="714"/>
      <c r="D10" s="724" t="s">
        <v>702</v>
      </c>
      <c r="E10" s="724" t="s">
        <v>703</v>
      </c>
      <c r="F10" s="724" t="s">
        <v>704</v>
      </c>
      <c r="G10" s="724" t="s">
        <v>621</v>
      </c>
      <c r="H10" s="724" t="s">
        <v>705</v>
      </c>
      <c r="I10" s="724" t="s">
        <v>706</v>
      </c>
      <c r="J10" s="724" t="s">
        <v>582</v>
      </c>
    </row>
    <row r="11" spans="1:16" ht="15.75">
      <c r="A11" s="725"/>
      <c r="B11" s="726" t="s">
        <v>707</v>
      </c>
      <c r="C11" s="714"/>
      <c r="D11" s="725"/>
      <c r="E11" s="725"/>
      <c r="F11" s="725"/>
      <c r="G11" s="725"/>
      <c r="H11" s="725"/>
      <c r="I11" s="725"/>
      <c r="J11" s="725"/>
    </row>
    <row r="12" spans="1:16" ht="15.75">
      <c r="A12" s="727">
        <v>1</v>
      </c>
      <c r="B12" s="726" t="s">
        <v>708</v>
      </c>
      <c r="C12" s="714"/>
      <c r="D12" s="725"/>
      <c r="E12" s="725"/>
      <c r="F12" s="725"/>
      <c r="G12" s="725"/>
      <c r="H12" s="725"/>
      <c r="I12" s="714"/>
      <c r="J12" s="725"/>
    </row>
    <row r="13" spans="1:16" ht="15.75">
      <c r="A13" s="728" t="s">
        <v>464</v>
      </c>
      <c r="B13" s="729" t="s">
        <v>1387</v>
      </c>
      <c r="C13" s="714"/>
      <c r="D13" s="730">
        <v>955.27800000000002</v>
      </c>
      <c r="E13" s="730">
        <v>0</v>
      </c>
      <c r="F13" s="730">
        <v>10</v>
      </c>
      <c r="G13" s="730">
        <v>5</v>
      </c>
      <c r="H13" s="730">
        <v>159.21300000000002</v>
      </c>
      <c r="I13" s="731">
        <f>(D13+E13)-H13</f>
        <v>796.06500000000005</v>
      </c>
      <c r="J13" s="728" t="s">
        <v>118</v>
      </c>
      <c r="L13" s="732"/>
      <c r="M13" s="732"/>
      <c r="N13" s="732"/>
      <c r="O13" s="732"/>
      <c r="P13" s="731"/>
    </row>
    <row r="14" spans="1:16" ht="15.75">
      <c r="A14" s="728" t="s">
        <v>465</v>
      </c>
      <c r="B14" s="729" t="s">
        <v>1388</v>
      </c>
      <c r="C14" s="714"/>
      <c r="D14" s="730">
        <v>4168.3440000000001</v>
      </c>
      <c r="E14" s="730">
        <v>0</v>
      </c>
      <c r="F14" s="730">
        <v>10</v>
      </c>
      <c r="G14" s="730">
        <v>5</v>
      </c>
      <c r="H14" s="730">
        <v>694.72399999999993</v>
      </c>
      <c r="I14" s="731">
        <f t="shared" ref="I14:I35" si="0">(D14+E14)-H14</f>
        <v>3473.62</v>
      </c>
      <c r="J14" s="728" t="s">
        <v>118</v>
      </c>
      <c r="L14" s="732"/>
      <c r="M14" s="732"/>
      <c r="N14" s="732"/>
      <c r="O14" s="732"/>
      <c r="P14" s="731"/>
    </row>
    <row r="15" spans="1:16" ht="15.75">
      <c r="A15" s="728" t="s">
        <v>466</v>
      </c>
      <c r="B15" s="729" t="s">
        <v>1389</v>
      </c>
      <c r="C15" s="714"/>
      <c r="D15" s="730">
        <v>116.61000000000001</v>
      </c>
      <c r="E15" s="730">
        <v>0</v>
      </c>
      <c r="F15" s="730">
        <v>10</v>
      </c>
      <c r="G15" s="730">
        <v>5</v>
      </c>
      <c r="H15" s="730">
        <v>19.434999999999999</v>
      </c>
      <c r="I15" s="731">
        <f t="shared" si="0"/>
        <v>97.175000000000011</v>
      </c>
      <c r="J15" s="728" t="s">
        <v>118</v>
      </c>
      <c r="L15" s="732"/>
      <c r="M15" s="732"/>
      <c r="N15" s="732"/>
      <c r="O15" s="732"/>
      <c r="P15" s="731"/>
    </row>
    <row r="16" spans="1:16" ht="15.75">
      <c r="A16" s="728" t="s">
        <v>509</v>
      </c>
      <c r="B16" s="729" t="s">
        <v>1390</v>
      </c>
      <c r="C16" s="714"/>
      <c r="D16" s="730">
        <v>33566.838000000003</v>
      </c>
      <c r="E16" s="730">
        <v>0</v>
      </c>
      <c r="F16" s="730">
        <v>10</v>
      </c>
      <c r="G16" s="730">
        <v>5</v>
      </c>
      <c r="H16" s="730">
        <v>5594.473</v>
      </c>
      <c r="I16" s="731">
        <f t="shared" si="0"/>
        <v>27972.365000000005</v>
      </c>
      <c r="J16" s="728" t="s">
        <v>118</v>
      </c>
      <c r="L16" s="732"/>
      <c r="M16" s="732"/>
      <c r="N16" s="732"/>
      <c r="O16" s="732"/>
      <c r="P16" s="731"/>
    </row>
    <row r="17" spans="1:16" ht="15.75">
      <c r="A17" s="728" t="s">
        <v>764</v>
      </c>
      <c r="B17" s="729" t="s">
        <v>1391</v>
      </c>
      <c r="C17" s="714"/>
      <c r="D17" s="730">
        <v>47671.35</v>
      </c>
      <c r="E17" s="730">
        <v>0</v>
      </c>
      <c r="F17" s="730">
        <v>10</v>
      </c>
      <c r="G17" s="730">
        <v>5</v>
      </c>
      <c r="H17" s="730">
        <v>7945.2250000000004</v>
      </c>
      <c r="I17" s="731">
        <f t="shared" si="0"/>
        <v>39726.125</v>
      </c>
      <c r="J17" s="728" t="s">
        <v>118</v>
      </c>
      <c r="L17" s="732"/>
      <c r="M17" s="732"/>
      <c r="N17" s="732"/>
      <c r="O17" s="732"/>
      <c r="P17" s="731"/>
    </row>
    <row r="18" spans="1:16" ht="15.75">
      <c r="A18" s="728" t="s">
        <v>765</v>
      </c>
      <c r="B18" s="729" t="s">
        <v>1392</v>
      </c>
      <c r="C18" s="714"/>
      <c r="D18" s="730">
        <v>2414.7779999999998</v>
      </c>
      <c r="E18" s="730">
        <v>0</v>
      </c>
      <c r="F18" s="730">
        <v>10</v>
      </c>
      <c r="G18" s="730">
        <v>5</v>
      </c>
      <c r="H18" s="730">
        <v>402.46300000000002</v>
      </c>
      <c r="I18" s="731">
        <f t="shared" si="0"/>
        <v>2012.3149999999998</v>
      </c>
      <c r="J18" s="728" t="s">
        <v>118</v>
      </c>
      <c r="L18" s="732"/>
      <c r="M18" s="732"/>
      <c r="N18" s="732"/>
      <c r="O18" s="732"/>
      <c r="P18" s="731"/>
    </row>
    <row r="19" spans="1:16" ht="15.75">
      <c r="A19" s="728" t="s">
        <v>1350</v>
      </c>
      <c r="B19" s="729" t="s">
        <v>1393</v>
      </c>
      <c r="C19" s="714"/>
      <c r="D19" s="730">
        <v>566.91600000000005</v>
      </c>
      <c r="E19" s="730">
        <v>0</v>
      </c>
      <c r="F19" s="730">
        <v>10</v>
      </c>
      <c r="G19" s="730">
        <v>5</v>
      </c>
      <c r="H19" s="730">
        <v>94.486000000000004</v>
      </c>
      <c r="I19" s="731">
        <f t="shared" si="0"/>
        <v>472.43000000000006</v>
      </c>
      <c r="J19" s="728" t="s">
        <v>118</v>
      </c>
      <c r="L19" s="732"/>
      <c r="M19" s="732"/>
      <c r="N19" s="732"/>
      <c r="O19" s="732"/>
      <c r="P19" s="731"/>
    </row>
    <row r="20" spans="1:16" ht="15.75">
      <c r="A20" s="728" t="s">
        <v>1351</v>
      </c>
      <c r="B20" s="729" t="s">
        <v>1394</v>
      </c>
      <c r="C20" s="714"/>
      <c r="D20" s="730">
        <v>425.988</v>
      </c>
      <c r="E20" s="730">
        <v>0</v>
      </c>
      <c r="F20" s="730">
        <v>10</v>
      </c>
      <c r="G20" s="730">
        <v>5</v>
      </c>
      <c r="H20" s="730">
        <v>70.998000000000005</v>
      </c>
      <c r="I20" s="731">
        <f t="shared" si="0"/>
        <v>354.99</v>
      </c>
      <c r="J20" s="728" t="s">
        <v>118</v>
      </c>
      <c r="L20" s="732"/>
      <c r="M20" s="732"/>
      <c r="N20" s="732"/>
      <c r="O20" s="732"/>
      <c r="P20" s="731"/>
    </row>
    <row r="21" spans="1:16" ht="15.75">
      <c r="A21" s="728" t="s">
        <v>1352</v>
      </c>
      <c r="B21" s="729" t="s">
        <v>1395</v>
      </c>
      <c r="C21" s="714"/>
      <c r="D21" s="730">
        <v>6461.8799999999992</v>
      </c>
      <c r="E21" s="730">
        <v>0</v>
      </c>
      <c r="F21" s="730">
        <v>10</v>
      </c>
      <c r="G21" s="730">
        <v>5</v>
      </c>
      <c r="H21" s="730">
        <v>1076.98</v>
      </c>
      <c r="I21" s="731">
        <f t="shared" si="0"/>
        <v>5384.9</v>
      </c>
      <c r="J21" s="728" t="s">
        <v>118</v>
      </c>
      <c r="L21" s="732"/>
      <c r="M21" s="732"/>
      <c r="N21" s="732"/>
      <c r="O21" s="732"/>
      <c r="P21" s="731"/>
    </row>
    <row r="22" spans="1:16" ht="15.75">
      <c r="A22" s="728" t="s">
        <v>1353</v>
      </c>
      <c r="B22" s="729" t="s">
        <v>1396</v>
      </c>
      <c r="C22" s="714"/>
      <c r="D22" s="730">
        <v>165.43800000000002</v>
      </c>
      <c r="E22" s="730">
        <v>0</v>
      </c>
      <c r="F22" s="730">
        <v>10</v>
      </c>
      <c r="G22" s="730">
        <v>5</v>
      </c>
      <c r="H22" s="730">
        <v>27.573</v>
      </c>
      <c r="I22" s="731">
        <f t="shared" si="0"/>
        <v>137.86500000000001</v>
      </c>
      <c r="J22" s="728" t="s">
        <v>118</v>
      </c>
      <c r="L22" s="732"/>
      <c r="M22" s="732"/>
      <c r="N22" s="732"/>
      <c r="O22" s="732"/>
      <c r="P22" s="731"/>
    </row>
    <row r="23" spans="1:16" ht="15.75">
      <c r="A23" s="728" t="s">
        <v>1354</v>
      </c>
      <c r="B23" s="729" t="s">
        <v>1397</v>
      </c>
      <c r="C23" s="714"/>
      <c r="D23" s="730">
        <v>420.58800000000002</v>
      </c>
      <c r="E23" s="730">
        <v>0</v>
      </c>
      <c r="F23" s="730">
        <v>10</v>
      </c>
      <c r="G23" s="730">
        <v>5</v>
      </c>
      <c r="H23" s="730">
        <v>70.097999999999999</v>
      </c>
      <c r="I23" s="731">
        <f t="shared" si="0"/>
        <v>350.49</v>
      </c>
      <c r="J23" s="728" t="s">
        <v>118</v>
      </c>
      <c r="L23" s="732"/>
      <c r="M23" s="732"/>
      <c r="N23" s="732"/>
      <c r="O23" s="732"/>
      <c r="P23" s="731"/>
    </row>
    <row r="24" spans="1:16" ht="15.75">
      <c r="A24" s="728" t="s">
        <v>1355</v>
      </c>
      <c r="B24" s="729" t="s">
        <v>1398</v>
      </c>
      <c r="C24" s="714"/>
      <c r="D24" s="730">
        <v>-15362.490000000002</v>
      </c>
      <c r="E24" s="730">
        <v>0</v>
      </c>
      <c r="F24" s="730">
        <v>10</v>
      </c>
      <c r="G24" s="730">
        <v>5</v>
      </c>
      <c r="H24" s="730">
        <v>-2560.415</v>
      </c>
      <c r="I24" s="731">
        <f t="shared" si="0"/>
        <v>-12802.075000000001</v>
      </c>
      <c r="J24" s="728" t="s">
        <v>118</v>
      </c>
      <c r="L24" s="732"/>
      <c r="M24" s="732"/>
      <c r="N24" s="732"/>
      <c r="O24" s="732"/>
      <c r="P24" s="731"/>
    </row>
    <row r="25" spans="1:16" ht="15.75">
      <c r="A25" s="728" t="s">
        <v>1356</v>
      </c>
      <c r="B25" s="729" t="s">
        <v>1399</v>
      </c>
      <c r="C25" s="714"/>
      <c r="D25" s="730">
        <v>23022.666000000001</v>
      </c>
      <c r="E25" s="730">
        <v>0</v>
      </c>
      <c r="F25" s="730">
        <v>10</v>
      </c>
      <c r="G25" s="730">
        <v>5</v>
      </c>
      <c r="H25" s="730">
        <v>3837.1109999999999</v>
      </c>
      <c r="I25" s="731">
        <f t="shared" si="0"/>
        <v>19185.555</v>
      </c>
      <c r="J25" s="728" t="s">
        <v>118</v>
      </c>
      <c r="L25" s="732"/>
      <c r="M25" s="732"/>
      <c r="N25" s="732"/>
      <c r="O25" s="732"/>
      <c r="P25" s="731"/>
    </row>
    <row r="26" spans="1:16" ht="15.75">
      <c r="A26" s="728" t="s">
        <v>1357</v>
      </c>
      <c r="B26" s="729" t="s">
        <v>1400</v>
      </c>
      <c r="C26" s="714"/>
      <c r="D26" s="730">
        <v>20718.198</v>
      </c>
      <c r="E26" s="730">
        <v>0</v>
      </c>
      <c r="F26" s="730">
        <v>10</v>
      </c>
      <c r="G26" s="730">
        <v>5</v>
      </c>
      <c r="H26" s="730">
        <v>3453.0330000000004</v>
      </c>
      <c r="I26" s="731">
        <f t="shared" si="0"/>
        <v>17265.165000000001</v>
      </c>
      <c r="J26" s="728" t="s">
        <v>118</v>
      </c>
      <c r="L26" s="732"/>
      <c r="M26" s="732"/>
      <c r="N26" s="732"/>
      <c r="O26" s="732"/>
      <c r="P26" s="731"/>
    </row>
    <row r="27" spans="1:16" ht="15.75">
      <c r="A27" s="728" t="s">
        <v>1358</v>
      </c>
      <c r="B27" s="729" t="s">
        <v>1401</v>
      </c>
      <c r="C27" s="714"/>
      <c r="D27" s="730">
        <v>908494.72200000007</v>
      </c>
      <c r="E27" s="730">
        <v>0</v>
      </c>
      <c r="F27" s="730">
        <v>10</v>
      </c>
      <c r="G27" s="730">
        <v>5</v>
      </c>
      <c r="H27" s="730">
        <v>151415.78700000001</v>
      </c>
      <c r="I27" s="731">
        <f t="shared" si="0"/>
        <v>757078.93500000006</v>
      </c>
      <c r="J27" s="728" t="s">
        <v>118</v>
      </c>
      <c r="L27" s="732"/>
      <c r="M27" s="732"/>
      <c r="N27" s="732"/>
      <c r="O27" s="732"/>
      <c r="P27" s="731"/>
    </row>
    <row r="28" spans="1:16" ht="15.75">
      <c r="A28" s="728" t="s">
        <v>1359</v>
      </c>
      <c r="B28" s="729" t="s">
        <v>1402</v>
      </c>
      <c r="C28" s="714"/>
      <c r="D28" s="730">
        <v>21826.986000000001</v>
      </c>
      <c r="E28" s="730">
        <v>0</v>
      </c>
      <c r="F28" s="730">
        <v>10</v>
      </c>
      <c r="G28" s="730">
        <v>5</v>
      </c>
      <c r="H28" s="730">
        <v>3637.8309999999997</v>
      </c>
      <c r="I28" s="731">
        <f t="shared" si="0"/>
        <v>18189.155000000002</v>
      </c>
      <c r="J28" s="728" t="s">
        <v>118</v>
      </c>
      <c r="L28" s="732"/>
      <c r="M28" s="732"/>
      <c r="N28" s="732"/>
      <c r="O28" s="732"/>
      <c r="P28" s="731"/>
    </row>
    <row r="29" spans="1:16" ht="15.75">
      <c r="A29" s="728" t="s">
        <v>1360</v>
      </c>
      <c r="B29" s="729" t="s">
        <v>1403</v>
      </c>
      <c r="C29" s="714"/>
      <c r="D29" s="730">
        <v>-2.3819999999999997</v>
      </c>
      <c r="E29" s="730">
        <v>0</v>
      </c>
      <c r="F29" s="730">
        <v>10</v>
      </c>
      <c r="G29" s="730">
        <v>5</v>
      </c>
      <c r="H29" s="730">
        <v>-0.39700000000000002</v>
      </c>
      <c r="I29" s="731">
        <f t="shared" si="0"/>
        <v>-1.9849999999999997</v>
      </c>
      <c r="J29" s="728" t="s">
        <v>118</v>
      </c>
      <c r="L29" s="732"/>
      <c r="M29" s="732"/>
      <c r="N29" s="732"/>
      <c r="O29" s="732"/>
      <c r="P29" s="731"/>
    </row>
    <row r="30" spans="1:16" ht="15.75">
      <c r="A30" s="728" t="s">
        <v>1361</v>
      </c>
      <c r="B30" s="729" t="s">
        <v>1404</v>
      </c>
      <c r="C30" s="714"/>
      <c r="D30" s="730">
        <v>-185622.43799999999</v>
      </c>
      <c r="E30" s="730">
        <v>0</v>
      </c>
      <c r="F30" s="730">
        <v>10</v>
      </c>
      <c r="G30" s="730">
        <v>5</v>
      </c>
      <c r="H30" s="730">
        <v>-30937.072999999997</v>
      </c>
      <c r="I30" s="731">
        <f t="shared" si="0"/>
        <v>-154685.36499999999</v>
      </c>
      <c r="J30" s="728" t="s">
        <v>118</v>
      </c>
      <c r="L30" s="732"/>
      <c r="M30" s="732"/>
      <c r="N30" s="732"/>
      <c r="O30" s="732"/>
      <c r="P30" s="731"/>
    </row>
    <row r="31" spans="1:16" ht="15.75">
      <c r="A31" s="728" t="s">
        <v>1362</v>
      </c>
      <c r="B31" s="729" t="s">
        <v>1405</v>
      </c>
      <c r="C31" s="714"/>
      <c r="D31" s="730">
        <v>-0.48000000000000004</v>
      </c>
      <c r="E31" s="730">
        <v>0</v>
      </c>
      <c r="F31" s="730">
        <v>10</v>
      </c>
      <c r="G31" s="730">
        <v>5</v>
      </c>
      <c r="H31" s="730">
        <v>-0.08</v>
      </c>
      <c r="I31" s="731">
        <f t="shared" si="0"/>
        <v>-0.4</v>
      </c>
      <c r="J31" s="728" t="s">
        <v>118</v>
      </c>
      <c r="L31" s="732"/>
      <c r="M31" s="732"/>
      <c r="N31" s="732"/>
      <c r="O31" s="732"/>
      <c r="P31" s="731"/>
    </row>
    <row r="32" spans="1:16" ht="15.75">
      <c r="A32" s="728" t="s">
        <v>1363</v>
      </c>
      <c r="B32" s="729" t="s">
        <v>1406</v>
      </c>
      <c r="C32" s="714"/>
      <c r="D32" s="730">
        <v>429.60599999999999</v>
      </c>
      <c r="E32" s="730">
        <v>0</v>
      </c>
      <c r="F32" s="730">
        <v>10</v>
      </c>
      <c r="G32" s="730">
        <v>5</v>
      </c>
      <c r="H32" s="730">
        <v>71.600999999999999</v>
      </c>
      <c r="I32" s="731">
        <f t="shared" si="0"/>
        <v>358.005</v>
      </c>
      <c r="J32" s="728" t="s">
        <v>118</v>
      </c>
      <c r="L32" s="732"/>
      <c r="M32" s="732"/>
      <c r="N32" s="732"/>
      <c r="O32" s="732"/>
      <c r="P32" s="731"/>
    </row>
    <row r="33" spans="1:16" ht="15.75">
      <c r="A33" s="728" t="s">
        <v>1364</v>
      </c>
      <c r="B33" s="729" t="s">
        <v>1407</v>
      </c>
      <c r="C33" s="714"/>
      <c r="D33" s="730">
        <v>29855.43</v>
      </c>
      <c r="E33" s="730">
        <v>0</v>
      </c>
      <c r="F33" s="730">
        <v>10</v>
      </c>
      <c r="G33" s="730">
        <v>5</v>
      </c>
      <c r="H33" s="730">
        <v>4975.9050000000007</v>
      </c>
      <c r="I33" s="731">
        <f t="shared" si="0"/>
        <v>24879.525000000001</v>
      </c>
      <c r="J33" s="728" t="s">
        <v>118</v>
      </c>
      <c r="L33" s="732"/>
      <c r="M33" s="732"/>
      <c r="N33" s="732"/>
      <c r="O33" s="732"/>
      <c r="P33" s="731"/>
    </row>
    <row r="34" spans="1:16" ht="15.75">
      <c r="A34" s="728" t="s">
        <v>1365</v>
      </c>
      <c r="B34" s="729" t="s">
        <v>1408</v>
      </c>
      <c r="C34" s="714"/>
      <c r="D34" s="730">
        <v>51479.856</v>
      </c>
      <c r="E34" s="730">
        <v>0</v>
      </c>
      <c r="F34" s="730">
        <v>10</v>
      </c>
      <c r="G34" s="730">
        <v>5</v>
      </c>
      <c r="H34" s="730">
        <v>8579.9759999999987</v>
      </c>
      <c r="I34" s="731">
        <f t="shared" si="0"/>
        <v>42899.880000000005</v>
      </c>
      <c r="J34" s="728" t="s">
        <v>118</v>
      </c>
      <c r="L34" s="732"/>
      <c r="M34" s="732"/>
      <c r="N34" s="732"/>
      <c r="O34" s="732"/>
      <c r="P34" s="731"/>
    </row>
    <row r="35" spans="1:16" ht="15.75">
      <c r="A35" s="728" t="s">
        <v>1366</v>
      </c>
      <c r="B35" s="729" t="s">
        <v>1409</v>
      </c>
      <c r="C35" s="714"/>
      <c r="D35" s="730">
        <v>9305.6279999999988</v>
      </c>
      <c r="E35" s="730">
        <v>0</v>
      </c>
      <c r="F35" s="730">
        <v>10</v>
      </c>
      <c r="G35" s="730">
        <v>5</v>
      </c>
      <c r="H35" s="730">
        <v>1550.9379999999999</v>
      </c>
      <c r="I35" s="731">
        <f t="shared" si="0"/>
        <v>7754.6899999999987</v>
      </c>
      <c r="J35" s="728" t="s">
        <v>118</v>
      </c>
      <c r="L35" s="732"/>
      <c r="M35" s="732"/>
      <c r="N35" s="732"/>
      <c r="O35" s="732"/>
      <c r="P35" s="731"/>
    </row>
    <row r="36" spans="1:16" ht="15.75">
      <c r="A36" s="728"/>
      <c r="B36" s="729"/>
      <c r="C36" s="714"/>
      <c r="D36" s="730"/>
      <c r="E36" s="730"/>
      <c r="F36" s="730"/>
      <c r="G36" s="730"/>
      <c r="H36" s="730"/>
      <c r="I36" s="731"/>
      <c r="J36" s="728"/>
      <c r="L36" s="732"/>
      <c r="M36" s="732"/>
      <c r="N36" s="732"/>
      <c r="O36" s="732"/>
      <c r="P36" s="731"/>
    </row>
    <row r="37" spans="1:16" ht="15.75">
      <c r="A37" s="728"/>
      <c r="B37" s="729"/>
      <c r="C37" s="714"/>
      <c r="D37" s="730"/>
      <c r="E37" s="730"/>
      <c r="F37" s="730"/>
      <c r="G37" s="730"/>
      <c r="H37" s="730"/>
      <c r="I37" s="731"/>
      <c r="J37" s="728"/>
      <c r="L37" s="732"/>
      <c r="M37" s="732"/>
      <c r="N37" s="732"/>
      <c r="O37" s="732"/>
      <c r="P37" s="731"/>
    </row>
    <row r="38" spans="1:16" ht="15.75">
      <c r="A38" s="728"/>
      <c r="B38" s="1071" t="s">
        <v>1368</v>
      </c>
      <c r="C38" s="714"/>
      <c r="D38" s="730"/>
      <c r="E38" s="730"/>
      <c r="F38" s="730"/>
      <c r="G38" s="730"/>
      <c r="H38" s="730"/>
      <c r="I38" s="731"/>
      <c r="J38" s="728"/>
      <c r="L38" s="732"/>
      <c r="M38" s="732"/>
      <c r="N38" s="732"/>
      <c r="O38" s="732"/>
      <c r="P38" s="731"/>
    </row>
    <row r="39" spans="1:16" ht="15.75">
      <c r="A39" s="728" t="s">
        <v>1369</v>
      </c>
      <c r="B39" s="729" t="s">
        <v>1410</v>
      </c>
      <c r="C39" s="714"/>
      <c r="D39" s="730"/>
      <c r="E39" s="730">
        <v>214.11027000000104</v>
      </c>
      <c r="F39" s="730">
        <v>1</v>
      </c>
      <c r="G39" s="730">
        <v>1</v>
      </c>
      <c r="H39" s="730">
        <v>0</v>
      </c>
      <c r="I39" s="731">
        <f t="shared" ref="I39:I56" si="1">(D39+E39)-H39</f>
        <v>214.11027000000104</v>
      </c>
      <c r="J39" s="728" t="s">
        <v>118</v>
      </c>
      <c r="L39" s="732"/>
      <c r="M39" s="732"/>
      <c r="N39" s="732"/>
      <c r="O39" s="732"/>
      <c r="P39" s="731"/>
    </row>
    <row r="40" spans="1:16" ht="15.75">
      <c r="A40" s="728" t="s">
        <v>1370</v>
      </c>
      <c r="B40" s="729" t="s">
        <v>1411</v>
      </c>
      <c r="C40" s="714"/>
      <c r="D40" s="730"/>
      <c r="E40" s="730">
        <v>230.34236840000085</v>
      </c>
      <c r="F40" s="730">
        <v>3</v>
      </c>
      <c r="G40" s="730">
        <v>3</v>
      </c>
      <c r="H40" s="730">
        <v>0</v>
      </c>
      <c r="I40" s="731">
        <f t="shared" si="1"/>
        <v>230.34236840000085</v>
      </c>
      <c r="J40" s="728" t="s">
        <v>118</v>
      </c>
      <c r="L40" s="732"/>
      <c r="M40" s="732"/>
      <c r="N40" s="732"/>
      <c r="O40" s="732"/>
      <c r="P40" s="731"/>
    </row>
    <row r="41" spans="1:16" ht="15.75">
      <c r="A41" s="728" t="s">
        <v>1371</v>
      </c>
      <c r="B41" s="729" t="s">
        <v>1412</v>
      </c>
      <c r="C41" s="714"/>
      <c r="D41" s="730"/>
      <c r="E41" s="730">
        <v>30.501900000000205</v>
      </c>
      <c r="F41" s="730">
        <v>1</v>
      </c>
      <c r="G41" s="730">
        <v>1</v>
      </c>
      <c r="H41" s="730">
        <v>0</v>
      </c>
      <c r="I41" s="731">
        <f t="shared" si="1"/>
        <v>30.501900000000205</v>
      </c>
      <c r="J41" s="728" t="s">
        <v>118</v>
      </c>
      <c r="L41" s="732"/>
      <c r="M41" s="732"/>
      <c r="N41" s="732"/>
      <c r="O41" s="732"/>
      <c r="P41" s="731"/>
    </row>
    <row r="42" spans="1:16" ht="15.75">
      <c r="A42" s="728" t="s">
        <v>1372</v>
      </c>
      <c r="B42" s="729" t="s">
        <v>1413</v>
      </c>
      <c r="C42" s="714"/>
      <c r="D42" s="730"/>
      <c r="E42" s="730">
        <v>3208.1732100000081</v>
      </c>
      <c r="F42" s="730">
        <v>1</v>
      </c>
      <c r="G42" s="730">
        <v>1</v>
      </c>
      <c r="H42" s="730">
        <v>0</v>
      </c>
      <c r="I42" s="731">
        <f t="shared" si="1"/>
        <v>3208.1732100000081</v>
      </c>
      <c r="J42" s="728" t="s">
        <v>118</v>
      </c>
      <c r="L42" s="732"/>
      <c r="M42" s="732"/>
      <c r="N42" s="732"/>
      <c r="O42" s="732"/>
      <c r="P42" s="731"/>
    </row>
    <row r="43" spans="1:16" ht="15.75">
      <c r="A43" s="728" t="s">
        <v>1373</v>
      </c>
      <c r="B43" s="729" t="s">
        <v>1414</v>
      </c>
      <c r="C43" s="714"/>
      <c r="D43" s="730"/>
      <c r="E43" s="730">
        <v>372.40731000000051</v>
      </c>
      <c r="F43" s="730">
        <v>1</v>
      </c>
      <c r="G43" s="730">
        <v>1</v>
      </c>
      <c r="H43" s="730">
        <v>0</v>
      </c>
      <c r="I43" s="731">
        <f t="shared" si="1"/>
        <v>372.40731000000051</v>
      </c>
      <c r="J43" s="728" t="s">
        <v>118</v>
      </c>
      <c r="L43" s="732"/>
      <c r="M43" s="732"/>
      <c r="N43" s="732"/>
      <c r="O43" s="732"/>
      <c r="P43" s="731"/>
    </row>
    <row r="44" spans="1:16" ht="15.75">
      <c r="A44" s="728" t="s">
        <v>1374</v>
      </c>
      <c r="B44" s="729" t="s">
        <v>1415</v>
      </c>
      <c r="C44" s="714"/>
      <c r="D44" s="730"/>
      <c r="E44" s="730">
        <v>361.19853000000148</v>
      </c>
      <c r="F44" s="730">
        <v>10</v>
      </c>
      <c r="G44" s="730">
        <v>10</v>
      </c>
      <c r="H44" s="730">
        <v>0</v>
      </c>
      <c r="I44" s="731">
        <f t="shared" si="1"/>
        <v>361.19853000000148</v>
      </c>
      <c r="J44" s="728" t="s">
        <v>118</v>
      </c>
      <c r="L44" s="732"/>
      <c r="M44" s="732"/>
      <c r="N44" s="732"/>
      <c r="O44" s="732"/>
      <c r="P44" s="731"/>
    </row>
    <row r="45" spans="1:16" ht="15.75">
      <c r="A45" s="728" t="s">
        <v>1375</v>
      </c>
      <c r="B45" s="729" t="s">
        <v>1416</v>
      </c>
      <c r="C45" s="714"/>
      <c r="D45" s="730"/>
      <c r="E45" s="730">
        <v>98.048148699999729</v>
      </c>
      <c r="F45" s="730">
        <v>1</v>
      </c>
      <c r="G45" s="730">
        <v>1</v>
      </c>
      <c r="H45" s="730">
        <v>0</v>
      </c>
      <c r="I45" s="731">
        <f t="shared" si="1"/>
        <v>98.048148699999729</v>
      </c>
      <c r="J45" s="728" t="s">
        <v>118</v>
      </c>
      <c r="L45" s="732"/>
      <c r="M45" s="732"/>
      <c r="N45" s="732"/>
      <c r="O45" s="732"/>
      <c r="P45" s="731"/>
    </row>
    <row r="46" spans="1:16" ht="15.75">
      <c r="A46" s="728" t="s">
        <v>1376</v>
      </c>
      <c r="B46" s="729" t="s">
        <v>1417</v>
      </c>
      <c r="C46" s="714"/>
      <c r="D46" s="730"/>
      <c r="E46" s="730">
        <v>1533.8941200000045</v>
      </c>
      <c r="F46" s="730">
        <v>10</v>
      </c>
      <c r="G46" s="730">
        <v>10</v>
      </c>
      <c r="H46" s="730">
        <v>0</v>
      </c>
      <c r="I46" s="731">
        <f t="shared" si="1"/>
        <v>1533.8941200000045</v>
      </c>
      <c r="J46" s="728" t="s">
        <v>118</v>
      </c>
      <c r="L46" s="732"/>
      <c r="M46" s="732"/>
      <c r="N46" s="732"/>
      <c r="O46" s="732"/>
      <c r="P46" s="731"/>
    </row>
    <row r="47" spans="1:16" ht="15.75">
      <c r="A47" s="728" t="s">
        <v>1377</v>
      </c>
      <c r="B47" s="729" t="s">
        <v>1418</v>
      </c>
      <c r="C47" s="714"/>
      <c r="D47" s="730"/>
      <c r="E47" s="730">
        <v>69.646499999999833</v>
      </c>
      <c r="F47" s="730">
        <v>3</v>
      </c>
      <c r="G47" s="730">
        <v>3</v>
      </c>
      <c r="H47" s="730">
        <v>0</v>
      </c>
      <c r="I47" s="731">
        <f t="shared" si="1"/>
        <v>69.646499999999833</v>
      </c>
      <c r="J47" s="728" t="s">
        <v>118</v>
      </c>
      <c r="L47" s="732"/>
      <c r="M47" s="732"/>
      <c r="N47" s="732"/>
      <c r="O47" s="732"/>
      <c r="P47" s="731"/>
    </row>
    <row r="48" spans="1:16" ht="15.75">
      <c r="A48" s="728" t="s">
        <v>1378</v>
      </c>
      <c r="B48" s="729" t="s">
        <v>1419</v>
      </c>
      <c r="C48" s="714"/>
      <c r="D48" s="730"/>
      <c r="E48" s="730">
        <v>419.09472000000096</v>
      </c>
      <c r="F48" s="730">
        <v>3</v>
      </c>
      <c r="G48" s="730">
        <v>3</v>
      </c>
      <c r="H48" s="730">
        <v>0</v>
      </c>
      <c r="I48" s="731">
        <f t="shared" si="1"/>
        <v>419.09472000000096</v>
      </c>
      <c r="J48" s="728" t="s">
        <v>118</v>
      </c>
      <c r="L48" s="732"/>
      <c r="M48" s="732"/>
      <c r="N48" s="732"/>
      <c r="O48" s="732"/>
      <c r="P48" s="731"/>
    </row>
    <row r="49" spans="1:16" ht="15.75">
      <c r="A49" s="728" t="s">
        <v>1379</v>
      </c>
      <c r="B49" s="729" t="s">
        <v>1420</v>
      </c>
      <c r="C49" s="714"/>
      <c r="D49" s="730"/>
      <c r="E49" s="730">
        <v>-2075.0677199999773</v>
      </c>
      <c r="F49" s="730">
        <v>10</v>
      </c>
      <c r="G49" s="730">
        <v>10</v>
      </c>
      <c r="H49" s="730">
        <v>0</v>
      </c>
      <c r="I49" s="731">
        <f t="shared" si="1"/>
        <v>-2075.0677199999773</v>
      </c>
      <c r="J49" s="728" t="s">
        <v>118</v>
      </c>
      <c r="L49" s="732"/>
      <c r="M49" s="732"/>
      <c r="N49" s="732"/>
      <c r="O49" s="732"/>
      <c r="P49" s="731"/>
    </row>
    <row r="50" spans="1:16" ht="15.75">
      <c r="A50" s="728" t="s">
        <v>1380</v>
      </c>
      <c r="B50" s="729" t="s">
        <v>1421</v>
      </c>
      <c r="C50" s="714"/>
      <c r="D50" s="730"/>
      <c r="E50" s="730">
        <v>-107720.56146570016</v>
      </c>
      <c r="F50" s="730">
        <v>10</v>
      </c>
      <c r="G50" s="730">
        <v>10</v>
      </c>
      <c r="H50" s="730">
        <v>0</v>
      </c>
      <c r="I50" s="731">
        <f t="shared" si="1"/>
        <v>-107720.56146570016</v>
      </c>
      <c r="J50" s="728" t="s">
        <v>118</v>
      </c>
      <c r="L50" s="732"/>
      <c r="M50" s="732"/>
      <c r="N50" s="732"/>
      <c r="O50" s="732"/>
      <c r="P50" s="731"/>
    </row>
    <row r="51" spans="1:16" ht="15.75">
      <c r="A51" s="728" t="s">
        <v>1381</v>
      </c>
      <c r="B51" s="729" t="s">
        <v>1422</v>
      </c>
      <c r="C51" s="714"/>
      <c r="D51" s="730"/>
      <c r="E51" s="730">
        <v>2900.7405900000158</v>
      </c>
      <c r="F51" s="730">
        <v>1</v>
      </c>
      <c r="G51" s="730">
        <v>1</v>
      </c>
      <c r="H51" s="730">
        <v>0</v>
      </c>
      <c r="I51" s="731">
        <f t="shared" si="1"/>
        <v>2900.7405900000158</v>
      </c>
      <c r="J51" s="728" t="s">
        <v>118</v>
      </c>
      <c r="L51" s="732"/>
      <c r="M51" s="732"/>
      <c r="N51" s="732"/>
      <c r="O51" s="732"/>
      <c r="P51" s="731"/>
    </row>
    <row r="52" spans="1:16" ht="15.75">
      <c r="A52" s="728" t="s">
        <v>1382</v>
      </c>
      <c r="B52" s="729" t="s">
        <v>1423</v>
      </c>
      <c r="C52" s="714"/>
      <c r="D52" s="730"/>
      <c r="E52" s="730">
        <v>236412.52603489999</v>
      </c>
      <c r="F52" s="730">
        <v>5</v>
      </c>
      <c r="G52" s="730">
        <v>5</v>
      </c>
      <c r="H52" s="730">
        <v>0</v>
      </c>
      <c r="I52" s="731">
        <f t="shared" si="1"/>
        <v>236412.52603489999</v>
      </c>
      <c r="J52" s="728" t="s">
        <v>118</v>
      </c>
      <c r="L52" s="732"/>
      <c r="M52" s="732"/>
      <c r="N52" s="732"/>
      <c r="O52" s="732"/>
      <c r="P52" s="731"/>
    </row>
    <row r="53" spans="1:16" ht="15.75">
      <c r="A53" s="728" t="s">
        <v>1383</v>
      </c>
      <c r="B53" s="729" t="s">
        <v>1424</v>
      </c>
      <c r="C53" s="714"/>
      <c r="D53" s="730"/>
      <c r="E53" s="730">
        <v>1622.2506300000023</v>
      </c>
      <c r="F53" s="730">
        <v>10</v>
      </c>
      <c r="G53" s="730">
        <v>10</v>
      </c>
      <c r="H53" s="730">
        <v>0</v>
      </c>
      <c r="I53" s="731">
        <f t="shared" si="1"/>
        <v>1622.2506300000023</v>
      </c>
      <c r="J53" s="728" t="s">
        <v>118</v>
      </c>
      <c r="L53" s="732"/>
      <c r="M53" s="732"/>
      <c r="N53" s="732"/>
      <c r="O53" s="732"/>
      <c r="P53" s="731"/>
    </row>
    <row r="54" spans="1:16" ht="15.75">
      <c r="A54" s="728" t="s">
        <v>1384</v>
      </c>
      <c r="B54" s="729" t="s">
        <v>1425</v>
      </c>
      <c r="C54" s="714"/>
      <c r="D54" s="730"/>
      <c r="E54" s="730">
        <v>-49733.036099999677</v>
      </c>
      <c r="F54" s="730">
        <v>10</v>
      </c>
      <c r="G54" s="730">
        <v>10</v>
      </c>
      <c r="H54" s="730">
        <v>0</v>
      </c>
      <c r="I54" s="731">
        <f t="shared" si="1"/>
        <v>-49733.036099999677</v>
      </c>
      <c r="J54" s="728" t="s">
        <v>118</v>
      </c>
      <c r="L54" s="732"/>
      <c r="M54" s="732"/>
      <c r="N54" s="732"/>
      <c r="O54" s="732"/>
      <c r="P54" s="731"/>
    </row>
    <row r="55" spans="1:16" ht="15.75">
      <c r="A55" s="728" t="s">
        <v>1385</v>
      </c>
      <c r="B55" s="729" t="s">
        <v>1426</v>
      </c>
      <c r="C55" s="714"/>
      <c r="D55" s="730"/>
      <c r="E55" s="730">
        <v>5177.677907699981</v>
      </c>
      <c r="F55" s="730">
        <v>10</v>
      </c>
      <c r="G55" s="730">
        <v>10</v>
      </c>
      <c r="H55" s="730">
        <v>0</v>
      </c>
      <c r="I55" s="731">
        <f t="shared" si="1"/>
        <v>5177.677907699981</v>
      </c>
      <c r="J55" s="728" t="s">
        <v>118</v>
      </c>
      <c r="L55" s="732"/>
      <c r="M55" s="732"/>
      <c r="N55" s="732"/>
      <c r="O55" s="732"/>
      <c r="P55" s="731"/>
    </row>
    <row r="56" spans="1:16" ht="15.75">
      <c r="A56" s="728" t="s">
        <v>1386</v>
      </c>
      <c r="B56" s="729" t="s">
        <v>1427</v>
      </c>
      <c r="C56" s="714"/>
      <c r="D56" s="730"/>
      <c r="E56" s="730">
        <v>2334.9476700000087</v>
      </c>
      <c r="F56" s="730">
        <v>1</v>
      </c>
      <c r="G56" s="730">
        <v>1</v>
      </c>
      <c r="H56" s="730">
        <v>0</v>
      </c>
      <c r="I56" s="731">
        <f t="shared" si="1"/>
        <v>2334.9476700000087</v>
      </c>
      <c r="J56" s="728" t="s">
        <v>118</v>
      </c>
      <c r="L56" s="732"/>
      <c r="M56" s="732"/>
      <c r="N56" s="732"/>
      <c r="O56" s="732"/>
      <c r="P56" s="731"/>
    </row>
    <row r="57" spans="1:16" ht="15.75">
      <c r="A57" s="733"/>
      <c r="B57" s="714"/>
      <c r="C57" s="714"/>
      <c r="D57" s="734"/>
      <c r="E57" s="734"/>
      <c r="F57" s="734"/>
      <c r="G57" s="734"/>
      <c r="H57" s="734"/>
      <c r="I57" s="731"/>
      <c r="J57" s="733"/>
      <c r="L57" s="732"/>
      <c r="M57" s="732"/>
      <c r="N57" s="732"/>
      <c r="O57" s="732"/>
      <c r="P57" s="732"/>
    </row>
    <row r="58" spans="1:16" ht="15.75">
      <c r="A58" s="727">
        <v>2</v>
      </c>
      <c r="B58" s="726" t="s">
        <v>709</v>
      </c>
      <c r="C58" s="714"/>
      <c r="D58" s="725"/>
      <c r="E58" s="725"/>
      <c r="F58" s="725"/>
      <c r="G58" s="725"/>
      <c r="H58" s="725"/>
      <c r="I58" s="714"/>
      <c r="J58" s="725"/>
      <c r="L58" s="732"/>
      <c r="M58" s="732"/>
      <c r="N58" s="732"/>
      <c r="O58" s="732"/>
      <c r="P58" s="732"/>
    </row>
    <row r="59" spans="1:16" ht="15.75">
      <c r="A59" s="728" t="s">
        <v>433</v>
      </c>
      <c r="B59" s="729"/>
      <c r="C59" s="714"/>
      <c r="D59" s="730"/>
      <c r="E59" s="730"/>
      <c r="F59" s="730"/>
      <c r="G59" s="730"/>
      <c r="H59" s="730"/>
      <c r="I59" s="731">
        <f t="shared" ref="I59" si="2">(D59+E59)-H59</f>
        <v>0</v>
      </c>
      <c r="J59" s="728"/>
      <c r="K59" s="735"/>
      <c r="L59" s="732"/>
      <c r="M59" s="732"/>
      <c r="N59" s="732"/>
      <c r="O59" s="732"/>
      <c r="P59" s="732"/>
    </row>
    <row r="60" spans="1:16" s="736" customFormat="1" ht="15.75">
      <c r="A60" s="721"/>
      <c r="B60" s="721"/>
      <c r="C60" s="721"/>
      <c r="D60" s="721"/>
      <c r="E60" s="721"/>
      <c r="F60" s="721"/>
      <c r="G60" s="721"/>
      <c r="H60" s="721"/>
      <c r="I60" s="721"/>
      <c r="J60" s="721"/>
      <c r="L60" s="737"/>
      <c r="M60" s="737"/>
      <c r="N60" s="737"/>
      <c r="O60" s="737"/>
      <c r="P60" s="737"/>
    </row>
    <row r="61" spans="1:16" ht="15.75">
      <c r="A61" s="727">
        <v>3</v>
      </c>
      <c r="B61" s="726" t="s">
        <v>710</v>
      </c>
      <c r="C61" s="714"/>
      <c r="D61" s="725"/>
      <c r="E61" s="725"/>
      <c r="F61" s="725"/>
      <c r="G61" s="725"/>
      <c r="H61" s="725"/>
      <c r="I61" s="714"/>
      <c r="J61" s="725"/>
      <c r="L61" s="732"/>
      <c r="M61" s="732"/>
      <c r="N61" s="732"/>
      <c r="O61" s="732"/>
      <c r="P61" s="732"/>
    </row>
    <row r="62" spans="1:16" ht="15.75">
      <c r="A62" s="728" t="s">
        <v>507</v>
      </c>
      <c r="B62" s="729" t="s">
        <v>1428</v>
      </c>
      <c r="C62" s="714"/>
      <c r="D62" s="730">
        <v>-69772.157999999996</v>
      </c>
      <c r="E62" s="730">
        <v>0</v>
      </c>
      <c r="F62" s="730">
        <v>10</v>
      </c>
      <c r="G62" s="730">
        <v>5</v>
      </c>
      <c r="H62" s="730">
        <v>-11628.692999999999</v>
      </c>
      <c r="I62" s="731">
        <f t="shared" ref="I62:I74" si="3">(D62+E62)-H62</f>
        <v>-58143.464999999997</v>
      </c>
      <c r="J62" s="728" t="s">
        <v>118</v>
      </c>
      <c r="L62" s="732"/>
      <c r="M62" s="732"/>
      <c r="N62" s="732"/>
      <c r="O62" s="732"/>
      <c r="P62" s="731"/>
    </row>
    <row r="63" spans="1:16" ht="15.75">
      <c r="A63" s="728" t="s">
        <v>468</v>
      </c>
      <c r="B63" s="729" t="s">
        <v>1429</v>
      </c>
      <c r="C63" s="714"/>
      <c r="D63" s="730">
        <v>-82834.643999999986</v>
      </c>
      <c r="E63" s="730">
        <v>0</v>
      </c>
      <c r="F63" s="730">
        <v>10</v>
      </c>
      <c r="G63" s="730">
        <v>5</v>
      </c>
      <c r="H63" s="730">
        <v>-13805.773999999999</v>
      </c>
      <c r="I63" s="731">
        <f t="shared" si="3"/>
        <v>-69028.869999999981</v>
      </c>
      <c r="J63" s="728" t="s">
        <v>118</v>
      </c>
      <c r="L63" s="732"/>
      <c r="M63" s="732"/>
      <c r="N63" s="732"/>
      <c r="O63" s="732"/>
      <c r="P63" s="731"/>
    </row>
    <row r="64" spans="1:16" ht="15.75">
      <c r="A64" s="728" t="s">
        <v>469</v>
      </c>
      <c r="B64" s="729" t="s">
        <v>1430</v>
      </c>
      <c r="C64" s="714"/>
      <c r="D64" s="730">
        <v>-7085.3640000000014</v>
      </c>
      <c r="E64" s="730">
        <v>0</v>
      </c>
      <c r="F64" s="730">
        <v>10</v>
      </c>
      <c r="G64" s="730">
        <v>5</v>
      </c>
      <c r="H64" s="730">
        <v>-1180.894</v>
      </c>
      <c r="I64" s="731">
        <f t="shared" si="3"/>
        <v>-5904.4700000000012</v>
      </c>
      <c r="J64" s="728" t="s">
        <v>118</v>
      </c>
      <c r="L64" s="732"/>
      <c r="M64" s="732"/>
      <c r="N64" s="732"/>
      <c r="O64" s="732"/>
      <c r="P64" s="731"/>
    </row>
    <row r="65" spans="1:16" ht="15.75">
      <c r="A65" s="728" t="s">
        <v>1034</v>
      </c>
      <c r="B65" s="729" t="s">
        <v>1431</v>
      </c>
      <c r="C65" s="714"/>
      <c r="D65" s="730">
        <v>-11.22</v>
      </c>
      <c r="E65" s="730">
        <v>0</v>
      </c>
      <c r="F65" s="730">
        <v>10</v>
      </c>
      <c r="G65" s="730">
        <v>5</v>
      </c>
      <c r="H65" s="730">
        <v>-1.8699999999999999</v>
      </c>
      <c r="I65" s="731">
        <f t="shared" si="3"/>
        <v>-9.3500000000000014</v>
      </c>
      <c r="J65" s="728" t="s">
        <v>118</v>
      </c>
      <c r="L65" s="732"/>
      <c r="M65" s="732"/>
      <c r="N65" s="732"/>
      <c r="O65" s="732"/>
      <c r="P65" s="731"/>
    </row>
    <row r="66" spans="1:16" ht="15.75">
      <c r="A66" s="728" t="s">
        <v>1348</v>
      </c>
      <c r="B66" s="729" t="s">
        <v>1432</v>
      </c>
      <c r="C66" s="714"/>
      <c r="D66" s="730">
        <v>-32371.907999999996</v>
      </c>
      <c r="E66" s="730">
        <v>0</v>
      </c>
      <c r="F66" s="730">
        <v>10</v>
      </c>
      <c r="G66" s="730">
        <v>5</v>
      </c>
      <c r="H66" s="730">
        <v>-5395.3180000000002</v>
      </c>
      <c r="I66" s="731">
        <f t="shared" si="3"/>
        <v>-26976.589999999997</v>
      </c>
      <c r="J66" s="728" t="s">
        <v>118</v>
      </c>
      <c r="L66" s="732"/>
      <c r="M66" s="732"/>
      <c r="N66" s="732"/>
      <c r="O66" s="732"/>
      <c r="P66" s="731"/>
    </row>
    <row r="67" spans="1:16" ht="15.75">
      <c r="A67" s="728" t="s">
        <v>1349</v>
      </c>
      <c r="B67" s="729" t="s">
        <v>1433</v>
      </c>
      <c r="C67" s="714"/>
      <c r="D67" s="730">
        <v>-71613.203999999998</v>
      </c>
      <c r="E67" s="730">
        <v>0</v>
      </c>
      <c r="F67" s="730">
        <v>10</v>
      </c>
      <c r="G67" s="730">
        <v>5</v>
      </c>
      <c r="H67" s="730">
        <v>-11935.534</v>
      </c>
      <c r="I67" s="731">
        <f t="shared" si="3"/>
        <v>-59677.67</v>
      </c>
      <c r="J67" s="728" t="s">
        <v>118</v>
      </c>
      <c r="L67" s="732"/>
      <c r="M67" s="732"/>
      <c r="N67" s="732"/>
      <c r="O67" s="732"/>
      <c r="P67" s="731"/>
    </row>
    <row r="68" spans="1:16" ht="15.75">
      <c r="A68" s="728"/>
      <c r="B68" s="729"/>
      <c r="C68" s="714"/>
      <c r="D68" s="730"/>
      <c r="E68" s="730"/>
      <c r="F68" s="730"/>
      <c r="G68" s="730"/>
      <c r="H68" s="730"/>
      <c r="I68" s="731"/>
      <c r="J68" s="728"/>
      <c r="L68" s="732"/>
      <c r="M68" s="732"/>
      <c r="N68" s="732"/>
      <c r="O68" s="732"/>
      <c r="P68" s="731"/>
    </row>
    <row r="69" spans="1:16" ht="15.75">
      <c r="A69" s="1072"/>
      <c r="B69" s="1070" t="s">
        <v>1368</v>
      </c>
      <c r="C69" s="714"/>
      <c r="D69" s="730"/>
      <c r="E69" s="730"/>
      <c r="F69" s="730"/>
      <c r="G69" s="730"/>
      <c r="H69" s="730"/>
      <c r="I69" s="731"/>
      <c r="J69" s="728"/>
      <c r="L69" s="732"/>
      <c r="M69" s="732"/>
      <c r="N69" s="732"/>
      <c r="O69" s="732"/>
      <c r="P69" s="731"/>
    </row>
    <row r="70" spans="1:16" ht="15.75">
      <c r="A70" s="1072" t="s">
        <v>1434</v>
      </c>
      <c r="B70" s="1073" t="s">
        <v>1446</v>
      </c>
      <c r="C70" s="714"/>
      <c r="D70" s="730"/>
      <c r="E70" s="730">
        <v>-6968.7065997999744</v>
      </c>
      <c r="F70" s="730">
        <v>2</v>
      </c>
      <c r="G70" s="730">
        <v>2</v>
      </c>
      <c r="H70" s="730">
        <v>0</v>
      </c>
      <c r="I70" s="731">
        <f t="shared" si="3"/>
        <v>-6968.7065997999744</v>
      </c>
      <c r="J70" s="728" t="s">
        <v>118</v>
      </c>
      <c r="L70" s="732"/>
      <c r="M70" s="732"/>
      <c r="N70" s="732"/>
      <c r="O70" s="732"/>
      <c r="P70" s="731"/>
    </row>
    <row r="71" spans="1:16" ht="15.75">
      <c r="A71" s="1072" t="s">
        <v>1435</v>
      </c>
      <c r="B71" s="1073" t="s">
        <v>1447</v>
      </c>
      <c r="C71" s="714"/>
      <c r="D71" s="730"/>
      <c r="E71" s="730">
        <v>10443.067469999951</v>
      </c>
      <c r="F71" s="730">
        <v>10</v>
      </c>
      <c r="G71" s="730">
        <v>10</v>
      </c>
      <c r="H71" s="730">
        <v>0</v>
      </c>
      <c r="I71" s="731">
        <f t="shared" si="3"/>
        <v>10443.067469999951</v>
      </c>
      <c r="J71" s="728" t="s">
        <v>118</v>
      </c>
      <c r="L71" s="732"/>
      <c r="M71" s="732"/>
      <c r="N71" s="732"/>
      <c r="O71" s="732"/>
      <c r="P71" s="731"/>
    </row>
    <row r="72" spans="1:16" ht="15.75">
      <c r="A72" s="1072" t="s">
        <v>1436</v>
      </c>
      <c r="B72" s="1073" t="s">
        <v>1448</v>
      </c>
      <c r="C72" s="714"/>
      <c r="D72" s="730"/>
      <c r="E72" s="730">
        <v>-54176.169028499862</v>
      </c>
      <c r="F72" s="730">
        <v>10</v>
      </c>
      <c r="G72" s="730">
        <v>10</v>
      </c>
      <c r="H72" s="730">
        <v>0</v>
      </c>
      <c r="I72" s="731">
        <f t="shared" si="3"/>
        <v>-54176.169028499862</v>
      </c>
      <c r="J72" s="728" t="s">
        <v>118</v>
      </c>
      <c r="L72" s="732"/>
      <c r="M72" s="732"/>
      <c r="N72" s="732"/>
      <c r="O72" s="732"/>
      <c r="P72" s="731"/>
    </row>
    <row r="73" spans="1:16" ht="15.75">
      <c r="A73" s="733"/>
      <c r="B73" s="714"/>
      <c r="C73" s="714"/>
      <c r="D73" s="734"/>
      <c r="E73" s="734"/>
      <c r="F73" s="734"/>
      <c r="G73" s="734"/>
      <c r="H73" s="734"/>
      <c r="I73" s="731"/>
      <c r="J73" s="733"/>
      <c r="L73" s="732"/>
      <c r="M73" s="732"/>
      <c r="N73" s="732"/>
      <c r="O73" s="732"/>
      <c r="P73" s="731"/>
    </row>
    <row r="74" spans="1:16" ht="15.75">
      <c r="A74" s="728">
        <v>4</v>
      </c>
      <c r="B74" s="738" t="s">
        <v>711</v>
      </c>
      <c r="C74" s="714"/>
      <c r="D74" s="730">
        <v>283359.3043724426</v>
      </c>
      <c r="E74" s="730">
        <v>6716.7301153364824</v>
      </c>
      <c r="F74" s="730"/>
      <c r="G74" s="730"/>
      <c r="H74" s="730">
        <v>47245.165291385325</v>
      </c>
      <c r="I74" s="731">
        <f t="shared" si="3"/>
        <v>242830.86919639376</v>
      </c>
      <c r="J74" s="728" t="s">
        <v>1367</v>
      </c>
      <c r="K74" s="735"/>
      <c r="L74" s="732"/>
      <c r="M74" s="732"/>
      <c r="N74" s="732"/>
      <c r="O74" s="732"/>
      <c r="P74" s="731"/>
    </row>
    <row r="75" spans="1:16" ht="15.75">
      <c r="A75" s="733"/>
      <c r="B75" s="739"/>
      <c r="C75" s="714"/>
      <c r="D75" s="740"/>
      <c r="E75" s="740"/>
      <c r="F75" s="734"/>
      <c r="G75" s="734"/>
      <c r="H75" s="740"/>
      <c r="I75" s="741"/>
      <c r="J75" s="733"/>
      <c r="L75" s="732"/>
      <c r="M75" s="732"/>
      <c r="N75" s="732"/>
      <c r="O75" s="732"/>
      <c r="P75" s="732"/>
    </row>
    <row r="76" spans="1:16" ht="15.75">
      <c r="A76" s="728">
        <v>5</v>
      </c>
      <c r="B76" s="738" t="s">
        <v>712</v>
      </c>
      <c r="C76" s="714"/>
      <c r="D76" s="742">
        <f>SUM(D13:D75)</f>
        <v>980750.1163724428</v>
      </c>
      <c r="E76" s="742">
        <f>SUM(E13:E75)</f>
        <v>51471.816581036794</v>
      </c>
      <c r="F76" s="743"/>
      <c r="G76" s="743"/>
      <c r="H76" s="742">
        <f>SUM(H13:H75)</f>
        <v>163476.96729138534</v>
      </c>
      <c r="I76" s="742">
        <f>SUM(I13:I75)</f>
        <v>868744.9656620943</v>
      </c>
      <c r="J76" s="714"/>
      <c r="K76" s="742"/>
      <c r="L76" s="742"/>
      <c r="M76" s="743"/>
      <c r="N76" s="742"/>
      <c r="O76" s="742"/>
      <c r="P76" s="742"/>
    </row>
    <row r="77" spans="1:16" ht="15.75">
      <c r="A77" s="714"/>
      <c r="B77" s="739"/>
      <c r="C77" s="714"/>
      <c r="D77" s="743"/>
      <c r="E77" s="742"/>
      <c r="F77" s="743"/>
      <c r="G77" s="743"/>
      <c r="H77" s="742"/>
      <c r="I77" s="714"/>
      <c r="J77" s="714"/>
      <c r="K77" s="732"/>
      <c r="L77" s="732"/>
      <c r="M77" s="732"/>
      <c r="N77" s="732"/>
      <c r="O77" s="732"/>
      <c r="P77" s="732"/>
    </row>
    <row r="78" spans="1:16" ht="78.75">
      <c r="A78" s="724" t="s">
        <v>159</v>
      </c>
      <c r="B78" s="724" t="s">
        <v>580</v>
      </c>
      <c r="C78" s="714"/>
      <c r="D78" s="724" t="s">
        <v>713</v>
      </c>
      <c r="E78" s="724" t="s">
        <v>703</v>
      </c>
      <c r="F78" s="724" t="s">
        <v>704</v>
      </c>
      <c r="G78" s="724" t="s">
        <v>621</v>
      </c>
      <c r="H78" s="724" t="s">
        <v>705</v>
      </c>
      <c r="I78" s="724" t="s">
        <v>706</v>
      </c>
      <c r="J78" s="724" t="s">
        <v>582</v>
      </c>
      <c r="L78" s="732"/>
      <c r="M78" s="732"/>
      <c r="N78" s="732"/>
      <c r="O78" s="732"/>
      <c r="P78" s="732"/>
    </row>
    <row r="79" spans="1:16" ht="15.75">
      <c r="A79" s="725"/>
      <c r="B79" s="726" t="s">
        <v>714</v>
      </c>
      <c r="C79" s="714"/>
      <c r="D79" s="725"/>
      <c r="E79" s="725"/>
      <c r="F79" s="725"/>
      <c r="G79" s="725"/>
      <c r="H79" s="725"/>
      <c r="I79" s="725"/>
      <c r="J79" s="725"/>
      <c r="L79" s="732"/>
      <c r="M79" s="732"/>
      <c r="N79" s="732"/>
      <c r="O79" s="732"/>
      <c r="P79" s="732"/>
    </row>
    <row r="80" spans="1:16" ht="15.75">
      <c r="A80" s="728">
        <f>A76+1</f>
        <v>6</v>
      </c>
      <c r="B80" s="714" t="s">
        <v>1437</v>
      </c>
      <c r="C80" s="714"/>
      <c r="D80" s="730">
        <v>551163.4265200001</v>
      </c>
      <c r="E80" s="730">
        <v>-60744.401619999997</v>
      </c>
      <c r="F80" s="744" t="s">
        <v>581</v>
      </c>
      <c r="G80" s="744" t="s">
        <v>581</v>
      </c>
      <c r="H80" s="745">
        <v>139831.73798370006</v>
      </c>
      <c r="I80" s="731">
        <f>(D80+E80)-H80</f>
        <v>350587.28691630001</v>
      </c>
      <c r="J80" s="728" t="s">
        <v>1367</v>
      </c>
      <c r="L80" s="732"/>
      <c r="M80" s="732"/>
      <c r="N80" s="732"/>
      <c r="O80" s="732"/>
      <c r="P80" s="731"/>
    </row>
    <row r="81" spans="1:16" ht="15.75">
      <c r="A81" s="728">
        <v>7</v>
      </c>
      <c r="B81" s="714" t="s">
        <v>1438</v>
      </c>
      <c r="C81" s="714"/>
      <c r="D81" s="730">
        <v>-30649532.517589994</v>
      </c>
      <c r="E81" s="730">
        <v>64469.927130000004</v>
      </c>
      <c r="F81" s="744" t="s">
        <v>581</v>
      </c>
      <c r="G81" s="744" t="s">
        <v>581</v>
      </c>
      <c r="H81" s="745">
        <v>-987588.85659699515</v>
      </c>
      <c r="I81" s="731">
        <f t="shared" ref="I81:I87" si="4">(D81+E81)-H81</f>
        <v>-29597473.733863</v>
      </c>
      <c r="J81" s="728" t="s">
        <v>1367</v>
      </c>
      <c r="L81" s="732"/>
      <c r="M81" s="732"/>
      <c r="N81" s="732"/>
      <c r="O81" s="732"/>
      <c r="P81" s="731"/>
    </row>
    <row r="82" spans="1:16" ht="15.75">
      <c r="A82" s="728">
        <v>8</v>
      </c>
      <c r="B82" s="714" t="s">
        <v>1439</v>
      </c>
      <c r="C82" s="714"/>
      <c r="D82" s="730"/>
      <c r="E82" s="730"/>
      <c r="F82" s="744" t="s">
        <v>581</v>
      </c>
      <c r="G82" s="744" t="s">
        <v>581</v>
      </c>
      <c r="H82" s="746"/>
      <c r="I82" s="731">
        <f t="shared" si="4"/>
        <v>0</v>
      </c>
      <c r="J82" s="728" t="s">
        <v>1367</v>
      </c>
      <c r="L82" s="732"/>
      <c r="M82" s="732"/>
      <c r="N82" s="732"/>
      <c r="O82" s="732"/>
      <c r="P82" s="731"/>
    </row>
    <row r="83" spans="1:16" ht="15.75">
      <c r="A83" s="728">
        <v>9</v>
      </c>
      <c r="B83" s="714" t="s">
        <v>1440</v>
      </c>
      <c r="C83" s="714"/>
      <c r="D83" s="746">
        <v>-12234194.069440002</v>
      </c>
      <c r="E83" s="746">
        <v>1514.3279678071488</v>
      </c>
      <c r="F83" s="744" t="s">
        <v>581</v>
      </c>
      <c r="G83" s="744" t="s">
        <v>581</v>
      </c>
      <c r="H83" s="746">
        <v>-344590.93386363797</v>
      </c>
      <c r="I83" s="731">
        <f t="shared" si="4"/>
        <v>-11888088.807608556</v>
      </c>
      <c r="J83" s="728" t="s">
        <v>1367</v>
      </c>
      <c r="L83" s="732"/>
      <c r="M83" s="732"/>
      <c r="N83" s="732"/>
      <c r="O83" s="732"/>
      <c r="P83" s="731"/>
    </row>
    <row r="84" spans="1:16" ht="15.75">
      <c r="A84" s="728">
        <v>10</v>
      </c>
      <c r="B84" s="714" t="s">
        <v>1441</v>
      </c>
      <c r="C84" s="714"/>
      <c r="D84" s="746">
        <v>0</v>
      </c>
      <c r="E84" s="746">
        <v>61424.45000000007</v>
      </c>
      <c r="F84" s="744" t="s">
        <v>581</v>
      </c>
      <c r="G84" s="744" t="s">
        <v>581</v>
      </c>
      <c r="H84" s="746">
        <v>0</v>
      </c>
      <c r="I84" s="731">
        <f t="shared" si="4"/>
        <v>61424.45000000007</v>
      </c>
      <c r="J84" s="728" t="s">
        <v>1367</v>
      </c>
      <c r="L84" s="732"/>
      <c r="M84" s="732"/>
      <c r="N84" s="732"/>
      <c r="O84" s="732"/>
      <c r="P84" s="731"/>
    </row>
    <row r="85" spans="1:16" ht="15.75">
      <c r="A85" s="728">
        <v>11</v>
      </c>
      <c r="B85" s="714" t="s">
        <v>1442</v>
      </c>
      <c r="C85" s="714"/>
      <c r="D85" s="746">
        <v>0</v>
      </c>
      <c r="E85" s="746">
        <v>-1526780.3900000043</v>
      </c>
      <c r="F85" s="744" t="s">
        <v>581</v>
      </c>
      <c r="G85" s="744" t="s">
        <v>581</v>
      </c>
      <c r="H85" s="746">
        <v>0</v>
      </c>
      <c r="I85" s="731">
        <f t="shared" si="4"/>
        <v>-1526780.3900000043</v>
      </c>
      <c r="J85" s="728" t="s">
        <v>1367</v>
      </c>
      <c r="L85" s="732"/>
      <c r="M85" s="732"/>
      <c r="N85" s="732"/>
      <c r="O85" s="732"/>
      <c r="P85" s="731"/>
    </row>
    <row r="86" spans="1:16" ht="15.75">
      <c r="A86" s="728">
        <v>12</v>
      </c>
      <c r="B86" s="714" t="s">
        <v>1443</v>
      </c>
      <c r="C86" s="714"/>
      <c r="D86" s="746"/>
      <c r="E86" s="746"/>
      <c r="F86" s="744" t="s">
        <v>581</v>
      </c>
      <c r="G86" s="744" t="s">
        <v>581</v>
      </c>
      <c r="H86" s="746"/>
      <c r="I86" s="731">
        <f t="shared" si="4"/>
        <v>0</v>
      </c>
      <c r="J86" s="728" t="s">
        <v>1367</v>
      </c>
      <c r="L86" s="732"/>
      <c r="M86" s="732"/>
      <c r="N86" s="732"/>
      <c r="O86" s="732"/>
      <c r="P86" s="731"/>
    </row>
    <row r="87" spans="1:16" ht="15.75">
      <c r="A87" s="728">
        <v>13</v>
      </c>
      <c r="B87" s="714" t="s">
        <v>1444</v>
      </c>
      <c r="C87" s="714"/>
      <c r="D87" s="747"/>
      <c r="E87" s="747">
        <v>-572750.79190733132</v>
      </c>
      <c r="F87" s="744" t="s">
        <v>581</v>
      </c>
      <c r="G87" s="744" t="s">
        <v>581</v>
      </c>
      <c r="H87" s="747"/>
      <c r="I87" s="741">
        <f t="shared" si="4"/>
        <v>-572750.79190733132</v>
      </c>
      <c r="J87" s="728" t="s">
        <v>1367</v>
      </c>
      <c r="L87" s="732"/>
      <c r="M87" s="732"/>
      <c r="N87" s="732"/>
      <c r="O87" s="732"/>
      <c r="P87" s="731"/>
    </row>
    <row r="88" spans="1:16" ht="15.75">
      <c r="A88" s="728">
        <v>14</v>
      </c>
      <c r="B88" s="738" t="s">
        <v>1445</v>
      </c>
      <c r="C88" s="714"/>
      <c r="D88" s="748">
        <f>SUM(D80:D87)</f>
        <v>-42332563.160509996</v>
      </c>
      <c r="E88" s="748">
        <f>SUM(E80:E87)</f>
        <v>-2032866.8784295283</v>
      </c>
      <c r="F88" s="743"/>
      <c r="G88" s="743"/>
      <c r="H88" s="748">
        <f>SUM(H80:H87)</f>
        <v>-1192348.052476933</v>
      </c>
      <c r="I88" s="748">
        <f>SUM(I80:I87)</f>
        <v>-43173081.986462586</v>
      </c>
      <c r="J88" s="733"/>
      <c r="K88" s="735"/>
      <c r="L88" s="748"/>
      <c r="M88" s="748"/>
      <c r="N88" s="748"/>
      <c r="O88" s="732"/>
      <c r="P88" s="748"/>
    </row>
    <row r="89" spans="1:16" ht="15.75">
      <c r="A89" s="733"/>
      <c r="B89" s="739"/>
      <c r="C89" s="714"/>
      <c r="D89" s="749"/>
      <c r="E89" s="749"/>
      <c r="F89" s="743"/>
      <c r="G89" s="743"/>
      <c r="H89" s="750"/>
      <c r="I89" s="748"/>
      <c r="J89" s="733"/>
      <c r="L89" s="732"/>
      <c r="M89" s="732"/>
      <c r="N89" s="732"/>
      <c r="O89" s="732"/>
      <c r="P89" s="732"/>
    </row>
    <row r="90" spans="1:16" ht="15.75">
      <c r="A90" s="728">
        <v>15</v>
      </c>
      <c r="B90" s="739" t="s">
        <v>715</v>
      </c>
      <c r="C90" s="714"/>
      <c r="D90" s="743"/>
      <c r="E90" s="743"/>
      <c r="F90" s="743"/>
      <c r="G90" s="743"/>
      <c r="H90" s="730"/>
      <c r="I90" s="714"/>
      <c r="J90" s="733"/>
      <c r="K90" s="735"/>
      <c r="N90" s="742"/>
    </row>
    <row r="91" spans="1:16" ht="15.75">
      <c r="A91" s="733"/>
      <c r="B91" s="739"/>
      <c r="C91" s="714"/>
      <c r="D91" s="1074"/>
      <c r="E91" s="1074"/>
      <c r="F91" s="751"/>
      <c r="G91" s="751"/>
      <c r="H91" s="742"/>
      <c r="I91" s="1074"/>
      <c r="J91" s="733"/>
      <c r="K91" s="735"/>
      <c r="N91" s="742"/>
    </row>
    <row r="92" spans="1:16" ht="15.75">
      <c r="A92" s="728">
        <v>16</v>
      </c>
      <c r="B92" s="739" t="s">
        <v>716</v>
      </c>
      <c r="C92" s="714"/>
      <c r="D92" s="743"/>
      <c r="E92" s="743"/>
      <c r="F92" s="743"/>
      <c r="G92" s="743"/>
      <c r="H92" s="742">
        <f>SUM(H13:H72)+SUM(H80:H82)+H90</f>
        <v>-731525.316613295</v>
      </c>
      <c r="I92" s="714"/>
      <c r="J92" s="728" t="s">
        <v>1367</v>
      </c>
      <c r="K92" s="735"/>
      <c r="N92" s="742"/>
    </row>
    <row r="93" spans="1:16" ht="15.75">
      <c r="A93" s="752"/>
      <c r="B93" s="739"/>
      <c r="D93" s="743"/>
      <c r="E93" s="743"/>
      <c r="F93" s="743"/>
      <c r="G93" s="743"/>
      <c r="H93" s="742"/>
      <c r="J93" s="752"/>
    </row>
    <row r="94" spans="1:16">
      <c r="A94" s="753" t="s">
        <v>206</v>
      </c>
      <c r="D94" s="1075"/>
      <c r="E94" s="1076"/>
      <c r="F94" s="1076"/>
      <c r="G94" s="1076"/>
      <c r="H94" s="754"/>
      <c r="I94" s="1075"/>
    </row>
    <row r="95" spans="1:16" ht="96.6" customHeight="1">
      <c r="A95" s="755" t="s">
        <v>101</v>
      </c>
      <c r="B95" s="1153" t="s">
        <v>1167</v>
      </c>
      <c r="C95" s="1153"/>
      <c r="D95" s="1153"/>
      <c r="E95" s="1153"/>
      <c r="F95" s="1153"/>
      <c r="G95" s="1153"/>
      <c r="H95" s="1153"/>
      <c r="I95" s="1153"/>
      <c r="J95" s="1153"/>
      <c r="L95" s="756"/>
    </row>
    <row r="96" spans="1:16">
      <c r="A96" s="755" t="s">
        <v>102</v>
      </c>
      <c r="B96" s="757" t="s">
        <v>717</v>
      </c>
      <c r="C96" s="757"/>
      <c r="D96" s="758"/>
      <c r="E96" s="758"/>
      <c r="F96" s="758"/>
      <c r="G96" s="759"/>
      <c r="H96" s="760"/>
      <c r="I96" s="757"/>
      <c r="J96" s="757"/>
    </row>
    <row r="97" spans="1:10">
      <c r="A97" s="755" t="s">
        <v>103</v>
      </c>
      <c r="B97" s="757" t="s">
        <v>718</v>
      </c>
      <c r="C97" s="757"/>
      <c r="D97" s="758"/>
      <c r="E97" s="758"/>
      <c r="F97" s="758"/>
      <c r="G97" s="759"/>
      <c r="H97" s="760"/>
      <c r="I97" s="757"/>
      <c r="J97" s="757"/>
    </row>
    <row r="98" spans="1:10">
      <c r="A98" s="755" t="s">
        <v>104</v>
      </c>
      <c r="B98" s="757" t="s">
        <v>719</v>
      </c>
      <c r="C98" s="757"/>
      <c r="D98" s="759"/>
      <c r="E98" s="759"/>
      <c r="F98" s="759"/>
      <c r="G98" s="759"/>
      <c r="H98" s="760"/>
      <c r="I98" s="757"/>
      <c r="J98" s="757"/>
    </row>
    <row r="99" spans="1:10">
      <c r="A99" s="755"/>
      <c r="B99" s="757" t="s">
        <v>720</v>
      </c>
      <c r="C99" s="757" t="s">
        <v>721</v>
      </c>
      <c r="D99" s="758"/>
      <c r="E99" s="758"/>
      <c r="F99" s="758"/>
      <c r="G99" s="758"/>
      <c r="H99" s="760"/>
      <c r="I99" s="757"/>
      <c r="J99" s="757"/>
    </row>
    <row r="100" spans="1:10">
      <c r="A100" s="755"/>
      <c r="B100" s="757" t="s">
        <v>722</v>
      </c>
      <c r="C100" s="757"/>
      <c r="D100" s="759"/>
      <c r="E100" s="759"/>
      <c r="F100" s="759"/>
      <c r="G100" s="759"/>
      <c r="H100" s="760"/>
      <c r="I100" s="757"/>
      <c r="J100" s="757"/>
    </row>
    <row r="101" spans="1:10">
      <c r="A101" s="755" t="s">
        <v>105</v>
      </c>
      <c r="B101" s="757" t="s">
        <v>826</v>
      </c>
      <c r="C101" s="757"/>
      <c r="D101" s="759"/>
      <c r="E101" s="759"/>
      <c r="F101" s="759"/>
      <c r="H101" s="760"/>
      <c r="I101" s="757"/>
      <c r="J101" s="857"/>
    </row>
    <row r="102" spans="1:10">
      <c r="A102" s="755" t="s">
        <v>106</v>
      </c>
      <c r="B102" s="757" t="s">
        <v>723</v>
      </c>
      <c r="C102" s="757"/>
      <c r="D102" s="759"/>
      <c r="E102" s="759"/>
      <c r="F102" s="759"/>
      <c r="G102" s="759"/>
      <c r="H102" s="760"/>
      <c r="I102" s="757"/>
      <c r="J102" s="757"/>
    </row>
    <row r="103" spans="1:10">
      <c r="A103" s="755" t="s">
        <v>107</v>
      </c>
      <c r="B103" s="1153" t="s">
        <v>1144</v>
      </c>
      <c r="C103" s="1153"/>
      <c r="D103" s="1153"/>
      <c r="E103" s="1153"/>
      <c r="F103" s="1153"/>
      <c r="G103" s="1153"/>
      <c r="H103" s="1153"/>
      <c r="I103" s="1153"/>
      <c r="J103" s="1153"/>
    </row>
    <row r="104" spans="1:10" ht="15.75">
      <c r="A104" s="752"/>
      <c r="D104" s="751"/>
      <c r="E104" s="751"/>
      <c r="F104" s="751"/>
      <c r="G104" s="743"/>
      <c r="H104" s="742"/>
    </row>
    <row r="105" spans="1:10" ht="15.75">
      <c r="A105" s="752"/>
      <c r="D105" s="751"/>
      <c r="E105" s="751"/>
      <c r="F105" s="751"/>
      <c r="G105" s="743"/>
      <c r="H105" s="742"/>
    </row>
    <row r="106" spans="1:10" ht="15.75">
      <c r="A106" s="752"/>
      <c r="D106" s="751"/>
      <c r="E106" s="751"/>
      <c r="F106" s="751"/>
      <c r="G106" s="743"/>
      <c r="H106" s="742"/>
    </row>
    <row r="107" spans="1:10" ht="15.75">
      <c r="A107" s="761"/>
      <c r="D107" s="743"/>
      <c r="E107" s="743"/>
      <c r="F107" s="743"/>
      <c r="G107" s="743"/>
      <c r="H107" s="742"/>
    </row>
    <row r="108" spans="1:10" ht="15.75">
      <c r="A108" s="761"/>
      <c r="D108" s="743"/>
      <c r="E108" s="743"/>
      <c r="F108" s="743"/>
      <c r="G108" s="743"/>
      <c r="H108" s="742"/>
    </row>
    <row r="109" spans="1:10" ht="15.75">
      <c r="A109" s="761"/>
      <c r="D109" s="743"/>
      <c r="E109" s="743"/>
      <c r="F109" s="743"/>
      <c r="G109" s="743"/>
      <c r="H109" s="742"/>
    </row>
    <row r="110" spans="1:10" ht="15.75">
      <c r="A110" s="761"/>
      <c r="D110" s="743"/>
      <c r="E110" s="743"/>
      <c r="F110" s="743"/>
      <c r="G110" s="743"/>
      <c r="H110" s="742"/>
    </row>
    <row r="111" spans="1:10" ht="15.75">
      <c r="D111" s="743"/>
      <c r="E111" s="743"/>
      <c r="F111" s="743"/>
      <c r="G111" s="743"/>
      <c r="H111" s="742"/>
    </row>
    <row r="112" spans="1:10" ht="15.75">
      <c r="A112" s="761"/>
      <c r="D112" s="743"/>
      <c r="E112" s="743"/>
      <c r="F112" s="743"/>
    </row>
  </sheetData>
  <mergeCells count="4">
    <mergeCell ref="B5:I5"/>
    <mergeCell ref="B6:I6"/>
    <mergeCell ref="B95:J95"/>
    <mergeCell ref="B103:J103"/>
  </mergeCells>
  <pageMargins left="0.7" right="0.7" top="0.75" bottom="0.75" header="0.3" footer="0.3"/>
  <pageSetup scale="37" orientation="portrait" r:id="rId1"/>
  <ignoredErrors>
    <ignoredError sqref="H92"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CDD4-99B8-4745-A088-5B53C67DB1AC}">
  <sheetPr codeName="Sheet26"/>
  <dimension ref="A2:AC52"/>
  <sheetViews>
    <sheetView view="pageBreakPreview" zoomScale="80" zoomScaleNormal="100" zoomScaleSheetLayoutView="80" workbookViewId="0">
      <selection activeCell="C37" sqref="C37"/>
    </sheetView>
  </sheetViews>
  <sheetFormatPr defaultRowHeight="15"/>
  <cols>
    <col min="1" max="1" width="5.6640625" customWidth="1"/>
    <col min="2" max="2" width="0.88671875" customWidth="1"/>
    <col min="3" max="3" width="15.44140625" customWidth="1"/>
    <col min="4" max="4" width="9.109375" customWidth="1"/>
    <col min="5" max="5" width="14.5546875" customWidth="1"/>
    <col min="6" max="6" width="14" customWidth="1"/>
    <col min="7" max="7" width="6" customWidth="1"/>
    <col min="8" max="8" width="14.21875" customWidth="1"/>
    <col min="9" max="9" width="12.88671875" customWidth="1"/>
    <col min="10" max="10" width="12.77734375" customWidth="1"/>
    <col min="11" max="11" width="10.33203125" customWidth="1"/>
    <col min="12" max="12" width="9.88671875" customWidth="1"/>
    <col min="13" max="13" width="11.88671875" customWidth="1"/>
    <col min="14" max="14" width="9.5546875" customWidth="1"/>
    <col min="15" max="15" width="10.6640625" customWidth="1"/>
    <col min="17" max="17" width="8.88671875" customWidth="1"/>
    <col min="18" max="20" width="9" bestFit="1" customWidth="1"/>
    <col min="22" max="22" width="12.44140625" customWidth="1"/>
    <col min="23" max="23" width="10" customWidth="1"/>
    <col min="24" max="24" width="12.109375" customWidth="1"/>
    <col min="25" max="25" width="11.88671875" customWidth="1"/>
    <col min="26" max="26" width="10" customWidth="1"/>
    <col min="27" max="27" width="8.109375" customWidth="1"/>
    <col min="28" max="28" width="9.109375" customWidth="1"/>
    <col min="29" max="29" width="12.88671875" customWidth="1"/>
  </cols>
  <sheetData>
    <row r="2" spans="1:29" ht="15.75">
      <c r="AA2" s="828"/>
      <c r="AB2" s="828"/>
      <c r="AC2" s="829" t="str">
        <f>'Attachment H-11A '!K1&amp;""&amp;", Attachment 16"</f>
        <v>Attachment H -11A, Attachment 16</v>
      </c>
    </row>
    <row r="3" spans="1:29" ht="15.75">
      <c r="AA3" s="828"/>
      <c r="AB3" s="828"/>
      <c r="AC3" s="829" t="s">
        <v>168</v>
      </c>
    </row>
    <row r="4" spans="1:29" ht="18.75">
      <c r="M4" s="887" t="s">
        <v>909</v>
      </c>
      <c r="N4" s="887"/>
      <c r="AA4" s="828"/>
      <c r="AB4" s="828"/>
      <c r="AC4" s="830" t="str">
        <f>'Attachment H-11A '!K4</f>
        <v>For the 12 months ended 12/31/2022</v>
      </c>
    </row>
    <row r="7" spans="1:29" ht="15.75">
      <c r="A7" s="764"/>
      <c r="B7" s="699"/>
      <c r="C7" s="858"/>
      <c r="D7" s="858"/>
      <c r="E7" s="698"/>
      <c r="F7" s="698"/>
      <c r="G7" s="698"/>
      <c r="H7" s="698"/>
      <c r="I7" s="698"/>
      <c r="J7" s="698"/>
      <c r="K7" s="698"/>
      <c r="L7" s="698" t="s">
        <v>688</v>
      </c>
      <c r="M7" s="698" t="str">
        <f>"("&amp;CHAR(CODE(MID(L7,2,1))+1)&amp;")"</f>
        <v>(B)</v>
      </c>
      <c r="N7" s="698" t="str">
        <f t="shared" ref="N7:AC7" si="0">"("&amp;CHAR(CODE(MID(M7,2,1))+1)&amp;")"</f>
        <v>(C)</v>
      </c>
      <c r="O7" s="698" t="str">
        <f t="shared" si="0"/>
        <v>(D)</v>
      </c>
      <c r="P7" s="698" t="str">
        <f t="shared" si="0"/>
        <v>(E)</v>
      </c>
      <c r="Q7" s="698" t="str">
        <f t="shared" si="0"/>
        <v>(F)</v>
      </c>
      <c r="R7" s="698" t="str">
        <f t="shared" si="0"/>
        <v>(G)</v>
      </c>
      <c r="S7" s="698" t="str">
        <f t="shared" si="0"/>
        <v>(H)</v>
      </c>
      <c r="T7" s="698" t="str">
        <f t="shared" si="0"/>
        <v>(I)</v>
      </c>
      <c r="U7" s="698" t="str">
        <f t="shared" si="0"/>
        <v>(J)</v>
      </c>
      <c r="V7" s="698" t="str">
        <f t="shared" si="0"/>
        <v>(K)</v>
      </c>
      <c r="W7" s="698" t="str">
        <f t="shared" si="0"/>
        <v>(L)</v>
      </c>
      <c r="X7" s="698" t="str">
        <f t="shared" si="0"/>
        <v>(M)</v>
      </c>
      <c r="Y7" s="698" t="str">
        <f t="shared" si="0"/>
        <v>(N)</v>
      </c>
      <c r="Z7" s="698" t="str">
        <f t="shared" si="0"/>
        <v>(O)</v>
      </c>
      <c r="AA7" s="698" t="str">
        <f t="shared" si="0"/>
        <v>(P)</v>
      </c>
      <c r="AB7" s="698" t="str">
        <f t="shared" si="0"/>
        <v>(Q)</v>
      </c>
      <c r="AC7" s="698" t="str">
        <f t="shared" si="0"/>
        <v>(R)</v>
      </c>
    </row>
    <row r="8" spans="1:29" ht="29.45" customHeight="1">
      <c r="A8" s="764"/>
      <c r="B8" s="699"/>
      <c r="C8" s="699"/>
      <c r="D8" s="699"/>
      <c r="E8" s="699"/>
      <c r="F8" s="699"/>
      <c r="G8" s="699"/>
      <c r="H8" s="699"/>
      <c r="I8" s="699"/>
      <c r="J8" s="699"/>
      <c r="K8" s="699"/>
      <c r="L8" s="699"/>
      <c r="M8" s="856">
        <f>(MID(AC4:AC4,31,10)-1)</f>
        <v>2021</v>
      </c>
      <c r="N8" s="765">
        <f t="shared" ref="N8:Y8" si="1">$M$8+1</f>
        <v>2022</v>
      </c>
      <c r="O8" s="765">
        <f t="shared" si="1"/>
        <v>2022</v>
      </c>
      <c r="P8" s="765">
        <f t="shared" si="1"/>
        <v>2022</v>
      </c>
      <c r="Q8" s="765">
        <f t="shared" si="1"/>
        <v>2022</v>
      </c>
      <c r="R8" s="765">
        <f t="shared" si="1"/>
        <v>2022</v>
      </c>
      <c r="S8" s="765">
        <f t="shared" si="1"/>
        <v>2022</v>
      </c>
      <c r="T8" s="765">
        <f t="shared" si="1"/>
        <v>2022</v>
      </c>
      <c r="U8" s="765">
        <f t="shared" si="1"/>
        <v>2022</v>
      </c>
      <c r="V8" s="765">
        <f t="shared" si="1"/>
        <v>2022</v>
      </c>
      <c r="W8" s="765">
        <f t="shared" si="1"/>
        <v>2022</v>
      </c>
      <c r="X8" s="765">
        <f t="shared" si="1"/>
        <v>2022</v>
      </c>
      <c r="Y8" s="765">
        <f t="shared" si="1"/>
        <v>2022</v>
      </c>
      <c r="Z8" s="764"/>
      <c r="AA8" s="814"/>
      <c r="AB8" s="764"/>
      <c r="AC8" s="764"/>
    </row>
    <row r="9" spans="1:29" ht="67.349999999999994" customHeight="1">
      <c r="A9" s="766" t="s">
        <v>159</v>
      </c>
      <c r="B9" s="815"/>
      <c r="C9" s="770" t="s">
        <v>776</v>
      </c>
      <c r="D9" s="770" t="s">
        <v>175</v>
      </c>
      <c r="E9" s="770" t="s">
        <v>777</v>
      </c>
      <c r="F9" s="770" t="s">
        <v>775</v>
      </c>
      <c r="G9" s="770" t="s">
        <v>782</v>
      </c>
      <c r="H9" s="770" t="s">
        <v>774</v>
      </c>
      <c r="I9" s="770" t="s">
        <v>804</v>
      </c>
      <c r="J9" s="770" t="s">
        <v>783</v>
      </c>
      <c r="K9" s="770" t="s">
        <v>772</v>
      </c>
      <c r="L9" s="770" t="s">
        <v>773</v>
      </c>
      <c r="M9" s="771" t="s">
        <v>216</v>
      </c>
      <c r="N9" s="771" t="s">
        <v>727</v>
      </c>
      <c r="O9" s="771" t="s">
        <v>728</v>
      </c>
      <c r="P9" s="771" t="s">
        <v>729</v>
      </c>
      <c r="Q9" s="771" t="s">
        <v>730</v>
      </c>
      <c r="R9" s="771" t="s">
        <v>731</v>
      </c>
      <c r="S9" s="771" t="s">
        <v>732</v>
      </c>
      <c r="T9" s="771" t="s">
        <v>733</v>
      </c>
      <c r="U9" s="771" t="s">
        <v>734</v>
      </c>
      <c r="V9" s="771" t="s">
        <v>735</v>
      </c>
      <c r="W9" s="771" t="s">
        <v>736</v>
      </c>
      <c r="X9" s="771" t="s">
        <v>737</v>
      </c>
      <c r="Y9" s="771" t="s">
        <v>216</v>
      </c>
      <c r="Z9" s="771" t="s">
        <v>778</v>
      </c>
      <c r="AA9" s="816" t="s">
        <v>779</v>
      </c>
      <c r="AB9" s="771" t="s">
        <v>780</v>
      </c>
      <c r="AC9" s="771" t="s">
        <v>781</v>
      </c>
    </row>
    <row r="10" spans="1:29" ht="15.75">
      <c r="A10" s="821">
        <v>1</v>
      </c>
      <c r="B10" s="764"/>
      <c r="C10" s="818"/>
      <c r="D10" s="395"/>
      <c r="E10" s="845"/>
      <c r="F10" s="845"/>
      <c r="G10" s="845"/>
      <c r="H10" s="846"/>
      <c r="I10" s="778">
        <f>IF(G10=0,0,(G10*12))</f>
        <v>0</v>
      </c>
      <c r="J10" s="778">
        <f>IF(I10=0,F10,(F10-I10+12))</f>
        <v>0</v>
      </c>
      <c r="K10" s="778">
        <f>IF(I10=0,0,IFERROR(E10/J10,0))</f>
        <v>0</v>
      </c>
      <c r="L10" s="778">
        <f>K10*12</f>
        <v>0</v>
      </c>
      <c r="M10" s="778">
        <f>E10</f>
        <v>0</v>
      </c>
      <c r="N10" s="778">
        <f>M10-K10</f>
        <v>0</v>
      </c>
      <c r="O10" s="778">
        <f>IF(N10-$K10&gt;=0,N10-$K10,0)</f>
        <v>0</v>
      </c>
      <c r="P10" s="778">
        <f t="shared" ref="P10:Y11" si="2">IF(O10-$K10&gt;=0,O10-$K10,0)</f>
        <v>0</v>
      </c>
      <c r="Q10" s="778">
        <f>IF(P10-$K10&gt;=0,P10-$K10,0)</f>
        <v>0</v>
      </c>
      <c r="R10" s="778">
        <f t="shared" si="2"/>
        <v>0</v>
      </c>
      <c r="S10" s="778">
        <f t="shared" si="2"/>
        <v>0</v>
      </c>
      <c r="T10" s="778">
        <f t="shared" si="2"/>
        <v>0</v>
      </c>
      <c r="U10" s="778">
        <f t="shared" si="2"/>
        <v>0</v>
      </c>
      <c r="V10" s="778">
        <f t="shared" si="2"/>
        <v>0</v>
      </c>
      <c r="W10" s="778">
        <f t="shared" si="2"/>
        <v>0</v>
      </c>
      <c r="X10" s="778">
        <f t="shared" si="2"/>
        <v>0</v>
      </c>
      <c r="Y10" s="778">
        <f>IF(X10-$K10&gt;=0,X10-$K10,0)</f>
        <v>0</v>
      </c>
      <c r="Z10" s="778">
        <f>SUM(M10:Y10)/13</f>
        <v>0</v>
      </c>
      <c r="AA10" s="820">
        <f>Z10*'Attachment H-11A '!$I$248</f>
        <v>0</v>
      </c>
      <c r="AB10" s="778">
        <f>AA10*'Attachment H-11A '!$D$145</f>
        <v>0</v>
      </c>
      <c r="AC10" s="778">
        <f>L10+AA10+AB10</f>
        <v>0</v>
      </c>
    </row>
    <row r="11" spans="1:29" ht="15.75">
      <c r="A11" s="821">
        <v>1.01</v>
      </c>
      <c r="B11" s="699"/>
      <c r="C11" s="818"/>
      <c r="D11" s="395"/>
      <c r="E11" s="845"/>
      <c r="F11" s="845"/>
      <c r="G11" s="845"/>
      <c r="H11" s="846"/>
      <c r="I11" s="778">
        <f>IF(G11=0,0,(G11*12))</f>
        <v>0</v>
      </c>
      <c r="J11" s="778">
        <f t="shared" ref="J11:J20" si="3">IF(I11=0,F11,(F11-I11+12))</f>
        <v>0</v>
      </c>
      <c r="K11" s="778">
        <f>IF(I11=0,0,IFERROR(E11/J11,0))</f>
        <v>0</v>
      </c>
      <c r="L11" s="778">
        <f>K11*12</f>
        <v>0</v>
      </c>
      <c r="M11" s="778">
        <f>E11</f>
        <v>0</v>
      </c>
      <c r="N11" s="778">
        <f>M11-K11</f>
        <v>0</v>
      </c>
      <c r="O11" s="778">
        <f>IF(N11-$K11&gt;=0,N11-$K11,0)</f>
        <v>0</v>
      </c>
      <c r="P11" s="778">
        <f t="shared" si="2"/>
        <v>0</v>
      </c>
      <c r="Q11" s="778">
        <f t="shared" si="2"/>
        <v>0</v>
      </c>
      <c r="R11" s="778">
        <f t="shared" si="2"/>
        <v>0</v>
      </c>
      <c r="S11" s="778">
        <f t="shared" si="2"/>
        <v>0</v>
      </c>
      <c r="T11" s="778">
        <f t="shared" si="2"/>
        <v>0</v>
      </c>
      <c r="U11" s="778">
        <f t="shared" si="2"/>
        <v>0</v>
      </c>
      <c r="V11" s="778">
        <f t="shared" si="2"/>
        <v>0</v>
      </c>
      <c r="W11" s="778">
        <f t="shared" si="2"/>
        <v>0</v>
      </c>
      <c r="X11" s="778">
        <f t="shared" si="2"/>
        <v>0</v>
      </c>
      <c r="Y11" s="778">
        <f t="shared" si="2"/>
        <v>0</v>
      </c>
      <c r="Z11" s="778">
        <f>SUM(M11:Y11)/13</f>
        <v>0</v>
      </c>
      <c r="AA11" s="820">
        <f>Z11*'Attachment H-11A '!$I$248</f>
        <v>0</v>
      </c>
      <c r="AB11" s="778">
        <f>AA11*'Attachment H-11A '!$D$145</f>
        <v>0</v>
      </c>
      <c r="AC11" s="778">
        <f>L11+AA11+AB11</f>
        <v>0</v>
      </c>
    </row>
    <row r="12" spans="1:29" ht="15.75">
      <c r="A12" s="821">
        <f>A11+0.01</f>
        <v>1.02</v>
      </c>
      <c r="B12" s="699"/>
      <c r="C12" s="818"/>
      <c r="D12" s="819"/>
      <c r="E12" s="845"/>
      <c r="F12" s="845"/>
      <c r="G12" s="845"/>
      <c r="H12" s="846"/>
      <c r="I12" s="778">
        <f t="shared" ref="I12:I20" si="4">IF(G12=0,0,(G12*12))</f>
        <v>0</v>
      </c>
      <c r="J12" s="778">
        <f t="shared" si="3"/>
        <v>0</v>
      </c>
      <c r="K12" s="778">
        <f t="shared" ref="K12:K20" si="5">IF(I12=0,0,IFERROR(E12/J12,0))</f>
        <v>0</v>
      </c>
      <c r="L12" s="778">
        <f t="shared" ref="L12:L20" si="6">K12*12</f>
        <v>0</v>
      </c>
      <c r="M12" s="778">
        <f t="shared" ref="M12:M20" si="7">E12</f>
        <v>0</v>
      </c>
      <c r="N12" s="778">
        <f t="shared" ref="N12:N20" si="8">M12-K12</f>
        <v>0</v>
      </c>
      <c r="O12" s="778">
        <f t="shared" ref="O12:Y12" si="9">IF(N12-$K12&gt;=0,N12-$K12,0)</f>
        <v>0</v>
      </c>
      <c r="P12" s="778">
        <f t="shared" si="9"/>
        <v>0</v>
      </c>
      <c r="Q12" s="778">
        <f t="shared" si="9"/>
        <v>0</v>
      </c>
      <c r="R12" s="778">
        <f t="shared" si="9"/>
        <v>0</v>
      </c>
      <c r="S12" s="778">
        <f t="shared" si="9"/>
        <v>0</v>
      </c>
      <c r="T12" s="778">
        <f t="shared" si="9"/>
        <v>0</v>
      </c>
      <c r="U12" s="778">
        <f t="shared" si="9"/>
        <v>0</v>
      </c>
      <c r="V12" s="778">
        <f t="shared" si="9"/>
        <v>0</v>
      </c>
      <c r="W12" s="778">
        <f t="shared" si="9"/>
        <v>0</v>
      </c>
      <c r="X12" s="778">
        <f t="shared" si="9"/>
        <v>0</v>
      </c>
      <c r="Y12" s="778">
        <f t="shared" si="9"/>
        <v>0</v>
      </c>
      <c r="Z12" s="778">
        <f t="shared" ref="Z12:Z19" si="10">SUM(M12:Y12)/13</f>
        <v>0</v>
      </c>
      <c r="AA12" s="820">
        <f>Z12*'Attachment H-11A '!$I$248</f>
        <v>0</v>
      </c>
      <c r="AB12" s="778">
        <f>AA12*'Attachment H-11A '!$D$145</f>
        <v>0</v>
      </c>
      <c r="AC12" s="778">
        <f t="shared" ref="AC12:AC20" si="11">L12+AA12+AB12</f>
        <v>0</v>
      </c>
    </row>
    <row r="13" spans="1:29" ht="15.75">
      <c r="A13" s="821">
        <f t="shared" ref="A13:A20" si="12">A12+0.01</f>
        <v>1.03</v>
      </c>
      <c r="B13" s="699"/>
      <c r="C13" s="818"/>
      <c r="D13" s="819"/>
      <c r="E13" s="845"/>
      <c r="F13" s="845"/>
      <c r="G13" s="845"/>
      <c r="H13" s="846"/>
      <c r="I13" s="778">
        <f t="shared" si="4"/>
        <v>0</v>
      </c>
      <c r="J13" s="778">
        <f t="shared" si="3"/>
        <v>0</v>
      </c>
      <c r="K13" s="778">
        <f t="shared" si="5"/>
        <v>0</v>
      </c>
      <c r="L13" s="778">
        <f t="shared" si="6"/>
        <v>0</v>
      </c>
      <c r="M13" s="778">
        <f t="shared" si="7"/>
        <v>0</v>
      </c>
      <c r="N13" s="778">
        <f t="shared" si="8"/>
        <v>0</v>
      </c>
      <c r="O13" s="778">
        <f t="shared" ref="O13:Y13" si="13">IF(N13-$K13&gt;=0,N13-$K13,0)</f>
        <v>0</v>
      </c>
      <c r="P13" s="778">
        <f t="shared" si="13"/>
        <v>0</v>
      </c>
      <c r="Q13" s="778">
        <f t="shared" si="13"/>
        <v>0</v>
      </c>
      <c r="R13" s="778">
        <f t="shared" si="13"/>
        <v>0</v>
      </c>
      <c r="S13" s="778">
        <f t="shared" si="13"/>
        <v>0</v>
      </c>
      <c r="T13" s="778">
        <f t="shared" si="13"/>
        <v>0</v>
      </c>
      <c r="U13" s="778">
        <f t="shared" si="13"/>
        <v>0</v>
      </c>
      <c r="V13" s="778">
        <f t="shared" si="13"/>
        <v>0</v>
      </c>
      <c r="W13" s="778">
        <f t="shared" si="13"/>
        <v>0</v>
      </c>
      <c r="X13" s="778">
        <f t="shared" si="13"/>
        <v>0</v>
      </c>
      <c r="Y13" s="778">
        <f t="shared" si="13"/>
        <v>0</v>
      </c>
      <c r="Z13" s="778">
        <f t="shared" si="10"/>
        <v>0</v>
      </c>
      <c r="AA13" s="820">
        <f>Z13*'Attachment H-11A '!$I$248</f>
        <v>0</v>
      </c>
      <c r="AB13" s="778">
        <f>AA13*'Attachment H-11A '!$D$145</f>
        <v>0</v>
      </c>
      <c r="AC13" s="778">
        <f t="shared" si="11"/>
        <v>0</v>
      </c>
    </row>
    <row r="14" spans="1:29" ht="15.75">
      <c r="A14" s="821">
        <f t="shared" si="12"/>
        <v>1.04</v>
      </c>
      <c r="B14" s="699"/>
      <c r="C14" s="818"/>
      <c r="D14" s="819"/>
      <c r="E14" s="845"/>
      <c r="F14" s="845"/>
      <c r="G14" s="845"/>
      <c r="H14" s="846"/>
      <c r="I14" s="778">
        <f t="shared" si="4"/>
        <v>0</v>
      </c>
      <c r="J14" s="778">
        <f t="shared" si="3"/>
        <v>0</v>
      </c>
      <c r="K14" s="778">
        <f t="shared" si="5"/>
        <v>0</v>
      </c>
      <c r="L14" s="778">
        <f t="shared" si="6"/>
        <v>0</v>
      </c>
      <c r="M14" s="778">
        <f t="shared" si="7"/>
        <v>0</v>
      </c>
      <c r="N14" s="778">
        <f t="shared" si="8"/>
        <v>0</v>
      </c>
      <c r="O14" s="778">
        <f>IF(N14-$K14&gt;=0,N14-$K14,0)</f>
        <v>0</v>
      </c>
      <c r="P14" s="778">
        <f t="shared" ref="P14:Y14" si="14">IF(O14-$K14&gt;=0,O14-$K14,0)</f>
        <v>0</v>
      </c>
      <c r="Q14" s="778">
        <f t="shared" si="14"/>
        <v>0</v>
      </c>
      <c r="R14" s="778">
        <f t="shared" si="14"/>
        <v>0</v>
      </c>
      <c r="S14" s="778">
        <f t="shared" si="14"/>
        <v>0</v>
      </c>
      <c r="T14" s="778">
        <f t="shared" si="14"/>
        <v>0</v>
      </c>
      <c r="U14" s="778">
        <f t="shared" si="14"/>
        <v>0</v>
      </c>
      <c r="V14" s="778">
        <f t="shared" si="14"/>
        <v>0</v>
      </c>
      <c r="W14" s="778">
        <f t="shared" si="14"/>
        <v>0</v>
      </c>
      <c r="X14" s="778">
        <f t="shared" si="14"/>
        <v>0</v>
      </c>
      <c r="Y14" s="778">
        <f t="shared" si="14"/>
        <v>0</v>
      </c>
      <c r="Z14" s="778">
        <f t="shared" si="10"/>
        <v>0</v>
      </c>
      <c r="AA14" s="820">
        <f>Z14*'Attachment H-11A '!$I$248</f>
        <v>0</v>
      </c>
      <c r="AB14" s="778">
        <f>AA14*'Attachment H-11A '!$D$145</f>
        <v>0</v>
      </c>
      <c r="AC14" s="778">
        <f t="shared" si="11"/>
        <v>0</v>
      </c>
    </row>
    <row r="15" spans="1:29" ht="15.75">
      <c r="A15" s="821">
        <f t="shared" si="12"/>
        <v>1.05</v>
      </c>
      <c r="B15" s="699"/>
      <c r="C15" s="818"/>
      <c r="D15" s="819"/>
      <c r="E15" s="845"/>
      <c r="F15" s="845"/>
      <c r="G15" s="845"/>
      <c r="H15" s="846"/>
      <c r="I15" s="778">
        <f t="shared" si="4"/>
        <v>0</v>
      </c>
      <c r="J15" s="778">
        <f t="shared" si="3"/>
        <v>0</v>
      </c>
      <c r="K15" s="778">
        <f t="shared" si="5"/>
        <v>0</v>
      </c>
      <c r="L15" s="778">
        <f t="shared" si="6"/>
        <v>0</v>
      </c>
      <c r="M15" s="778">
        <f t="shared" si="7"/>
        <v>0</v>
      </c>
      <c r="N15" s="778">
        <f t="shared" si="8"/>
        <v>0</v>
      </c>
      <c r="O15" s="778">
        <f t="shared" ref="O15:Y15" si="15">IF(N15-$K15&gt;=0,N15-$K15,0)</f>
        <v>0</v>
      </c>
      <c r="P15" s="778">
        <f t="shared" si="15"/>
        <v>0</v>
      </c>
      <c r="Q15" s="778">
        <f t="shared" si="15"/>
        <v>0</v>
      </c>
      <c r="R15" s="778">
        <f t="shared" si="15"/>
        <v>0</v>
      </c>
      <c r="S15" s="778">
        <f t="shared" si="15"/>
        <v>0</v>
      </c>
      <c r="T15" s="778">
        <f t="shared" si="15"/>
        <v>0</v>
      </c>
      <c r="U15" s="778">
        <f t="shared" si="15"/>
        <v>0</v>
      </c>
      <c r="V15" s="778">
        <f t="shared" si="15"/>
        <v>0</v>
      </c>
      <c r="W15" s="778">
        <f t="shared" si="15"/>
        <v>0</v>
      </c>
      <c r="X15" s="778">
        <f t="shared" si="15"/>
        <v>0</v>
      </c>
      <c r="Y15" s="778">
        <f t="shared" si="15"/>
        <v>0</v>
      </c>
      <c r="Z15" s="778">
        <f t="shared" si="10"/>
        <v>0</v>
      </c>
      <c r="AA15" s="820">
        <f>Z15*'Attachment H-11A '!$I$248</f>
        <v>0</v>
      </c>
      <c r="AB15" s="778">
        <f>AA15*'Attachment H-11A '!$D$145</f>
        <v>0</v>
      </c>
      <c r="AC15" s="778">
        <f t="shared" si="11"/>
        <v>0</v>
      </c>
    </row>
    <row r="16" spans="1:29" ht="15.75">
      <c r="A16" s="821">
        <f t="shared" si="12"/>
        <v>1.06</v>
      </c>
      <c r="B16" s="699"/>
      <c r="C16" s="818"/>
      <c r="D16" s="819"/>
      <c r="E16" s="845"/>
      <c r="F16" s="845"/>
      <c r="G16" s="845"/>
      <c r="H16" s="846"/>
      <c r="I16" s="778">
        <f t="shared" si="4"/>
        <v>0</v>
      </c>
      <c r="J16" s="778">
        <f t="shared" si="3"/>
        <v>0</v>
      </c>
      <c r="K16" s="778">
        <f t="shared" si="5"/>
        <v>0</v>
      </c>
      <c r="L16" s="778">
        <f t="shared" si="6"/>
        <v>0</v>
      </c>
      <c r="M16" s="778">
        <f t="shared" si="7"/>
        <v>0</v>
      </c>
      <c r="N16" s="778">
        <f t="shared" si="8"/>
        <v>0</v>
      </c>
      <c r="O16" s="778">
        <f t="shared" ref="O16:Y16" si="16">IF(N16-$K16&gt;=0,N16-$K16,0)</f>
        <v>0</v>
      </c>
      <c r="P16" s="778">
        <f t="shared" si="16"/>
        <v>0</v>
      </c>
      <c r="Q16" s="778">
        <f t="shared" si="16"/>
        <v>0</v>
      </c>
      <c r="R16" s="778">
        <f t="shared" si="16"/>
        <v>0</v>
      </c>
      <c r="S16" s="778">
        <f t="shared" si="16"/>
        <v>0</v>
      </c>
      <c r="T16" s="778">
        <f t="shared" si="16"/>
        <v>0</v>
      </c>
      <c r="U16" s="778">
        <f t="shared" si="16"/>
        <v>0</v>
      </c>
      <c r="V16" s="778">
        <f t="shared" si="16"/>
        <v>0</v>
      </c>
      <c r="W16" s="778">
        <f t="shared" si="16"/>
        <v>0</v>
      </c>
      <c r="X16" s="778">
        <f t="shared" si="16"/>
        <v>0</v>
      </c>
      <c r="Y16" s="778">
        <f t="shared" si="16"/>
        <v>0</v>
      </c>
      <c r="Z16" s="778">
        <f t="shared" si="10"/>
        <v>0</v>
      </c>
      <c r="AA16" s="820">
        <f>Z16*'Attachment H-11A '!$I$248</f>
        <v>0</v>
      </c>
      <c r="AB16" s="778">
        <f>AA16*'Attachment H-11A '!$D$145</f>
        <v>0</v>
      </c>
      <c r="AC16" s="778">
        <f t="shared" si="11"/>
        <v>0</v>
      </c>
    </row>
    <row r="17" spans="1:29" ht="15.75">
      <c r="A17" s="821">
        <f t="shared" si="12"/>
        <v>1.07</v>
      </c>
      <c r="B17" s="699"/>
      <c r="C17" s="818"/>
      <c r="D17" s="819"/>
      <c r="E17" s="845"/>
      <c r="F17" s="845"/>
      <c r="G17" s="845"/>
      <c r="H17" s="846"/>
      <c r="I17" s="778">
        <f t="shared" si="4"/>
        <v>0</v>
      </c>
      <c r="J17" s="778">
        <f t="shared" si="3"/>
        <v>0</v>
      </c>
      <c r="K17" s="778">
        <f t="shared" si="5"/>
        <v>0</v>
      </c>
      <c r="L17" s="778">
        <f t="shared" si="6"/>
        <v>0</v>
      </c>
      <c r="M17" s="778">
        <f t="shared" si="7"/>
        <v>0</v>
      </c>
      <c r="N17" s="778">
        <f t="shared" si="8"/>
        <v>0</v>
      </c>
      <c r="O17" s="778">
        <f t="shared" ref="O17:Y17" si="17">IF(N17-$K17&gt;=0,N17-$K17,0)</f>
        <v>0</v>
      </c>
      <c r="P17" s="778">
        <f t="shared" si="17"/>
        <v>0</v>
      </c>
      <c r="Q17" s="778">
        <f t="shared" si="17"/>
        <v>0</v>
      </c>
      <c r="R17" s="778">
        <f t="shared" si="17"/>
        <v>0</v>
      </c>
      <c r="S17" s="778">
        <f t="shared" si="17"/>
        <v>0</v>
      </c>
      <c r="T17" s="778">
        <f t="shared" si="17"/>
        <v>0</v>
      </c>
      <c r="U17" s="778">
        <f t="shared" si="17"/>
        <v>0</v>
      </c>
      <c r="V17" s="778">
        <f t="shared" si="17"/>
        <v>0</v>
      </c>
      <c r="W17" s="778">
        <f t="shared" si="17"/>
        <v>0</v>
      </c>
      <c r="X17" s="778">
        <f t="shared" si="17"/>
        <v>0</v>
      </c>
      <c r="Y17" s="778">
        <f t="shared" si="17"/>
        <v>0</v>
      </c>
      <c r="Z17" s="778">
        <f t="shared" si="10"/>
        <v>0</v>
      </c>
      <c r="AA17" s="820">
        <f>Z17*'Attachment H-11A '!$I$248</f>
        <v>0</v>
      </c>
      <c r="AB17" s="778">
        <f>AA17*'Attachment H-11A '!$D$145</f>
        <v>0</v>
      </c>
      <c r="AC17" s="778">
        <f t="shared" si="11"/>
        <v>0</v>
      </c>
    </row>
    <row r="18" spans="1:29" ht="15.75">
      <c r="A18" s="821">
        <f t="shared" si="12"/>
        <v>1.08</v>
      </c>
      <c r="B18" s="699"/>
      <c r="C18" s="818"/>
      <c r="D18" s="819"/>
      <c r="E18" s="845"/>
      <c r="F18" s="845"/>
      <c r="G18" s="845"/>
      <c r="H18" s="846"/>
      <c r="I18" s="778">
        <f t="shared" si="4"/>
        <v>0</v>
      </c>
      <c r="J18" s="778">
        <f t="shared" si="3"/>
        <v>0</v>
      </c>
      <c r="K18" s="778">
        <f t="shared" si="5"/>
        <v>0</v>
      </c>
      <c r="L18" s="778">
        <f t="shared" si="6"/>
        <v>0</v>
      </c>
      <c r="M18" s="778">
        <f t="shared" si="7"/>
        <v>0</v>
      </c>
      <c r="N18" s="778">
        <f t="shared" si="8"/>
        <v>0</v>
      </c>
      <c r="O18" s="778">
        <f t="shared" ref="O18:Y18" si="18">IF(N18-$K18&gt;=0,N18-$K18,0)</f>
        <v>0</v>
      </c>
      <c r="P18" s="778">
        <f t="shared" si="18"/>
        <v>0</v>
      </c>
      <c r="Q18" s="778">
        <f t="shared" si="18"/>
        <v>0</v>
      </c>
      <c r="R18" s="778">
        <f>IF(Q18-$K18&gt;=0,Q18-$K18,0)</f>
        <v>0</v>
      </c>
      <c r="S18" s="778">
        <f t="shared" si="18"/>
        <v>0</v>
      </c>
      <c r="T18" s="778">
        <f t="shared" si="18"/>
        <v>0</v>
      </c>
      <c r="U18" s="778">
        <f t="shared" si="18"/>
        <v>0</v>
      </c>
      <c r="V18" s="778">
        <f>IF(U18-$K18&gt;=0,U18-$K18,0)</f>
        <v>0</v>
      </c>
      <c r="W18" s="778">
        <f t="shared" si="18"/>
        <v>0</v>
      </c>
      <c r="X18" s="778">
        <f t="shared" si="18"/>
        <v>0</v>
      </c>
      <c r="Y18" s="778">
        <f t="shared" si="18"/>
        <v>0</v>
      </c>
      <c r="Z18" s="778">
        <f t="shared" si="10"/>
        <v>0</v>
      </c>
      <c r="AA18" s="820">
        <f>Z18*'Attachment H-11A '!$I$248</f>
        <v>0</v>
      </c>
      <c r="AB18" s="778">
        <f>AA18*'Attachment H-11A '!$D$145</f>
        <v>0</v>
      </c>
      <c r="AC18" s="778">
        <f t="shared" si="11"/>
        <v>0</v>
      </c>
    </row>
    <row r="19" spans="1:29" ht="15.75">
      <c r="A19" s="821">
        <f t="shared" si="12"/>
        <v>1.0900000000000001</v>
      </c>
      <c r="B19" s="699"/>
      <c r="C19" s="818"/>
      <c r="D19" s="819"/>
      <c r="E19" s="845"/>
      <c r="F19" s="845"/>
      <c r="G19" s="845"/>
      <c r="H19" s="846"/>
      <c r="I19" s="778">
        <f t="shared" si="4"/>
        <v>0</v>
      </c>
      <c r="J19" s="778">
        <f t="shared" si="3"/>
        <v>0</v>
      </c>
      <c r="K19" s="778">
        <f t="shared" si="5"/>
        <v>0</v>
      </c>
      <c r="L19" s="778">
        <f t="shared" si="6"/>
        <v>0</v>
      </c>
      <c r="M19" s="778">
        <f t="shared" si="7"/>
        <v>0</v>
      </c>
      <c r="N19" s="778">
        <f t="shared" si="8"/>
        <v>0</v>
      </c>
      <c r="O19" s="778">
        <f t="shared" ref="O19:Y19" si="19">IF(N19-$K19&gt;=0,N19-$K19,0)</f>
        <v>0</v>
      </c>
      <c r="P19" s="778">
        <f t="shared" si="19"/>
        <v>0</v>
      </c>
      <c r="Q19" s="778">
        <f t="shared" si="19"/>
        <v>0</v>
      </c>
      <c r="R19" s="778">
        <f t="shared" si="19"/>
        <v>0</v>
      </c>
      <c r="S19" s="778">
        <f t="shared" si="19"/>
        <v>0</v>
      </c>
      <c r="T19" s="778">
        <f t="shared" si="19"/>
        <v>0</v>
      </c>
      <c r="U19" s="778">
        <f t="shared" si="19"/>
        <v>0</v>
      </c>
      <c r="V19" s="778">
        <f t="shared" si="19"/>
        <v>0</v>
      </c>
      <c r="W19" s="778">
        <f t="shared" si="19"/>
        <v>0</v>
      </c>
      <c r="X19" s="778">
        <f t="shared" si="19"/>
        <v>0</v>
      </c>
      <c r="Y19" s="778">
        <f t="shared" si="19"/>
        <v>0</v>
      </c>
      <c r="Z19" s="778">
        <f t="shared" si="10"/>
        <v>0</v>
      </c>
      <c r="AA19" s="820">
        <f>Z19*'Attachment H-11A '!$I$248</f>
        <v>0</v>
      </c>
      <c r="AB19" s="778">
        <f>AA19*'Attachment H-11A '!$D$145</f>
        <v>0</v>
      </c>
      <c r="AC19" s="778">
        <f t="shared" si="11"/>
        <v>0</v>
      </c>
    </row>
    <row r="20" spans="1:29" ht="15.75">
      <c r="A20" s="821">
        <f t="shared" si="12"/>
        <v>1.1000000000000001</v>
      </c>
      <c r="B20" s="699"/>
      <c r="C20" s="818"/>
      <c r="D20" s="819"/>
      <c r="E20" s="845"/>
      <c r="F20" s="845"/>
      <c r="G20" s="845"/>
      <c r="H20" s="846"/>
      <c r="I20" s="778">
        <f t="shared" si="4"/>
        <v>0</v>
      </c>
      <c r="J20" s="778">
        <f t="shared" si="3"/>
        <v>0</v>
      </c>
      <c r="K20" s="778">
        <f t="shared" si="5"/>
        <v>0</v>
      </c>
      <c r="L20" s="778">
        <f t="shared" si="6"/>
        <v>0</v>
      </c>
      <c r="M20" s="778">
        <f t="shared" si="7"/>
        <v>0</v>
      </c>
      <c r="N20" s="778">
        <f t="shared" si="8"/>
        <v>0</v>
      </c>
      <c r="O20" s="778">
        <f t="shared" ref="O20:Y20" si="20">IF(N20-$K20&gt;=0,N20-$K20,0)</f>
        <v>0</v>
      </c>
      <c r="P20" s="778">
        <f t="shared" si="20"/>
        <v>0</v>
      </c>
      <c r="Q20" s="778">
        <f>IF(P20-$K20&gt;=0,P20-$K20,0)</f>
        <v>0</v>
      </c>
      <c r="R20" s="778">
        <f t="shared" si="20"/>
        <v>0</v>
      </c>
      <c r="S20" s="778">
        <f t="shared" si="20"/>
        <v>0</v>
      </c>
      <c r="T20" s="778">
        <f t="shared" si="20"/>
        <v>0</v>
      </c>
      <c r="U20" s="778">
        <f>IF(T20-$K20&gt;=0,T20-$K20,0)</f>
        <v>0</v>
      </c>
      <c r="V20" s="778">
        <f t="shared" si="20"/>
        <v>0</v>
      </c>
      <c r="W20" s="778">
        <f t="shared" si="20"/>
        <v>0</v>
      </c>
      <c r="X20" s="778">
        <f>IF(W20-$K20&gt;=0,W20-$K20,0)</f>
        <v>0</v>
      </c>
      <c r="Y20" s="778">
        <f t="shared" si="20"/>
        <v>0</v>
      </c>
      <c r="Z20" s="778">
        <f>SUM(M20:Y20)/13</f>
        <v>0</v>
      </c>
      <c r="AA20" s="820">
        <f>Z20*'Attachment H-11A '!$I$248</f>
        <v>0</v>
      </c>
      <c r="AB20" s="778">
        <f>AA20*'Attachment H-11A '!$D$145</f>
        <v>0</v>
      </c>
      <c r="AC20" s="778">
        <f t="shared" si="11"/>
        <v>0</v>
      </c>
    </row>
    <row r="21" spans="1:29" ht="17.45" customHeight="1">
      <c r="A21" s="764"/>
      <c r="B21" s="764"/>
      <c r="C21" s="699"/>
      <c r="D21" s="778"/>
      <c r="E21" s="778"/>
      <c r="F21" s="778"/>
      <c r="G21" s="778"/>
      <c r="H21" s="778"/>
      <c r="I21" s="698"/>
      <c r="J21" s="698"/>
      <c r="K21" s="698"/>
      <c r="L21" s="698"/>
      <c r="M21" s="778"/>
      <c r="N21" s="778"/>
      <c r="O21" s="778"/>
      <c r="P21" s="778"/>
      <c r="Q21" s="778"/>
      <c r="R21" s="778"/>
      <c r="S21" s="778"/>
      <c r="T21" s="778"/>
      <c r="U21" s="778"/>
      <c r="V21" s="778"/>
      <c r="W21" s="778"/>
      <c r="X21" s="764"/>
      <c r="Y21" s="764"/>
      <c r="Z21" s="764"/>
      <c r="AA21" s="814"/>
      <c r="AB21" s="764"/>
      <c r="AC21" s="764"/>
    </row>
    <row r="22" spans="1:29" ht="17.45" customHeight="1">
      <c r="A22" s="764"/>
      <c r="B22" s="764"/>
      <c r="C22" s="699"/>
      <c r="D22" s="778"/>
      <c r="E22" s="778"/>
      <c r="F22" s="778"/>
      <c r="G22" s="778"/>
      <c r="H22" s="778"/>
      <c r="I22" s="778"/>
      <c r="J22" s="778"/>
      <c r="K22" s="778"/>
      <c r="L22" s="778"/>
      <c r="M22" s="778"/>
      <c r="N22" s="778"/>
      <c r="O22" s="778"/>
      <c r="P22" s="778"/>
      <c r="Q22" s="778"/>
      <c r="R22" s="778"/>
      <c r="S22" s="778"/>
      <c r="T22" s="778"/>
      <c r="U22" s="778"/>
      <c r="V22" s="778"/>
      <c r="W22" s="778"/>
      <c r="X22" s="764"/>
      <c r="Y22" s="764"/>
      <c r="Z22" s="764"/>
      <c r="AA22" s="814"/>
      <c r="AB22" s="764"/>
      <c r="AC22" s="764"/>
    </row>
    <row r="23" spans="1:29" ht="15.6" customHeight="1">
      <c r="A23" s="764"/>
      <c r="B23" s="764"/>
      <c r="C23" s="699"/>
      <c r="D23" s="778"/>
      <c r="E23" s="778"/>
      <c r="F23" s="778"/>
      <c r="G23" s="778"/>
      <c r="H23" s="778"/>
      <c r="I23" s="778"/>
      <c r="J23" s="778"/>
      <c r="K23" s="778"/>
      <c r="L23" s="778"/>
      <c r="M23" s="778"/>
      <c r="N23" s="778"/>
      <c r="O23" s="778"/>
      <c r="P23" s="778"/>
      <c r="Q23" s="778"/>
      <c r="R23" s="778"/>
      <c r="S23" s="778"/>
      <c r="T23" s="778"/>
      <c r="U23" s="778"/>
      <c r="V23" s="778"/>
      <c r="W23" s="778"/>
      <c r="X23" s="764"/>
      <c r="Y23" s="764"/>
      <c r="Z23" s="764"/>
      <c r="AA23" s="814"/>
      <c r="AB23" s="764"/>
      <c r="AC23" s="764"/>
    </row>
    <row r="24" spans="1:29" s="827" customFormat="1" ht="16.5" thickBot="1">
      <c r="A24" s="822">
        <v>2</v>
      </c>
      <c r="B24" s="822"/>
      <c r="C24" s="823" t="s">
        <v>9</v>
      </c>
      <c r="D24" s="824"/>
      <c r="E24" s="824"/>
      <c r="F24" s="824"/>
      <c r="G24" s="824"/>
      <c r="H24" s="824"/>
      <c r="I24" s="824"/>
      <c r="J24" s="824"/>
      <c r="K24" s="824"/>
      <c r="L24" s="824"/>
      <c r="M24" s="824"/>
      <c r="N24" s="824"/>
      <c r="O24" s="824"/>
      <c r="P24" s="824"/>
      <c r="Q24" s="824"/>
      <c r="R24" s="824"/>
      <c r="S24" s="824"/>
      <c r="T24" s="824"/>
      <c r="U24" s="824"/>
      <c r="V24" s="824"/>
      <c r="W24" s="824"/>
      <c r="X24" s="822"/>
      <c r="Y24" s="822"/>
      <c r="Z24" s="825"/>
      <c r="AA24" s="826"/>
      <c r="AB24" s="825"/>
      <c r="AC24" s="850">
        <f>SUM(AC10:AC20)</f>
        <v>0</v>
      </c>
    </row>
    <row r="25" spans="1:29" ht="16.5" thickTop="1">
      <c r="A25" s="764"/>
      <c r="B25" s="764"/>
      <c r="C25" s="699"/>
      <c r="D25" s="778"/>
      <c r="E25" s="778"/>
      <c r="F25" s="778"/>
      <c r="G25" s="778"/>
      <c r="H25" s="778"/>
      <c r="I25" s="778"/>
      <c r="J25" s="778"/>
      <c r="K25" s="778"/>
      <c r="L25" s="778"/>
      <c r="M25" s="778"/>
      <c r="N25" s="778"/>
      <c r="O25" s="778"/>
      <c r="P25" s="778"/>
      <c r="Q25" s="778"/>
      <c r="R25" s="778"/>
      <c r="S25" s="778"/>
      <c r="T25" s="778"/>
      <c r="U25" s="778"/>
      <c r="V25" s="778"/>
      <c r="W25" s="778"/>
      <c r="X25" s="764"/>
      <c r="Y25" s="764"/>
      <c r="Z25" s="764"/>
      <c r="AA25" s="814"/>
      <c r="AB25" s="764"/>
      <c r="AC25" s="764"/>
    </row>
    <row r="26" spans="1:29" ht="15.75">
      <c r="A26" s="764"/>
      <c r="B26" s="764"/>
      <c r="C26" s="699"/>
      <c r="D26" s="778"/>
      <c r="E26" s="778"/>
      <c r="F26" s="778"/>
      <c r="G26" s="778"/>
      <c r="H26" s="778"/>
      <c r="I26" s="778"/>
      <c r="J26" s="778"/>
      <c r="K26" s="778"/>
      <c r="L26" s="778"/>
      <c r="M26" s="778"/>
      <c r="N26" s="778"/>
      <c r="O26" s="778"/>
      <c r="P26" s="778"/>
      <c r="Q26" s="778"/>
      <c r="R26" s="778"/>
      <c r="S26" s="778"/>
      <c r="T26" s="778"/>
      <c r="U26" s="778"/>
      <c r="V26" s="778"/>
      <c r="W26" s="778"/>
      <c r="X26" s="764"/>
      <c r="Y26" s="764"/>
      <c r="Z26" s="764"/>
      <c r="AA26" s="814"/>
      <c r="AB26" s="764"/>
      <c r="AC26" s="764"/>
    </row>
    <row r="27" spans="1:29" ht="15.75">
      <c r="A27" s="764"/>
      <c r="B27" s="764"/>
      <c r="C27" s="699"/>
      <c r="D27" s="778"/>
      <c r="E27" s="778"/>
      <c r="F27" s="778"/>
      <c r="G27" s="778"/>
      <c r="H27" s="778"/>
      <c r="I27" s="778"/>
      <c r="J27" s="778"/>
      <c r="K27" s="778"/>
      <c r="L27" s="778"/>
      <c r="M27" s="778"/>
      <c r="N27" s="778"/>
      <c r="O27" s="778"/>
      <c r="P27" s="778"/>
      <c r="Q27" s="778"/>
      <c r="R27" s="778"/>
      <c r="S27" s="778"/>
      <c r="T27" s="778"/>
      <c r="U27" s="778"/>
      <c r="V27" s="778"/>
      <c r="W27" s="778"/>
      <c r="X27" s="764"/>
      <c r="Y27" s="764"/>
      <c r="Z27" s="764"/>
      <c r="AA27" s="814"/>
      <c r="AB27" s="764"/>
      <c r="AC27" s="764"/>
    </row>
    <row r="28" spans="1:29" ht="15.75">
      <c r="C28" s="781" t="s">
        <v>176</v>
      </c>
      <c r="D28" s="699"/>
      <c r="E28" s="699"/>
      <c r="G28" s="699"/>
    </row>
    <row r="29" spans="1:29" ht="15.75">
      <c r="C29" s="699" t="s">
        <v>1205</v>
      </c>
    </row>
    <row r="30" spans="1:29" ht="15.75">
      <c r="C30" s="699" t="s">
        <v>1212</v>
      </c>
    </row>
    <row r="31" spans="1:29" ht="15.75">
      <c r="C31" s="699" t="s">
        <v>1213</v>
      </c>
    </row>
    <row r="32" spans="1:29" ht="15.75">
      <c r="C32" s="699" t="s">
        <v>1214</v>
      </c>
      <c r="D32" s="699"/>
      <c r="E32" s="699"/>
      <c r="F32" s="699"/>
      <c r="G32" s="699"/>
      <c r="H32" s="699"/>
    </row>
    <row r="33" spans="3:3" ht="15.75">
      <c r="C33" s="699" t="s">
        <v>1215</v>
      </c>
    </row>
    <row r="34" spans="3:3" ht="15.75">
      <c r="C34" s="699" t="s">
        <v>1216</v>
      </c>
    </row>
    <row r="35" spans="3:3" ht="15.75">
      <c r="C35" s="699" t="s">
        <v>1217</v>
      </c>
    </row>
    <row r="36" spans="3:3" ht="15.75">
      <c r="C36" s="699" t="s">
        <v>1218</v>
      </c>
    </row>
    <row r="52" ht="14.1" customHeight="1"/>
  </sheetData>
  <pageMargins left="0.7" right="0.7" top="0.75" bottom="0.75" header="0.3" footer="0.3"/>
  <pageSetup scale="21" orientation="portrait" r:id="rId1"/>
  <ignoredErrors>
    <ignoredError sqref="O9"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91A-93B5-402B-8792-789F66A08CAF}">
  <sheetPr codeName="Sheet27"/>
  <dimension ref="A1:AH21"/>
  <sheetViews>
    <sheetView view="pageBreakPreview" zoomScale="80" zoomScaleNormal="100" zoomScaleSheetLayoutView="80" workbookViewId="0"/>
  </sheetViews>
  <sheetFormatPr defaultColWidth="5" defaultRowHeight="15.75"/>
  <cols>
    <col min="1" max="1" width="5.109375" style="764" bestFit="1" customWidth="1"/>
    <col min="2" max="2" width="2.109375" style="699" bestFit="1" customWidth="1"/>
    <col min="3" max="3" width="13.88671875" style="699" customWidth="1"/>
    <col min="4" max="4" width="2.109375" style="699" bestFit="1" customWidth="1"/>
    <col min="5" max="5" width="35" style="778" customWidth="1"/>
    <col min="6" max="6" width="2.109375" style="699" bestFit="1" customWidth="1"/>
    <col min="7" max="7" width="15.109375" style="778" bestFit="1" customWidth="1"/>
    <col min="8" max="8" width="2.109375" style="699" bestFit="1" customWidth="1"/>
    <col min="9" max="9" width="10.6640625" style="778" customWidth="1"/>
    <col min="10" max="10" width="2.109375" style="699" bestFit="1" customWidth="1"/>
    <col min="11" max="11" width="10.6640625" style="778" customWidth="1"/>
    <col min="12" max="12" width="2.109375" style="699" bestFit="1" customWidth="1"/>
    <col min="13" max="13" width="10.6640625" style="778" customWidth="1"/>
    <col min="14" max="14" width="2.109375" style="699" bestFit="1" customWidth="1"/>
    <col min="15" max="15" width="10.6640625" style="778" customWidth="1"/>
    <col min="16" max="16" width="2.109375" style="699" bestFit="1" customWidth="1"/>
    <col min="17" max="17" width="10.6640625" style="778" customWidth="1"/>
    <col min="18" max="18" width="2.109375" style="699" bestFit="1" customWidth="1"/>
    <col min="19" max="19" width="10.6640625" style="778" customWidth="1"/>
    <col min="20" max="20" width="2.109375" style="699" bestFit="1" customWidth="1"/>
    <col min="21" max="21" width="10.6640625" style="778" customWidth="1"/>
    <col min="22" max="22" width="2.109375" style="699" bestFit="1" customWidth="1"/>
    <col min="23" max="23" width="10.6640625" style="778" customWidth="1"/>
    <col min="24" max="24" width="2.109375" style="699" bestFit="1" customWidth="1"/>
    <col min="25" max="25" width="12.6640625" style="778" customWidth="1"/>
    <col min="26" max="26" width="2.109375" style="699" bestFit="1" customWidth="1"/>
    <col min="27" max="27" width="11.5546875" style="778" customWidth="1"/>
    <col min="28" max="28" width="2.109375" style="699" bestFit="1" customWidth="1"/>
    <col min="29" max="29" width="11.44140625" style="778" customWidth="1"/>
    <col min="30" max="30" width="2.109375" style="699" bestFit="1" customWidth="1"/>
    <col min="31" max="31" width="12.109375" style="764" customWidth="1"/>
    <col min="32" max="32" width="2.109375" style="699" bestFit="1" customWidth="1"/>
    <col min="33" max="33" width="10.6640625" style="764" customWidth="1"/>
    <col min="34" max="34" width="2.109375" style="699" customWidth="1"/>
    <col min="35" max="248" width="5" style="699"/>
    <col min="249" max="249" width="4.6640625" style="699" customWidth="1"/>
    <col min="250" max="250" width="2" style="699" customWidth="1"/>
    <col min="251" max="251" width="40.6640625" style="699" customWidth="1"/>
    <col min="252" max="252" width="3.5546875" style="699" customWidth="1"/>
    <col min="253" max="253" width="11.109375" style="699" customWidth="1"/>
    <col min="254" max="254" width="2.6640625" style="699" customWidth="1"/>
    <col min="255" max="255" width="11.109375" style="699" customWidth="1"/>
    <col min="256" max="256" width="2.6640625" style="699" customWidth="1"/>
    <col min="257" max="257" width="11.109375" style="699" customWidth="1"/>
    <col min="258" max="258" width="2.6640625" style="699" customWidth="1"/>
    <col min="259" max="259" width="19.109375" style="699" bestFit="1" customWidth="1"/>
    <col min="260" max="260" width="1.88671875" style="699" customWidth="1"/>
    <col min="261" max="261" width="6.6640625" style="699" customWidth="1"/>
    <col min="262" max="262" width="14.88671875" style="699" customWidth="1"/>
    <col min="263" max="263" width="9" style="699" bestFit="1" customWidth="1"/>
    <col min="264" max="504" width="5" style="699"/>
    <col min="505" max="505" width="4.6640625" style="699" customWidth="1"/>
    <col min="506" max="506" width="2" style="699" customWidth="1"/>
    <col min="507" max="507" width="40.6640625" style="699" customWidth="1"/>
    <col min="508" max="508" width="3.5546875" style="699" customWidth="1"/>
    <col min="509" max="509" width="11.109375" style="699" customWidth="1"/>
    <col min="510" max="510" width="2.6640625" style="699" customWidth="1"/>
    <col min="511" max="511" width="11.109375" style="699" customWidth="1"/>
    <col min="512" max="512" width="2.6640625" style="699" customWidth="1"/>
    <col min="513" max="513" width="11.109375" style="699" customWidth="1"/>
    <col min="514" max="514" width="2.6640625" style="699" customWidth="1"/>
    <col min="515" max="515" width="19.109375" style="699" bestFit="1" customWidth="1"/>
    <col min="516" max="516" width="1.88671875" style="699" customWidth="1"/>
    <col min="517" max="517" width="6.6640625" style="699" customWidth="1"/>
    <col min="518" max="518" width="14.88671875" style="699" customWidth="1"/>
    <col min="519" max="519" width="9" style="699" bestFit="1" customWidth="1"/>
    <col min="520" max="760" width="5" style="699"/>
    <col min="761" max="761" width="4.6640625" style="699" customWidth="1"/>
    <col min="762" max="762" width="2" style="699" customWidth="1"/>
    <col min="763" max="763" width="40.6640625" style="699" customWidth="1"/>
    <col min="764" max="764" width="3.5546875" style="699" customWidth="1"/>
    <col min="765" max="765" width="11.109375" style="699" customWidth="1"/>
    <col min="766" max="766" width="2.6640625" style="699" customWidth="1"/>
    <col min="767" max="767" width="11.109375" style="699" customWidth="1"/>
    <col min="768" max="768" width="2.6640625" style="699" customWidth="1"/>
    <col min="769" max="769" width="11.109375" style="699" customWidth="1"/>
    <col min="770" max="770" width="2.6640625" style="699" customWidth="1"/>
    <col min="771" max="771" width="19.109375" style="699" bestFit="1" customWidth="1"/>
    <col min="772" max="772" width="1.88671875" style="699" customWidth="1"/>
    <col min="773" max="773" width="6.6640625" style="699" customWidth="1"/>
    <col min="774" max="774" width="14.88671875" style="699" customWidth="1"/>
    <col min="775" max="775" width="9" style="699" bestFit="1" customWidth="1"/>
    <col min="776" max="1016" width="5" style="699"/>
    <col min="1017" max="1017" width="4.6640625" style="699" customWidth="1"/>
    <col min="1018" max="1018" width="2" style="699" customWidth="1"/>
    <col min="1019" max="1019" width="40.6640625" style="699" customWidth="1"/>
    <col min="1020" max="1020" width="3.5546875" style="699" customWidth="1"/>
    <col min="1021" max="1021" width="11.109375" style="699" customWidth="1"/>
    <col min="1022" max="1022" width="2.6640625" style="699" customWidth="1"/>
    <col min="1023" max="1023" width="11.109375" style="699" customWidth="1"/>
    <col min="1024" max="1024" width="2.6640625" style="699" customWidth="1"/>
    <col min="1025" max="1025" width="11.109375" style="699" customWidth="1"/>
    <col min="1026" max="1026" width="2.6640625" style="699" customWidth="1"/>
    <col min="1027" max="1027" width="19.109375" style="699" bestFit="1" customWidth="1"/>
    <col min="1028" max="1028" width="1.88671875" style="699" customWidth="1"/>
    <col min="1029" max="1029" width="6.6640625" style="699" customWidth="1"/>
    <col min="1030" max="1030" width="14.88671875" style="699" customWidth="1"/>
    <col min="1031" max="1031" width="9" style="699" bestFit="1" customWidth="1"/>
    <col min="1032" max="1272" width="5" style="699"/>
    <col min="1273" max="1273" width="4.6640625" style="699" customWidth="1"/>
    <col min="1274" max="1274" width="2" style="699" customWidth="1"/>
    <col min="1275" max="1275" width="40.6640625" style="699" customWidth="1"/>
    <col min="1276" max="1276" width="3.5546875" style="699" customWidth="1"/>
    <col min="1277" max="1277" width="11.109375" style="699" customWidth="1"/>
    <col min="1278" max="1278" width="2.6640625" style="699" customWidth="1"/>
    <col min="1279" max="1279" width="11.109375" style="699" customWidth="1"/>
    <col min="1280" max="1280" width="2.6640625" style="699" customWidth="1"/>
    <col min="1281" max="1281" width="11.109375" style="699" customWidth="1"/>
    <col min="1282" max="1282" width="2.6640625" style="699" customWidth="1"/>
    <col min="1283" max="1283" width="19.109375" style="699" bestFit="1" customWidth="1"/>
    <col min="1284" max="1284" width="1.88671875" style="699" customWidth="1"/>
    <col min="1285" max="1285" width="6.6640625" style="699" customWidth="1"/>
    <col min="1286" max="1286" width="14.88671875" style="699" customWidth="1"/>
    <col min="1287" max="1287" width="9" style="699" bestFit="1" customWidth="1"/>
    <col min="1288" max="1528" width="5" style="699"/>
    <col min="1529" max="1529" width="4.6640625" style="699" customWidth="1"/>
    <col min="1530" max="1530" width="2" style="699" customWidth="1"/>
    <col min="1531" max="1531" width="40.6640625" style="699" customWidth="1"/>
    <col min="1532" max="1532" width="3.5546875" style="699" customWidth="1"/>
    <col min="1533" max="1533" width="11.109375" style="699" customWidth="1"/>
    <col min="1534" max="1534" width="2.6640625" style="699" customWidth="1"/>
    <col min="1535" max="1535" width="11.109375" style="699" customWidth="1"/>
    <col min="1536" max="1536" width="2.6640625" style="699" customWidth="1"/>
    <col min="1537" max="1537" width="11.109375" style="699" customWidth="1"/>
    <col min="1538" max="1538" width="2.6640625" style="699" customWidth="1"/>
    <col min="1539" max="1539" width="19.109375" style="699" bestFit="1" customWidth="1"/>
    <col min="1540" max="1540" width="1.88671875" style="699" customWidth="1"/>
    <col min="1541" max="1541" width="6.6640625" style="699" customWidth="1"/>
    <col min="1542" max="1542" width="14.88671875" style="699" customWidth="1"/>
    <col min="1543" max="1543" width="9" style="699" bestFit="1" customWidth="1"/>
    <col min="1544" max="1784" width="5" style="699"/>
    <col min="1785" max="1785" width="4.6640625" style="699" customWidth="1"/>
    <col min="1786" max="1786" width="2" style="699" customWidth="1"/>
    <col min="1787" max="1787" width="40.6640625" style="699" customWidth="1"/>
    <col min="1788" max="1788" width="3.5546875" style="699" customWidth="1"/>
    <col min="1789" max="1789" width="11.109375" style="699" customWidth="1"/>
    <col min="1790" max="1790" width="2.6640625" style="699" customWidth="1"/>
    <col min="1791" max="1791" width="11.109375" style="699" customWidth="1"/>
    <col min="1792" max="1792" width="2.6640625" style="699" customWidth="1"/>
    <col min="1793" max="1793" width="11.109375" style="699" customWidth="1"/>
    <col min="1794" max="1794" width="2.6640625" style="699" customWidth="1"/>
    <col min="1795" max="1795" width="19.109375" style="699" bestFit="1" customWidth="1"/>
    <col min="1796" max="1796" width="1.88671875" style="699" customWidth="1"/>
    <col min="1797" max="1797" width="6.6640625" style="699" customWidth="1"/>
    <col min="1798" max="1798" width="14.88671875" style="699" customWidth="1"/>
    <col min="1799" max="1799" width="9" style="699" bestFit="1" customWidth="1"/>
    <col min="1800" max="2040" width="5" style="699"/>
    <col min="2041" max="2041" width="4.6640625" style="699" customWidth="1"/>
    <col min="2042" max="2042" width="2" style="699" customWidth="1"/>
    <col min="2043" max="2043" width="40.6640625" style="699" customWidth="1"/>
    <col min="2044" max="2044" width="3.5546875" style="699" customWidth="1"/>
    <col min="2045" max="2045" width="11.109375" style="699" customWidth="1"/>
    <col min="2046" max="2046" width="2.6640625" style="699" customWidth="1"/>
    <col min="2047" max="2047" width="11.109375" style="699" customWidth="1"/>
    <col min="2048" max="2048" width="2.6640625" style="699" customWidth="1"/>
    <col min="2049" max="2049" width="11.109375" style="699" customWidth="1"/>
    <col min="2050" max="2050" width="2.6640625" style="699" customWidth="1"/>
    <col min="2051" max="2051" width="19.109375" style="699" bestFit="1" customWidth="1"/>
    <col min="2052" max="2052" width="1.88671875" style="699" customWidth="1"/>
    <col min="2053" max="2053" width="6.6640625" style="699" customWidth="1"/>
    <col min="2054" max="2054" width="14.88671875" style="699" customWidth="1"/>
    <col min="2055" max="2055" width="9" style="699" bestFit="1" customWidth="1"/>
    <col min="2056" max="2296" width="5" style="699"/>
    <col min="2297" max="2297" width="4.6640625" style="699" customWidth="1"/>
    <col min="2298" max="2298" width="2" style="699" customWidth="1"/>
    <col min="2299" max="2299" width="40.6640625" style="699" customWidth="1"/>
    <col min="2300" max="2300" width="3.5546875" style="699" customWidth="1"/>
    <col min="2301" max="2301" width="11.109375" style="699" customWidth="1"/>
    <col min="2302" max="2302" width="2.6640625" style="699" customWidth="1"/>
    <col min="2303" max="2303" width="11.109375" style="699" customWidth="1"/>
    <col min="2304" max="2304" width="2.6640625" style="699" customWidth="1"/>
    <col min="2305" max="2305" width="11.109375" style="699" customWidth="1"/>
    <col min="2306" max="2306" width="2.6640625" style="699" customWidth="1"/>
    <col min="2307" max="2307" width="19.109375" style="699" bestFit="1" customWidth="1"/>
    <col min="2308" max="2308" width="1.88671875" style="699" customWidth="1"/>
    <col min="2309" max="2309" width="6.6640625" style="699" customWidth="1"/>
    <col min="2310" max="2310" width="14.88671875" style="699" customWidth="1"/>
    <col min="2311" max="2311" width="9" style="699" bestFit="1" customWidth="1"/>
    <col min="2312" max="2552" width="5" style="699"/>
    <col min="2553" max="2553" width="4.6640625" style="699" customWidth="1"/>
    <col min="2554" max="2554" width="2" style="699" customWidth="1"/>
    <col min="2555" max="2555" width="40.6640625" style="699" customWidth="1"/>
    <col min="2556" max="2556" width="3.5546875" style="699" customWidth="1"/>
    <col min="2557" max="2557" width="11.109375" style="699" customWidth="1"/>
    <col min="2558" max="2558" width="2.6640625" style="699" customWidth="1"/>
    <col min="2559" max="2559" width="11.109375" style="699" customWidth="1"/>
    <col min="2560" max="2560" width="2.6640625" style="699" customWidth="1"/>
    <col min="2561" max="2561" width="11.109375" style="699" customWidth="1"/>
    <col min="2562" max="2562" width="2.6640625" style="699" customWidth="1"/>
    <col min="2563" max="2563" width="19.109375" style="699" bestFit="1" customWidth="1"/>
    <col min="2564" max="2564" width="1.88671875" style="699" customWidth="1"/>
    <col min="2565" max="2565" width="6.6640625" style="699" customWidth="1"/>
    <col min="2566" max="2566" width="14.88671875" style="699" customWidth="1"/>
    <col min="2567" max="2567" width="9" style="699" bestFit="1" customWidth="1"/>
    <col min="2568" max="2808" width="5" style="699"/>
    <col min="2809" max="2809" width="4.6640625" style="699" customWidth="1"/>
    <col min="2810" max="2810" width="2" style="699" customWidth="1"/>
    <col min="2811" max="2811" width="40.6640625" style="699" customWidth="1"/>
    <col min="2812" max="2812" width="3.5546875" style="699" customWidth="1"/>
    <col min="2813" max="2813" width="11.109375" style="699" customWidth="1"/>
    <col min="2814" max="2814" width="2.6640625" style="699" customWidth="1"/>
    <col min="2815" max="2815" width="11.109375" style="699" customWidth="1"/>
    <col min="2816" max="2816" width="2.6640625" style="699" customWidth="1"/>
    <col min="2817" max="2817" width="11.109375" style="699" customWidth="1"/>
    <col min="2818" max="2818" width="2.6640625" style="699" customWidth="1"/>
    <col min="2819" max="2819" width="19.109375" style="699" bestFit="1" customWidth="1"/>
    <col min="2820" max="2820" width="1.88671875" style="699" customWidth="1"/>
    <col min="2821" max="2821" width="6.6640625" style="699" customWidth="1"/>
    <col min="2822" max="2822" width="14.88671875" style="699" customWidth="1"/>
    <col min="2823" max="2823" width="9" style="699" bestFit="1" customWidth="1"/>
    <col min="2824" max="3064" width="5" style="699"/>
    <col min="3065" max="3065" width="4.6640625" style="699" customWidth="1"/>
    <col min="3066" max="3066" width="2" style="699" customWidth="1"/>
    <col min="3067" max="3067" width="40.6640625" style="699" customWidth="1"/>
    <col min="3068" max="3068" width="3.5546875" style="699" customWidth="1"/>
    <col min="3069" max="3069" width="11.109375" style="699" customWidth="1"/>
    <col min="3070" max="3070" width="2.6640625" style="699" customWidth="1"/>
    <col min="3071" max="3071" width="11.109375" style="699" customWidth="1"/>
    <col min="3072" max="3072" width="2.6640625" style="699" customWidth="1"/>
    <col min="3073" max="3073" width="11.109375" style="699" customWidth="1"/>
    <col min="3074" max="3074" width="2.6640625" style="699" customWidth="1"/>
    <col min="3075" max="3075" width="19.109375" style="699" bestFit="1" customWidth="1"/>
    <col min="3076" max="3076" width="1.88671875" style="699" customWidth="1"/>
    <col min="3077" max="3077" width="6.6640625" style="699" customWidth="1"/>
    <col min="3078" max="3078" width="14.88671875" style="699" customWidth="1"/>
    <col min="3079" max="3079" width="9" style="699" bestFit="1" customWidth="1"/>
    <col min="3080" max="3320" width="5" style="699"/>
    <col min="3321" max="3321" width="4.6640625" style="699" customWidth="1"/>
    <col min="3322" max="3322" width="2" style="699" customWidth="1"/>
    <col min="3323" max="3323" width="40.6640625" style="699" customWidth="1"/>
    <col min="3324" max="3324" width="3.5546875" style="699" customWidth="1"/>
    <col min="3325" max="3325" width="11.109375" style="699" customWidth="1"/>
    <col min="3326" max="3326" width="2.6640625" style="699" customWidth="1"/>
    <col min="3327" max="3327" width="11.109375" style="699" customWidth="1"/>
    <col min="3328" max="3328" width="2.6640625" style="699" customWidth="1"/>
    <col min="3329" max="3329" width="11.109375" style="699" customWidth="1"/>
    <col min="3330" max="3330" width="2.6640625" style="699" customWidth="1"/>
    <col min="3331" max="3331" width="19.109375" style="699" bestFit="1" customWidth="1"/>
    <col min="3332" max="3332" width="1.88671875" style="699" customWidth="1"/>
    <col min="3333" max="3333" width="6.6640625" style="699" customWidth="1"/>
    <col min="3334" max="3334" width="14.88671875" style="699" customWidth="1"/>
    <col min="3335" max="3335" width="9" style="699" bestFit="1" customWidth="1"/>
    <col min="3336" max="3576" width="5" style="699"/>
    <col min="3577" max="3577" width="4.6640625" style="699" customWidth="1"/>
    <col min="3578" max="3578" width="2" style="699" customWidth="1"/>
    <col min="3579" max="3579" width="40.6640625" style="699" customWidth="1"/>
    <col min="3580" max="3580" width="3.5546875" style="699" customWidth="1"/>
    <col min="3581" max="3581" width="11.109375" style="699" customWidth="1"/>
    <col min="3582" max="3582" width="2.6640625" style="699" customWidth="1"/>
    <col min="3583" max="3583" width="11.109375" style="699" customWidth="1"/>
    <col min="3584" max="3584" width="2.6640625" style="699" customWidth="1"/>
    <col min="3585" max="3585" width="11.109375" style="699" customWidth="1"/>
    <col min="3586" max="3586" width="2.6640625" style="699" customWidth="1"/>
    <col min="3587" max="3587" width="19.109375" style="699" bestFit="1" customWidth="1"/>
    <col min="3588" max="3588" width="1.88671875" style="699" customWidth="1"/>
    <col min="3589" max="3589" width="6.6640625" style="699" customWidth="1"/>
    <col min="3590" max="3590" width="14.88671875" style="699" customWidth="1"/>
    <col min="3591" max="3591" width="9" style="699" bestFit="1" customWidth="1"/>
    <col min="3592" max="3832" width="5" style="699"/>
    <col min="3833" max="3833" width="4.6640625" style="699" customWidth="1"/>
    <col min="3834" max="3834" width="2" style="699" customWidth="1"/>
    <col min="3835" max="3835" width="40.6640625" style="699" customWidth="1"/>
    <col min="3836" max="3836" width="3.5546875" style="699" customWidth="1"/>
    <col min="3837" max="3837" width="11.109375" style="699" customWidth="1"/>
    <col min="3838" max="3838" width="2.6640625" style="699" customWidth="1"/>
    <col min="3839" max="3839" width="11.109375" style="699" customWidth="1"/>
    <col min="3840" max="3840" width="2.6640625" style="699" customWidth="1"/>
    <col min="3841" max="3841" width="11.109375" style="699" customWidth="1"/>
    <col min="3842" max="3842" width="2.6640625" style="699" customWidth="1"/>
    <col min="3843" max="3843" width="19.109375" style="699" bestFit="1" customWidth="1"/>
    <col min="3844" max="3844" width="1.88671875" style="699" customWidth="1"/>
    <col min="3845" max="3845" width="6.6640625" style="699" customWidth="1"/>
    <col min="3846" max="3846" width="14.88671875" style="699" customWidth="1"/>
    <col min="3847" max="3847" width="9" style="699" bestFit="1" customWidth="1"/>
    <col min="3848" max="4088" width="5" style="699"/>
    <col min="4089" max="4089" width="4.6640625" style="699" customWidth="1"/>
    <col min="4090" max="4090" width="2" style="699" customWidth="1"/>
    <col min="4091" max="4091" width="40.6640625" style="699" customWidth="1"/>
    <col min="4092" max="4092" width="3.5546875" style="699" customWidth="1"/>
    <col min="4093" max="4093" width="11.109375" style="699" customWidth="1"/>
    <col min="4094" max="4094" width="2.6640625" style="699" customWidth="1"/>
    <col min="4095" max="4095" width="11.109375" style="699" customWidth="1"/>
    <col min="4096" max="4096" width="2.6640625" style="699" customWidth="1"/>
    <col min="4097" max="4097" width="11.109375" style="699" customWidth="1"/>
    <col min="4098" max="4098" width="2.6640625" style="699" customWidth="1"/>
    <col min="4099" max="4099" width="19.109375" style="699" bestFit="1" customWidth="1"/>
    <col min="4100" max="4100" width="1.88671875" style="699" customWidth="1"/>
    <col min="4101" max="4101" width="6.6640625" style="699" customWidth="1"/>
    <col min="4102" max="4102" width="14.88671875" style="699" customWidth="1"/>
    <col min="4103" max="4103" width="9" style="699" bestFit="1" customWidth="1"/>
    <col min="4104" max="4344" width="5" style="699"/>
    <col min="4345" max="4345" width="4.6640625" style="699" customWidth="1"/>
    <col min="4346" max="4346" width="2" style="699" customWidth="1"/>
    <col min="4347" max="4347" width="40.6640625" style="699" customWidth="1"/>
    <col min="4348" max="4348" width="3.5546875" style="699" customWidth="1"/>
    <col min="4349" max="4349" width="11.109375" style="699" customWidth="1"/>
    <col min="4350" max="4350" width="2.6640625" style="699" customWidth="1"/>
    <col min="4351" max="4351" width="11.109375" style="699" customWidth="1"/>
    <col min="4352" max="4352" width="2.6640625" style="699" customWidth="1"/>
    <col min="4353" max="4353" width="11.109375" style="699" customWidth="1"/>
    <col min="4354" max="4354" width="2.6640625" style="699" customWidth="1"/>
    <col min="4355" max="4355" width="19.109375" style="699" bestFit="1" customWidth="1"/>
    <col min="4356" max="4356" width="1.88671875" style="699" customWidth="1"/>
    <col min="4357" max="4357" width="6.6640625" style="699" customWidth="1"/>
    <col min="4358" max="4358" width="14.88671875" style="699" customWidth="1"/>
    <col min="4359" max="4359" width="9" style="699" bestFit="1" customWidth="1"/>
    <col min="4360" max="4600" width="5" style="699"/>
    <col min="4601" max="4601" width="4.6640625" style="699" customWidth="1"/>
    <col min="4602" max="4602" width="2" style="699" customWidth="1"/>
    <col min="4603" max="4603" width="40.6640625" style="699" customWidth="1"/>
    <col min="4604" max="4604" width="3.5546875" style="699" customWidth="1"/>
    <col min="4605" max="4605" width="11.109375" style="699" customWidth="1"/>
    <col min="4606" max="4606" width="2.6640625" style="699" customWidth="1"/>
    <col min="4607" max="4607" width="11.109375" style="699" customWidth="1"/>
    <col min="4608" max="4608" width="2.6640625" style="699" customWidth="1"/>
    <col min="4609" max="4609" width="11.109375" style="699" customWidth="1"/>
    <col min="4610" max="4610" width="2.6640625" style="699" customWidth="1"/>
    <col min="4611" max="4611" width="19.109375" style="699" bestFit="1" customWidth="1"/>
    <col min="4612" max="4612" width="1.88671875" style="699" customWidth="1"/>
    <col min="4613" max="4613" width="6.6640625" style="699" customWidth="1"/>
    <col min="4614" max="4614" width="14.88671875" style="699" customWidth="1"/>
    <col min="4615" max="4615" width="9" style="699" bestFit="1" customWidth="1"/>
    <col min="4616" max="4856" width="5" style="699"/>
    <col min="4857" max="4857" width="4.6640625" style="699" customWidth="1"/>
    <col min="4858" max="4858" width="2" style="699" customWidth="1"/>
    <col min="4859" max="4859" width="40.6640625" style="699" customWidth="1"/>
    <col min="4860" max="4860" width="3.5546875" style="699" customWidth="1"/>
    <col min="4861" max="4861" width="11.109375" style="699" customWidth="1"/>
    <col min="4862" max="4862" width="2.6640625" style="699" customWidth="1"/>
    <col min="4863" max="4863" width="11.109375" style="699" customWidth="1"/>
    <col min="4864" max="4864" width="2.6640625" style="699" customWidth="1"/>
    <col min="4865" max="4865" width="11.109375" style="699" customWidth="1"/>
    <col min="4866" max="4866" width="2.6640625" style="699" customWidth="1"/>
    <col min="4867" max="4867" width="19.109375" style="699" bestFit="1" customWidth="1"/>
    <col min="4868" max="4868" width="1.88671875" style="699" customWidth="1"/>
    <col min="4869" max="4869" width="6.6640625" style="699" customWidth="1"/>
    <col min="4870" max="4870" width="14.88671875" style="699" customWidth="1"/>
    <col min="4871" max="4871" width="9" style="699" bestFit="1" customWidth="1"/>
    <col min="4872" max="5112" width="5" style="699"/>
    <col min="5113" max="5113" width="4.6640625" style="699" customWidth="1"/>
    <col min="5114" max="5114" width="2" style="699" customWidth="1"/>
    <col min="5115" max="5115" width="40.6640625" style="699" customWidth="1"/>
    <col min="5116" max="5116" width="3.5546875" style="699" customWidth="1"/>
    <col min="5117" max="5117" width="11.109375" style="699" customWidth="1"/>
    <col min="5118" max="5118" width="2.6640625" style="699" customWidth="1"/>
    <col min="5119" max="5119" width="11.109375" style="699" customWidth="1"/>
    <col min="5120" max="5120" width="2.6640625" style="699" customWidth="1"/>
    <col min="5121" max="5121" width="11.109375" style="699" customWidth="1"/>
    <col min="5122" max="5122" width="2.6640625" style="699" customWidth="1"/>
    <col min="5123" max="5123" width="19.109375" style="699" bestFit="1" customWidth="1"/>
    <col min="5124" max="5124" width="1.88671875" style="699" customWidth="1"/>
    <col min="5125" max="5125" width="6.6640625" style="699" customWidth="1"/>
    <col min="5126" max="5126" width="14.88671875" style="699" customWidth="1"/>
    <col min="5127" max="5127" width="9" style="699" bestFit="1" customWidth="1"/>
    <col min="5128" max="5368" width="5" style="699"/>
    <col min="5369" max="5369" width="4.6640625" style="699" customWidth="1"/>
    <col min="5370" max="5370" width="2" style="699" customWidth="1"/>
    <col min="5371" max="5371" width="40.6640625" style="699" customWidth="1"/>
    <col min="5372" max="5372" width="3.5546875" style="699" customWidth="1"/>
    <col min="5373" max="5373" width="11.109375" style="699" customWidth="1"/>
    <col min="5374" max="5374" width="2.6640625" style="699" customWidth="1"/>
    <col min="5375" max="5375" width="11.109375" style="699" customWidth="1"/>
    <col min="5376" max="5376" width="2.6640625" style="699" customWidth="1"/>
    <col min="5377" max="5377" width="11.109375" style="699" customWidth="1"/>
    <col min="5378" max="5378" width="2.6640625" style="699" customWidth="1"/>
    <col min="5379" max="5379" width="19.109375" style="699" bestFit="1" customWidth="1"/>
    <col min="5380" max="5380" width="1.88671875" style="699" customWidth="1"/>
    <col min="5381" max="5381" width="6.6640625" style="699" customWidth="1"/>
    <col min="5382" max="5382" width="14.88671875" style="699" customWidth="1"/>
    <col min="5383" max="5383" width="9" style="699" bestFit="1" customWidth="1"/>
    <col min="5384" max="5624" width="5" style="699"/>
    <col min="5625" max="5625" width="4.6640625" style="699" customWidth="1"/>
    <col min="5626" max="5626" width="2" style="699" customWidth="1"/>
    <col min="5627" max="5627" width="40.6640625" style="699" customWidth="1"/>
    <col min="5628" max="5628" width="3.5546875" style="699" customWidth="1"/>
    <col min="5629" max="5629" width="11.109375" style="699" customWidth="1"/>
    <col min="5630" max="5630" width="2.6640625" style="699" customWidth="1"/>
    <col min="5631" max="5631" width="11.109375" style="699" customWidth="1"/>
    <col min="5632" max="5632" width="2.6640625" style="699" customWidth="1"/>
    <col min="5633" max="5633" width="11.109375" style="699" customWidth="1"/>
    <col min="5634" max="5634" width="2.6640625" style="699" customWidth="1"/>
    <col min="5635" max="5635" width="19.109375" style="699" bestFit="1" customWidth="1"/>
    <col min="5636" max="5636" width="1.88671875" style="699" customWidth="1"/>
    <col min="5637" max="5637" width="6.6640625" style="699" customWidth="1"/>
    <col min="5638" max="5638" width="14.88671875" style="699" customWidth="1"/>
    <col min="5639" max="5639" width="9" style="699" bestFit="1" customWidth="1"/>
    <col min="5640" max="5880" width="5" style="699"/>
    <col min="5881" max="5881" width="4.6640625" style="699" customWidth="1"/>
    <col min="5882" max="5882" width="2" style="699" customWidth="1"/>
    <col min="5883" max="5883" width="40.6640625" style="699" customWidth="1"/>
    <col min="5884" max="5884" width="3.5546875" style="699" customWidth="1"/>
    <col min="5885" max="5885" width="11.109375" style="699" customWidth="1"/>
    <col min="5886" max="5886" width="2.6640625" style="699" customWidth="1"/>
    <col min="5887" max="5887" width="11.109375" style="699" customWidth="1"/>
    <col min="5888" max="5888" width="2.6640625" style="699" customWidth="1"/>
    <col min="5889" max="5889" width="11.109375" style="699" customWidth="1"/>
    <col min="5890" max="5890" width="2.6640625" style="699" customWidth="1"/>
    <col min="5891" max="5891" width="19.109375" style="699" bestFit="1" customWidth="1"/>
    <col min="5892" max="5892" width="1.88671875" style="699" customWidth="1"/>
    <col min="5893" max="5893" width="6.6640625" style="699" customWidth="1"/>
    <col min="5894" max="5894" width="14.88671875" style="699" customWidth="1"/>
    <col min="5895" max="5895" width="9" style="699" bestFit="1" customWidth="1"/>
    <col min="5896" max="6136" width="5" style="699"/>
    <col min="6137" max="6137" width="4.6640625" style="699" customWidth="1"/>
    <col min="6138" max="6138" width="2" style="699" customWidth="1"/>
    <col min="6139" max="6139" width="40.6640625" style="699" customWidth="1"/>
    <col min="6140" max="6140" width="3.5546875" style="699" customWidth="1"/>
    <col min="6141" max="6141" width="11.109375" style="699" customWidth="1"/>
    <col min="6142" max="6142" width="2.6640625" style="699" customWidth="1"/>
    <col min="6143" max="6143" width="11.109375" style="699" customWidth="1"/>
    <col min="6144" max="6144" width="2.6640625" style="699" customWidth="1"/>
    <col min="6145" max="6145" width="11.109375" style="699" customWidth="1"/>
    <col min="6146" max="6146" width="2.6640625" style="699" customWidth="1"/>
    <col min="6147" max="6147" width="19.109375" style="699" bestFit="1" customWidth="1"/>
    <col min="6148" max="6148" width="1.88671875" style="699" customWidth="1"/>
    <col min="6149" max="6149" width="6.6640625" style="699" customWidth="1"/>
    <col min="6150" max="6150" width="14.88671875" style="699" customWidth="1"/>
    <col min="6151" max="6151" width="9" style="699" bestFit="1" customWidth="1"/>
    <col min="6152" max="6392" width="5" style="699"/>
    <col min="6393" max="6393" width="4.6640625" style="699" customWidth="1"/>
    <col min="6394" max="6394" width="2" style="699" customWidth="1"/>
    <col min="6395" max="6395" width="40.6640625" style="699" customWidth="1"/>
    <col min="6396" max="6396" width="3.5546875" style="699" customWidth="1"/>
    <col min="6397" max="6397" width="11.109375" style="699" customWidth="1"/>
    <col min="6398" max="6398" width="2.6640625" style="699" customWidth="1"/>
    <col min="6399" max="6399" width="11.109375" style="699" customWidth="1"/>
    <col min="6400" max="6400" width="2.6640625" style="699" customWidth="1"/>
    <col min="6401" max="6401" width="11.109375" style="699" customWidth="1"/>
    <col min="6402" max="6402" width="2.6640625" style="699" customWidth="1"/>
    <col min="6403" max="6403" width="19.109375" style="699" bestFit="1" customWidth="1"/>
    <col min="6404" max="6404" width="1.88671875" style="699" customWidth="1"/>
    <col min="6405" max="6405" width="6.6640625" style="699" customWidth="1"/>
    <col min="6406" max="6406" width="14.88671875" style="699" customWidth="1"/>
    <col min="6407" max="6407" width="9" style="699" bestFit="1" customWidth="1"/>
    <col min="6408" max="6648" width="5" style="699"/>
    <col min="6649" max="6649" width="4.6640625" style="699" customWidth="1"/>
    <col min="6650" max="6650" width="2" style="699" customWidth="1"/>
    <col min="6651" max="6651" width="40.6640625" style="699" customWidth="1"/>
    <col min="6652" max="6652" width="3.5546875" style="699" customWidth="1"/>
    <col min="6653" max="6653" width="11.109375" style="699" customWidth="1"/>
    <col min="6654" max="6654" width="2.6640625" style="699" customWidth="1"/>
    <col min="6655" max="6655" width="11.109375" style="699" customWidth="1"/>
    <col min="6656" max="6656" width="2.6640625" style="699" customWidth="1"/>
    <col min="6657" max="6657" width="11.109375" style="699" customWidth="1"/>
    <col min="6658" max="6658" width="2.6640625" style="699" customWidth="1"/>
    <col min="6659" max="6659" width="19.109375" style="699" bestFit="1" customWidth="1"/>
    <col min="6660" max="6660" width="1.88671875" style="699" customWidth="1"/>
    <col min="6661" max="6661" width="6.6640625" style="699" customWidth="1"/>
    <col min="6662" max="6662" width="14.88671875" style="699" customWidth="1"/>
    <col min="6663" max="6663" width="9" style="699" bestFit="1" customWidth="1"/>
    <col min="6664" max="6904" width="5" style="699"/>
    <col min="6905" max="6905" width="4.6640625" style="699" customWidth="1"/>
    <col min="6906" max="6906" width="2" style="699" customWidth="1"/>
    <col min="6907" max="6907" width="40.6640625" style="699" customWidth="1"/>
    <col min="6908" max="6908" width="3.5546875" style="699" customWidth="1"/>
    <col min="6909" max="6909" width="11.109375" style="699" customWidth="1"/>
    <col min="6910" max="6910" width="2.6640625" style="699" customWidth="1"/>
    <col min="6911" max="6911" width="11.109375" style="699" customWidth="1"/>
    <col min="6912" max="6912" width="2.6640625" style="699" customWidth="1"/>
    <col min="6913" max="6913" width="11.109375" style="699" customWidth="1"/>
    <col min="6914" max="6914" width="2.6640625" style="699" customWidth="1"/>
    <col min="6915" max="6915" width="19.109375" style="699" bestFit="1" customWidth="1"/>
    <col min="6916" max="6916" width="1.88671875" style="699" customWidth="1"/>
    <col min="6917" max="6917" width="6.6640625" style="699" customWidth="1"/>
    <col min="6918" max="6918" width="14.88671875" style="699" customWidth="1"/>
    <col min="6919" max="6919" width="9" style="699" bestFit="1" customWidth="1"/>
    <col min="6920" max="7160" width="5" style="699"/>
    <col min="7161" max="7161" width="4.6640625" style="699" customWidth="1"/>
    <col min="7162" max="7162" width="2" style="699" customWidth="1"/>
    <col min="7163" max="7163" width="40.6640625" style="699" customWidth="1"/>
    <col min="7164" max="7164" width="3.5546875" style="699" customWidth="1"/>
    <col min="7165" max="7165" width="11.109375" style="699" customWidth="1"/>
    <col min="7166" max="7166" width="2.6640625" style="699" customWidth="1"/>
    <col min="7167" max="7167" width="11.109375" style="699" customWidth="1"/>
    <col min="7168" max="7168" width="2.6640625" style="699" customWidth="1"/>
    <col min="7169" max="7169" width="11.109375" style="699" customWidth="1"/>
    <col min="7170" max="7170" width="2.6640625" style="699" customWidth="1"/>
    <col min="7171" max="7171" width="19.109375" style="699" bestFit="1" customWidth="1"/>
    <col min="7172" max="7172" width="1.88671875" style="699" customWidth="1"/>
    <col min="7173" max="7173" width="6.6640625" style="699" customWidth="1"/>
    <col min="7174" max="7174" width="14.88671875" style="699" customWidth="1"/>
    <col min="7175" max="7175" width="9" style="699" bestFit="1" customWidth="1"/>
    <col min="7176" max="7416" width="5" style="699"/>
    <col min="7417" max="7417" width="4.6640625" style="699" customWidth="1"/>
    <col min="7418" max="7418" width="2" style="699" customWidth="1"/>
    <col min="7419" max="7419" width="40.6640625" style="699" customWidth="1"/>
    <col min="7420" max="7420" width="3.5546875" style="699" customWidth="1"/>
    <col min="7421" max="7421" width="11.109375" style="699" customWidth="1"/>
    <col min="7422" max="7422" width="2.6640625" style="699" customWidth="1"/>
    <col min="7423" max="7423" width="11.109375" style="699" customWidth="1"/>
    <col min="7424" max="7424" width="2.6640625" style="699" customWidth="1"/>
    <col min="7425" max="7425" width="11.109375" style="699" customWidth="1"/>
    <col min="7426" max="7426" width="2.6640625" style="699" customWidth="1"/>
    <col min="7427" max="7427" width="19.109375" style="699" bestFit="1" customWidth="1"/>
    <col min="7428" max="7428" width="1.88671875" style="699" customWidth="1"/>
    <col min="7429" max="7429" width="6.6640625" style="699" customWidth="1"/>
    <col min="7430" max="7430" width="14.88671875" style="699" customWidth="1"/>
    <col min="7431" max="7431" width="9" style="699" bestFit="1" customWidth="1"/>
    <col min="7432" max="7672" width="5" style="699"/>
    <col min="7673" max="7673" width="4.6640625" style="699" customWidth="1"/>
    <col min="7674" max="7674" width="2" style="699" customWidth="1"/>
    <col min="7675" max="7675" width="40.6640625" style="699" customWidth="1"/>
    <col min="7676" max="7676" width="3.5546875" style="699" customWidth="1"/>
    <col min="7677" max="7677" width="11.109375" style="699" customWidth="1"/>
    <col min="7678" max="7678" width="2.6640625" style="699" customWidth="1"/>
    <col min="7679" max="7679" width="11.109375" style="699" customWidth="1"/>
    <col min="7680" max="7680" width="2.6640625" style="699" customWidth="1"/>
    <col min="7681" max="7681" width="11.109375" style="699" customWidth="1"/>
    <col min="7682" max="7682" width="2.6640625" style="699" customWidth="1"/>
    <col min="7683" max="7683" width="19.109375" style="699" bestFit="1" customWidth="1"/>
    <col min="7684" max="7684" width="1.88671875" style="699" customWidth="1"/>
    <col min="7685" max="7685" width="6.6640625" style="699" customWidth="1"/>
    <col min="7686" max="7686" width="14.88671875" style="699" customWidth="1"/>
    <col min="7687" max="7687" width="9" style="699" bestFit="1" customWidth="1"/>
    <col min="7688" max="7928" width="5" style="699"/>
    <col min="7929" max="7929" width="4.6640625" style="699" customWidth="1"/>
    <col min="7930" max="7930" width="2" style="699" customWidth="1"/>
    <col min="7931" max="7931" width="40.6640625" style="699" customWidth="1"/>
    <col min="7932" max="7932" width="3.5546875" style="699" customWidth="1"/>
    <col min="7933" max="7933" width="11.109375" style="699" customWidth="1"/>
    <col min="7934" max="7934" width="2.6640625" style="699" customWidth="1"/>
    <col min="7935" max="7935" width="11.109375" style="699" customWidth="1"/>
    <col min="7936" max="7936" width="2.6640625" style="699" customWidth="1"/>
    <col min="7937" max="7937" width="11.109375" style="699" customWidth="1"/>
    <col min="7938" max="7938" width="2.6640625" style="699" customWidth="1"/>
    <col min="7939" max="7939" width="19.109375" style="699" bestFit="1" customWidth="1"/>
    <col min="7940" max="7940" width="1.88671875" style="699" customWidth="1"/>
    <col min="7941" max="7941" width="6.6640625" style="699" customWidth="1"/>
    <col min="7942" max="7942" width="14.88671875" style="699" customWidth="1"/>
    <col min="7943" max="7943" width="9" style="699" bestFit="1" customWidth="1"/>
    <col min="7944" max="8184" width="5" style="699"/>
    <col min="8185" max="8185" width="4.6640625" style="699" customWidth="1"/>
    <col min="8186" max="8186" width="2" style="699" customWidth="1"/>
    <col min="8187" max="8187" width="40.6640625" style="699" customWidth="1"/>
    <col min="8188" max="8188" width="3.5546875" style="699" customWidth="1"/>
    <col min="8189" max="8189" width="11.109375" style="699" customWidth="1"/>
    <col min="8190" max="8190" width="2.6640625" style="699" customWidth="1"/>
    <col min="8191" max="8191" width="11.109375" style="699" customWidth="1"/>
    <col min="8192" max="8192" width="2.6640625" style="699" customWidth="1"/>
    <col min="8193" max="8193" width="11.109375" style="699" customWidth="1"/>
    <col min="8194" max="8194" width="2.6640625" style="699" customWidth="1"/>
    <col min="8195" max="8195" width="19.109375" style="699" bestFit="1" customWidth="1"/>
    <col min="8196" max="8196" width="1.88671875" style="699" customWidth="1"/>
    <col min="8197" max="8197" width="6.6640625" style="699" customWidth="1"/>
    <col min="8198" max="8198" width="14.88671875" style="699" customWidth="1"/>
    <col min="8199" max="8199" width="9" style="699" bestFit="1" customWidth="1"/>
    <col min="8200" max="8440" width="5" style="699"/>
    <col min="8441" max="8441" width="4.6640625" style="699" customWidth="1"/>
    <col min="8442" max="8442" width="2" style="699" customWidth="1"/>
    <col min="8443" max="8443" width="40.6640625" style="699" customWidth="1"/>
    <col min="8444" max="8444" width="3.5546875" style="699" customWidth="1"/>
    <col min="8445" max="8445" width="11.109375" style="699" customWidth="1"/>
    <col min="8446" max="8446" width="2.6640625" style="699" customWidth="1"/>
    <col min="8447" max="8447" width="11.109375" style="699" customWidth="1"/>
    <col min="8448" max="8448" width="2.6640625" style="699" customWidth="1"/>
    <col min="8449" max="8449" width="11.109375" style="699" customWidth="1"/>
    <col min="8450" max="8450" width="2.6640625" style="699" customWidth="1"/>
    <col min="8451" max="8451" width="19.109375" style="699" bestFit="1" customWidth="1"/>
    <col min="8452" max="8452" width="1.88671875" style="699" customWidth="1"/>
    <col min="8453" max="8453" width="6.6640625" style="699" customWidth="1"/>
    <col min="8454" max="8454" width="14.88671875" style="699" customWidth="1"/>
    <col min="8455" max="8455" width="9" style="699" bestFit="1" customWidth="1"/>
    <col min="8456" max="8696" width="5" style="699"/>
    <col min="8697" max="8697" width="4.6640625" style="699" customWidth="1"/>
    <col min="8698" max="8698" width="2" style="699" customWidth="1"/>
    <col min="8699" max="8699" width="40.6640625" style="699" customWidth="1"/>
    <col min="8700" max="8700" width="3.5546875" style="699" customWidth="1"/>
    <col min="8701" max="8701" width="11.109375" style="699" customWidth="1"/>
    <col min="8702" max="8702" width="2.6640625" style="699" customWidth="1"/>
    <col min="8703" max="8703" width="11.109375" style="699" customWidth="1"/>
    <col min="8704" max="8704" width="2.6640625" style="699" customWidth="1"/>
    <col min="8705" max="8705" width="11.109375" style="699" customWidth="1"/>
    <col min="8706" max="8706" width="2.6640625" style="699" customWidth="1"/>
    <col min="8707" max="8707" width="19.109375" style="699" bestFit="1" customWidth="1"/>
    <col min="8708" max="8708" width="1.88671875" style="699" customWidth="1"/>
    <col min="8709" max="8709" width="6.6640625" style="699" customWidth="1"/>
    <col min="8710" max="8710" width="14.88671875" style="699" customWidth="1"/>
    <col min="8711" max="8711" width="9" style="699" bestFit="1" customWidth="1"/>
    <col min="8712" max="8952" width="5" style="699"/>
    <col min="8953" max="8953" width="4.6640625" style="699" customWidth="1"/>
    <col min="8954" max="8954" width="2" style="699" customWidth="1"/>
    <col min="8955" max="8955" width="40.6640625" style="699" customWidth="1"/>
    <col min="8956" max="8956" width="3.5546875" style="699" customWidth="1"/>
    <col min="8957" max="8957" width="11.109375" style="699" customWidth="1"/>
    <col min="8958" max="8958" width="2.6640625" style="699" customWidth="1"/>
    <col min="8959" max="8959" width="11.109375" style="699" customWidth="1"/>
    <col min="8960" max="8960" width="2.6640625" style="699" customWidth="1"/>
    <col min="8961" max="8961" width="11.109375" style="699" customWidth="1"/>
    <col min="8962" max="8962" width="2.6640625" style="699" customWidth="1"/>
    <col min="8963" max="8963" width="19.109375" style="699" bestFit="1" customWidth="1"/>
    <col min="8964" max="8964" width="1.88671875" style="699" customWidth="1"/>
    <col min="8965" max="8965" width="6.6640625" style="699" customWidth="1"/>
    <col min="8966" max="8966" width="14.88671875" style="699" customWidth="1"/>
    <col min="8967" max="8967" width="9" style="699" bestFit="1" customWidth="1"/>
    <col min="8968" max="9208" width="5" style="699"/>
    <col min="9209" max="9209" width="4.6640625" style="699" customWidth="1"/>
    <col min="9210" max="9210" width="2" style="699" customWidth="1"/>
    <col min="9211" max="9211" width="40.6640625" style="699" customWidth="1"/>
    <col min="9212" max="9212" width="3.5546875" style="699" customWidth="1"/>
    <col min="9213" max="9213" width="11.109375" style="699" customWidth="1"/>
    <col min="9214" max="9214" width="2.6640625" style="699" customWidth="1"/>
    <col min="9215" max="9215" width="11.109375" style="699" customWidth="1"/>
    <col min="9216" max="9216" width="2.6640625" style="699" customWidth="1"/>
    <col min="9217" max="9217" width="11.109375" style="699" customWidth="1"/>
    <col min="9218" max="9218" width="2.6640625" style="699" customWidth="1"/>
    <col min="9219" max="9219" width="19.109375" style="699" bestFit="1" customWidth="1"/>
    <col min="9220" max="9220" width="1.88671875" style="699" customWidth="1"/>
    <col min="9221" max="9221" width="6.6640625" style="699" customWidth="1"/>
    <col min="9222" max="9222" width="14.88671875" style="699" customWidth="1"/>
    <col min="9223" max="9223" width="9" style="699" bestFit="1" customWidth="1"/>
    <col min="9224" max="9464" width="5" style="699"/>
    <col min="9465" max="9465" width="4.6640625" style="699" customWidth="1"/>
    <col min="9466" max="9466" width="2" style="699" customWidth="1"/>
    <col min="9467" max="9467" width="40.6640625" style="699" customWidth="1"/>
    <col min="9468" max="9468" width="3.5546875" style="699" customWidth="1"/>
    <col min="9469" max="9469" width="11.109375" style="699" customWidth="1"/>
    <col min="9470" max="9470" width="2.6640625" style="699" customWidth="1"/>
    <col min="9471" max="9471" width="11.109375" style="699" customWidth="1"/>
    <col min="9472" max="9472" width="2.6640625" style="699" customWidth="1"/>
    <col min="9473" max="9473" width="11.109375" style="699" customWidth="1"/>
    <col min="9474" max="9474" width="2.6640625" style="699" customWidth="1"/>
    <col min="9475" max="9475" width="19.109375" style="699" bestFit="1" customWidth="1"/>
    <col min="9476" max="9476" width="1.88671875" style="699" customWidth="1"/>
    <col min="9477" max="9477" width="6.6640625" style="699" customWidth="1"/>
    <col min="9478" max="9478" width="14.88671875" style="699" customWidth="1"/>
    <col min="9479" max="9479" width="9" style="699" bestFit="1" customWidth="1"/>
    <col min="9480" max="9720" width="5" style="699"/>
    <col min="9721" max="9721" width="4.6640625" style="699" customWidth="1"/>
    <col min="9722" max="9722" width="2" style="699" customWidth="1"/>
    <col min="9723" max="9723" width="40.6640625" style="699" customWidth="1"/>
    <col min="9724" max="9724" width="3.5546875" style="699" customWidth="1"/>
    <col min="9725" max="9725" width="11.109375" style="699" customWidth="1"/>
    <col min="9726" max="9726" width="2.6640625" style="699" customWidth="1"/>
    <col min="9727" max="9727" width="11.109375" style="699" customWidth="1"/>
    <col min="9728" max="9728" width="2.6640625" style="699" customWidth="1"/>
    <col min="9729" max="9729" width="11.109375" style="699" customWidth="1"/>
    <col min="9730" max="9730" width="2.6640625" style="699" customWidth="1"/>
    <col min="9731" max="9731" width="19.109375" style="699" bestFit="1" customWidth="1"/>
    <col min="9732" max="9732" width="1.88671875" style="699" customWidth="1"/>
    <col min="9733" max="9733" width="6.6640625" style="699" customWidth="1"/>
    <col min="9734" max="9734" width="14.88671875" style="699" customWidth="1"/>
    <col min="9735" max="9735" width="9" style="699" bestFit="1" customWidth="1"/>
    <col min="9736" max="9976" width="5" style="699"/>
    <col min="9977" max="9977" width="4.6640625" style="699" customWidth="1"/>
    <col min="9978" max="9978" width="2" style="699" customWidth="1"/>
    <col min="9979" max="9979" width="40.6640625" style="699" customWidth="1"/>
    <col min="9980" max="9980" width="3.5546875" style="699" customWidth="1"/>
    <col min="9981" max="9981" width="11.109375" style="699" customWidth="1"/>
    <col min="9982" max="9982" width="2.6640625" style="699" customWidth="1"/>
    <col min="9983" max="9983" width="11.109375" style="699" customWidth="1"/>
    <col min="9984" max="9984" width="2.6640625" style="699" customWidth="1"/>
    <col min="9985" max="9985" width="11.109375" style="699" customWidth="1"/>
    <col min="9986" max="9986" width="2.6640625" style="699" customWidth="1"/>
    <col min="9987" max="9987" width="19.109375" style="699" bestFit="1" customWidth="1"/>
    <col min="9988" max="9988" width="1.88671875" style="699" customWidth="1"/>
    <col min="9989" max="9989" width="6.6640625" style="699" customWidth="1"/>
    <col min="9990" max="9990" width="14.88671875" style="699" customWidth="1"/>
    <col min="9991" max="9991" width="9" style="699" bestFit="1" customWidth="1"/>
    <col min="9992" max="10232" width="5" style="699"/>
    <col min="10233" max="10233" width="4.6640625" style="699" customWidth="1"/>
    <col min="10234" max="10234" width="2" style="699" customWidth="1"/>
    <col min="10235" max="10235" width="40.6640625" style="699" customWidth="1"/>
    <col min="10236" max="10236" width="3.5546875" style="699" customWidth="1"/>
    <col min="10237" max="10237" width="11.109375" style="699" customWidth="1"/>
    <col min="10238" max="10238" width="2.6640625" style="699" customWidth="1"/>
    <col min="10239" max="10239" width="11.109375" style="699" customWidth="1"/>
    <col min="10240" max="10240" width="2.6640625" style="699" customWidth="1"/>
    <col min="10241" max="10241" width="11.109375" style="699" customWidth="1"/>
    <col min="10242" max="10242" width="2.6640625" style="699" customWidth="1"/>
    <col min="10243" max="10243" width="19.109375" style="699" bestFit="1" customWidth="1"/>
    <col min="10244" max="10244" width="1.88671875" style="699" customWidth="1"/>
    <col min="10245" max="10245" width="6.6640625" style="699" customWidth="1"/>
    <col min="10246" max="10246" width="14.88671875" style="699" customWidth="1"/>
    <col min="10247" max="10247" width="9" style="699" bestFit="1" customWidth="1"/>
    <col min="10248" max="10488" width="5" style="699"/>
    <col min="10489" max="10489" width="4.6640625" style="699" customWidth="1"/>
    <col min="10490" max="10490" width="2" style="699" customWidth="1"/>
    <col min="10491" max="10491" width="40.6640625" style="699" customWidth="1"/>
    <col min="10492" max="10492" width="3.5546875" style="699" customWidth="1"/>
    <col min="10493" max="10493" width="11.109375" style="699" customWidth="1"/>
    <col min="10494" max="10494" width="2.6640625" style="699" customWidth="1"/>
    <col min="10495" max="10495" width="11.109375" style="699" customWidth="1"/>
    <col min="10496" max="10496" width="2.6640625" style="699" customWidth="1"/>
    <col min="10497" max="10497" width="11.109375" style="699" customWidth="1"/>
    <col min="10498" max="10498" width="2.6640625" style="699" customWidth="1"/>
    <col min="10499" max="10499" width="19.109375" style="699" bestFit="1" customWidth="1"/>
    <col min="10500" max="10500" width="1.88671875" style="699" customWidth="1"/>
    <col min="10501" max="10501" width="6.6640625" style="699" customWidth="1"/>
    <col min="10502" max="10502" width="14.88671875" style="699" customWidth="1"/>
    <col min="10503" max="10503" width="9" style="699" bestFit="1" customWidth="1"/>
    <col min="10504" max="10744" width="5" style="699"/>
    <col min="10745" max="10745" width="4.6640625" style="699" customWidth="1"/>
    <col min="10746" max="10746" width="2" style="699" customWidth="1"/>
    <col min="10747" max="10747" width="40.6640625" style="699" customWidth="1"/>
    <col min="10748" max="10748" width="3.5546875" style="699" customWidth="1"/>
    <col min="10749" max="10749" width="11.109375" style="699" customWidth="1"/>
    <col min="10750" max="10750" width="2.6640625" style="699" customWidth="1"/>
    <col min="10751" max="10751" width="11.109375" style="699" customWidth="1"/>
    <col min="10752" max="10752" width="2.6640625" style="699" customWidth="1"/>
    <col min="10753" max="10753" width="11.109375" style="699" customWidth="1"/>
    <col min="10754" max="10754" width="2.6640625" style="699" customWidth="1"/>
    <col min="10755" max="10755" width="19.109375" style="699" bestFit="1" customWidth="1"/>
    <col min="10756" max="10756" width="1.88671875" style="699" customWidth="1"/>
    <col min="10757" max="10757" width="6.6640625" style="699" customWidth="1"/>
    <col min="10758" max="10758" width="14.88671875" style="699" customWidth="1"/>
    <col min="10759" max="10759" width="9" style="699" bestFit="1" customWidth="1"/>
    <col min="10760" max="11000" width="5" style="699"/>
    <col min="11001" max="11001" width="4.6640625" style="699" customWidth="1"/>
    <col min="11002" max="11002" width="2" style="699" customWidth="1"/>
    <col min="11003" max="11003" width="40.6640625" style="699" customWidth="1"/>
    <col min="11004" max="11004" width="3.5546875" style="699" customWidth="1"/>
    <col min="11005" max="11005" width="11.109375" style="699" customWidth="1"/>
    <col min="11006" max="11006" width="2.6640625" style="699" customWidth="1"/>
    <col min="11007" max="11007" width="11.109375" style="699" customWidth="1"/>
    <col min="11008" max="11008" width="2.6640625" style="699" customWidth="1"/>
    <col min="11009" max="11009" width="11.109375" style="699" customWidth="1"/>
    <col min="11010" max="11010" width="2.6640625" style="699" customWidth="1"/>
    <col min="11011" max="11011" width="19.109375" style="699" bestFit="1" customWidth="1"/>
    <col min="11012" max="11012" width="1.88671875" style="699" customWidth="1"/>
    <col min="11013" max="11013" width="6.6640625" style="699" customWidth="1"/>
    <col min="11014" max="11014" width="14.88671875" style="699" customWidth="1"/>
    <col min="11015" max="11015" width="9" style="699" bestFit="1" customWidth="1"/>
    <col min="11016" max="11256" width="5" style="699"/>
    <col min="11257" max="11257" width="4.6640625" style="699" customWidth="1"/>
    <col min="11258" max="11258" width="2" style="699" customWidth="1"/>
    <col min="11259" max="11259" width="40.6640625" style="699" customWidth="1"/>
    <col min="11260" max="11260" width="3.5546875" style="699" customWidth="1"/>
    <col min="11261" max="11261" width="11.109375" style="699" customWidth="1"/>
    <col min="11262" max="11262" width="2.6640625" style="699" customWidth="1"/>
    <col min="11263" max="11263" width="11.109375" style="699" customWidth="1"/>
    <col min="11264" max="11264" width="2.6640625" style="699" customWidth="1"/>
    <col min="11265" max="11265" width="11.109375" style="699" customWidth="1"/>
    <col min="11266" max="11266" width="2.6640625" style="699" customWidth="1"/>
    <col min="11267" max="11267" width="19.109375" style="699" bestFit="1" customWidth="1"/>
    <col min="11268" max="11268" width="1.88671875" style="699" customWidth="1"/>
    <col min="11269" max="11269" width="6.6640625" style="699" customWidth="1"/>
    <col min="11270" max="11270" width="14.88671875" style="699" customWidth="1"/>
    <col min="11271" max="11271" width="9" style="699" bestFit="1" customWidth="1"/>
    <col min="11272" max="11512" width="5" style="699"/>
    <col min="11513" max="11513" width="4.6640625" style="699" customWidth="1"/>
    <col min="11514" max="11514" width="2" style="699" customWidth="1"/>
    <col min="11515" max="11515" width="40.6640625" style="699" customWidth="1"/>
    <col min="11516" max="11516" width="3.5546875" style="699" customWidth="1"/>
    <col min="11517" max="11517" width="11.109375" style="699" customWidth="1"/>
    <col min="11518" max="11518" width="2.6640625" style="699" customWidth="1"/>
    <col min="11519" max="11519" width="11.109375" style="699" customWidth="1"/>
    <col min="11520" max="11520" width="2.6640625" style="699" customWidth="1"/>
    <col min="11521" max="11521" width="11.109375" style="699" customWidth="1"/>
    <col min="11522" max="11522" width="2.6640625" style="699" customWidth="1"/>
    <col min="11523" max="11523" width="19.109375" style="699" bestFit="1" customWidth="1"/>
    <col min="11524" max="11524" width="1.88671875" style="699" customWidth="1"/>
    <col min="11525" max="11525" width="6.6640625" style="699" customWidth="1"/>
    <col min="11526" max="11526" width="14.88671875" style="699" customWidth="1"/>
    <col min="11527" max="11527" width="9" style="699" bestFit="1" customWidth="1"/>
    <col min="11528" max="11768" width="5" style="699"/>
    <col min="11769" max="11769" width="4.6640625" style="699" customWidth="1"/>
    <col min="11770" max="11770" width="2" style="699" customWidth="1"/>
    <col min="11771" max="11771" width="40.6640625" style="699" customWidth="1"/>
    <col min="11772" max="11772" width="3.5546875" style="699" customWidth="1"/>
    <col min="11773" max="11773" width="11.109375" style="699" customWidth="1"/>
    <col min="11774" max="11774" width="2.6640625" style="699" customWidth="1"/>
    <col min="11775" max="11775" width="11.109375" style="699" customWidth="1"/>
    <col min="11776" max="11776" width="2.6640625" style="699" customWidth="1"/>
    <col min="11777" max="11777" width="11.109375" style="699" customWidth="1"/>
    <col min="11778" max="11778" width="2.6640625" style="699" customWidth="1"/>
    <col min="11779" max="11779" width="19.109375" style="699" bestFit="1" customWidth="1"/>
    <col min="11780" max="11780" width="1.88671875" style="699" customWidth="1"/>
    <col min="11781" max="11781" width="6.6640625" style="699" customWidth="1"/>
    <col min="11782" max="11782" width="14.88671875" style="699" customWidth="1"/>
    <col min="11783" max="11783" width="9" style="699" bestFit="1" customWidth="1"/>
    <col min="11784" max="12024" width="5" style="699"/>
    <col min="12025" max="12025" width="4.6640625" style="699" customWidth="1"/>
    <col min="12026" max="12026" width="2" style="699" customWidth="1"/>
    <col min="12027" max="12027" width="40.6640625" style="699" customWidth="1"/>
    <col min="12028" max="12028" width="3.5546875" style="699" customWidth="1"/>
    <col min="12029" max="12029" width="11.109375" style="699" customWidth="1"/>
    <col min="12030" max="12030" width="2.6640625" style="699" customWidth="1"/>
    <col min="12031" max="12031" width="11.109375" style="699" customWidth="1"/>
    <col min="12032" max="12032" width="2.6640625" style="699" customWidth="1"/>
    <col min="12033" max="12033" width="11.109375" style="699" customWidth="1"/>
    <col min="12034" max="12034" width="2.6640625" style="699" customWidth="1"/>
    <col min="12035" max="12035" width="19.109375" style="699" bestFit="1" customWidth="1"/>
    <col min="12036" max="12036" width="1.88671875" style="699" customWidth="1"/>
    <col min="12037" max="12037" width="6.6640625" style="699" customWidth="1"/>
    <col min="12038" max="12038" width="14.88671875" style="699" customWidth="1"/>
    <col min="12039" max="12039" width="9" style="699" bestFit="1" customWidth="1"/>
    <col min="12040" max="12280" width="5" style="699"/>
    <col min="12281" max="12281" width="4.6640625" style="699" customWidth="1"/>
    <col min="12282" max="12282" width="2" style="699" customWidth="1"/>
    <col min="12283" max="12283" width="40.6640625" style="699" customWidth="1"/>
    <col min="12284" max="12284" width="3.5546875" style="699" customWidth="1"/>
    <col min="12285" max="12285" width="11.109375" style="699" customWidth="1"/>
    <col min="12286" max="12286" width="2.6640625" style="699" customWidth="1"/>
    <col min="12287" max="12287" width="11.109375" style="699" customWidth="1"/>
    <col min="12288" max="12288" width="2.6640625" style="699" customWidth="1"/>
    <col min="12289" max="12289" width="11.109375" style="699" customWidth="1"/>
    <col min="12290" max="12290" width="2.6640625" style="699" customWidth="1"/>
    <col min="12291" max="12291" width="19.109375" style="699" bestFit="1" customWidth="1"/>
    <col min="12292" max="12292" width="1.88671875" style="699" customWidth="1"/>
    <col min="12293" max="12293" width="6.6640625" style="699" customWidth="1"/>
    <col min="12294" max="12294" width="14.88671875" style="699" customWidth="1"/>
    <col min="12295" max="12295" width="9" style="699" bestFit="1" customWidth="1"/>
    <col min="12296" max="12536" width="5" style="699"/>
    <col min="12537" max="12537" width="4.6640625" style="699" customWidth="1"/>
    <col min="12538" max="12538" width="2" style="699" customWidth="1"/>
    <col min="12539" max="12539" width="40.6640625" style="699" customWidth="1"/>
    <col min="12540" max="12540" width="3.5546875" style="699" customWidth="1"/>
    <col min="12541" max="12541" width="11.109375" style="699" customWidth="1"/>
    <col min="12542" max="12542" width="2.6640625" style="699" customWidth="1"/>
    <col min="12543" max="12543" width="11.109375" style="699" customWidth="1"/>
    <col min="12544" max="12544" width="2.6640625" style="699" customWidth="1"/>
    <col min="12545" max="12545" width="11.109375" style="699" customWidth="1"/>
    <col min="12546" max="12546" width="2.6640625" style="699" customWidth="1"/>
    <col min="12547" max="12547" width="19.109375" style="699" bestFit="1" customWidth="1"/>
    <col min="12548" max="12548" width="1.88671875" style="699" customWidth="1"/>
    <col min="12549" max="12549" width="6.6640625" style="699" customWidth="1"/>
    <col min="12550" max="12550" width="14.88671875" style="699" customWidth="1"/>
    <col min="12551" max="12551" width="9" style="699" bestFit="1" customWidth="1"/>
    <col min="12552" max="12792" width="5" style="699"/>
    <col min="12793" max="12793" width="4.6640625" style="699" customWidth="1"/>
    <col min="12794" max="12794" width="2" style="699" customWidth="1"/>
    <col min="12795" max="12795" width="40.6640625" style="699" customWidth="1"/>
    <col min="12796" max="12796" width="3.5546875" style="699" customWidth="1"/>
    <col min="12797" max="12797" width="11.109375" style="699" customWidth="1"/>
    <col min="12798" max="12798" width="2.6640625" style="699" customWidth="1"/>
    <col min="12799" max="12799" width="11.109375" style="699" customWidth="1"/>
    <col min="12800" max="12800" width="2.6640625" style="699" customWidth="1"/>
    <col min="12801" max="12801" width="11.109375" style="699" customWidth="1"/>
    <col min="12802" max="12802" width="2.6640625" style="699" customWidth="1"/>
    <col min="12803" max="12803" width="19.109375" style="699" bestFit="1" customWidth="1"/>
    <col min="12804" max="12804" width="1.88671875" style="699" customWidth="1"/>
    <col min="12805" max="12805" width="6.6640625" style="699" customWidth="1"/>
    <col min="12806" max="12806" width="14.88671875" style="699" customWidth="1"/>
    <col min="12807" max="12807" width="9" style="699" bestFit="1" customWidth="1"/>
    <col min="12808" max="13048" width="5" style="699"/>
    <col min="13049" max="13049" width="4.6640625" style="699" customWidth="1"/>
    <col min="13050" max="13050" width="2" style="699" customWidth="1"/>
    <col min="13051" max="13051" width="40.6640625" style="699" customWidth="1"/>
    <col min="13052" max="13052" width="3.5546875" style="699" customWidth="1"/>
    <col min="13053" max="13053" width="11.109375" style="699" customWidth="1"/>
    <col min="13054" max="13054" width="2.6640625" style="699" customWidth="1"/>
    <col min="13055" max="13055" width="11.109375" style="699" customWidth="1"/>
    <col min="13056" max="13056" width="2.6640625" style="699" customWidth="1"/>
    <col min="13057" max="13057" width="11.109375" style="699" customWidth="1"/>
    <col min="13058" max="13058" width="2.6640625" style="699" customWidth="1"/>
    <col min="13059" max="13059" width="19.109375" style="699" bestFit="1" customWidth="1"/>
    <col min="13060" max="13060" width="1.88671875" style="699" customWidth="1"/>
    <col min="13061" max="13061" width="6.6640625" style="699" customWidth="1"/>
    <col min="13062" max="13062" width="14.88671875" style="699" customWidth="1"/>
    <col min="13063" max="13063" width="9" style="699" bestFit="1" customWidth="1"/>
    <col min="13064" max="13304" width="5" style="699"/>
    <col min="13305" max="13305" width="4.6640625" style="699" customWidth="1"/>
    <col min="13306" max="13306" width="2" style="699" customWidth="1"/>
    <col min="13307" max="13307" width="40.6640625" style="699" customWidth="1"/>
    <col min="13308" max="13308" width="3.5546875" style="699" customWidth="1"/>
    <col min="13309" max="13309" width="11.109375" style="699" customWidth="1"/>
    <col min="13310" max="13310" width="2.6640625" style="699" customWidth="1"/>
    <col min="13311" max="13311" width="11.109375" style="699" customWidth="1"/>
    <col min="13312" max="13312" width="2.6640625" style="699" customWidth="1"/>
    <col min="13313" max="13313" width="11.109375" style="699" customWidth="1"/>
    <col min="13314" max="13314" width="2.6640625" style="699" customWidth="1"/>
    <col min="13315" max="13315" width="19.109375" style="699" bestFit="1" customWidth="1"/>
    <col min="13316" max="13316" width="1.88671875" style="699" customWidth="1"/>
    <col min="13317" max="13317" width="6.6640625" style="699" customWidth="1"/>
    <col min="13318" max="13318" width="14.88671875" style="699" customWidth="1"/>
    <col min="13319" max="13319" width="9" style="699" bestFit="1" customWidth="1"/>
    <col min="13320" max="13560" width="5" style="699"/>
    <col min="13561" max="13561" width="4.6640625" style="699" customWidth="1"/>
    <col min="13562" max="13562" width="2" style="699" customWidth="1"/>
    <col min="13563" max="13563" width="40.6640625" style="699" customWidth="1"/>
    <col min="13564" max="13564" width="3.5546875" style="699" customWidth="1"/>
    <col min="13565" max="13565" width="11.109375" style="699" customWidth="1"/>
    <col min="13566" max="13566" width="2.6640625" style="699" customWidth="1"/>
    <col min="13567" max="13567" width="11.109375" style="699" customWidth="1"/>
    <col min="13568" max="13568" width="2.6640625" style="699" customWidth="1"/>
    <col min="13569" max="13569" width="11.109375" style="699" customWidth="1"/>
    <col min="13570" max="13570" width="2.6640625" style="699" customWidth="1"/>
    <col min="13571" max="13571" width="19.109375" style="699" bestFit="1" customWidth="1"/>
    <col min="13572" max="13572" width="1.88671875" style="699" customWidth="1"/>
    <col min="13573" max="13573" width="6.6640625" style="699" customWidth="1"/>
    <col min="13574" max="13574" width="14.88671875" style="699" customWidth="1"/>
    <col min="13575" max="13575" width="9" style="699" bestFit="1" customWidth="1"/>
    <col min="13576" max="13816" width="5" style="699"/>
    <col min="13817" max="13817" width="4.6640625" style="699" customWidth="1"/>
    <col min="13818" max="13818" width="2" style="699" customWidth="1"/>
    <col min="13819" max="13819" width="40.6640625" style="699" customWidth="1"/>
    <col min="13820" max="13820" width="3.5546875" style="699" customWidth="1"/>
    <col min="13821" max="13821" width="11.109375" style="699" customWidth="1"/>
    <col min="13822" max="13822" width="2.6640625" style="699" customWidth="1"/>
    <col min="13823" max="13823" width="11.109375" style="699" customWidth="1"/>
    <col min="13824" max="13824" width="2.6640625" style="699" customWidth="1"/>
    <col min="13825" max="13825" width="11.109375" style="699" customWidth="1"/>
    <col min="13826" max="13826" width="2.6640625" style="699" customWidth="1"/>
    <col min="13827" max="13827" width="19.109375" style="699" bestFit="1" customWidth="1"/>
    <col min="13828" max="13828" width="1.88671875" style="699" customWidth="1"/>
    <col min="13829" max="13829" width="6.6640625" style="699" customWidth="1"/>
    <col min="13830" max="13830" width="14.88671875" style="699" customWidth="1"/>
    <col min="13831" max="13831" width="9" style="699" bestFit="1" customWidth="1"/>
    <col min="13832" max="14072" width="5" style="699"/>
    <col min="14073" max="14073" width="4.6640625" style="699" customWidth="1"/>
    <col min="14074" max="14074" width="2" style="699" customWidth="1"/>
    <col min="14075" max="14075" width="40.6640625" style="699" customWidth="1"/>
    <col min="14076" max="14076" width="3.5546875" style="699" customWidth="1"/>
    <col min="14077" max="14077" width="11.109375" style="699" customWidth="1"/>
    <col min="14078" max="14078" width="2.6640625" style="699" customWidth="1"/>
    <col min="14079" max="14079" width="11.109375" style="699" customWidth="1"/>
    <col min="14080" max="14080" width="2.6640625" style="699" customWidth="1"/>
    <col min="14081" max="14081" width="11.109375" style="699" customWidth="1"/>
    <col min="14082" max="14082" width="2.6640625" style="699" customWidth="1"/>
    <col min="14083" max="14083" width="19.109375" style="699" bestFit="1" customWidth="1"/>
    <col min="14084" max="14084" width="1.88671875" style="699" customWidth="1"/>
    <col min="14085" max="14085" width="6.6640625" style="699" customWidth="1"/>
    <col min="14086" max="14086" width="14.88671875" style="699" customWidth="1"/>
    <col min="14087" max="14087" width="9" style="699" bestFit="1" customWidth="1"/>
    <col min="14088" max="14328" width="5" style="699"/>
    <col min="14329" max="14329" width="4.6640625" style="699" customWidth="1"/>
    <col min="14330" max="14330" width="2" style="699" customWidth="1"/>
    <col min="14331" max="14331" width="40.6640625" style="699" customWidth="1"/>
    <col min="14332" max="14332" width="3.5546875" style="699" customWidth="1"/>
    <col min="14333" max="14333" width="11.109375" style="699" customWidth="1"/>
    <col min="14334" max="14334" width="2.6640625" style="699" customWidth="1"/>
    <col min="14335" max="14335" width="11.109375" style="699" customWidth="1"/>
    <col min="14336" max="14336" width="2.6640625" style="699" customWidth="1"/>
    <col min="14337" max="14337" width="11.109375" style="699" customWidth="1"/>
    <col min="14338" max="14338" width="2.6640625" style="699" customWidth="1"/>
    <col min="14339" max="14339" width="19.109375" style="699" bestFit="1" customWidth="1"/>
    <col min="14340" max="14340" width="1.88671875" style="699" customWidth="1"/>
    <col min="14341" max="14341" width="6.6640625" style="699" customWidth="1"/>
    <col min="14342" max="14342" width="14.88671875" style="699" customWidth="1"/>
    <col min="14343" max="14343" width="9" style="699" bestFit="1" customWidth="1"/>
    <col min="14344" max="14584" width="5" style="699"/>
    <col min="14585" max="14585" width="4.6640625" style="699" customWidth="1"/>
    <col min="14586" max="14586" width="2" style="699" customWidth="1"/>
    <col min="14587" max="14587" width="40.6640625" style="699" customWidth="1"/>
    <col min="14588" max="14588" width="3.5546875" style="699" customWidth="1"/>
    <col min="14589" max="14589" width="11.109375" style="699" customWidth="1"/>
    <col min="14590" max="14590" width="2.6640625" style="699" customWidth="1"/>
    <col min="14591" max="14591" width="11.109375" style="699" customWidth="1"/>
    <col min="14592" max="14592" width="2.6640625" style="699" customWidth="1"/>
    <col min="14593" max="14593" width="11.109375" style="699" customWidth="1"/>
    <col min="14594" max="14594" width="2.6640625" style="699" customWidth="1"/>
    <col min="14595" max="14595" width="19.109375" style="699" bestFit="1" customWidth="1"/>
    <col min="14596" max="14596" width="1.88671875" style="699" customWidth="1"/>
    <col min="14597" max="14597" width="6.6640625" style="699" customWidth="1"/>
    <col min="14598" max="14598" width="14.88671875" style="699" customWidth="1"/>
    <col min="14599" max="14599" width="9" style="699" bestFit="1" customWidth="1"/>
    <col min="14600" max="14840" width="5" style="699"/>
    <col min="14841" max="14841" width="4.6640625" style="699" customWidth="1"/>
    <col min="14842" max="14842" width="2" style="699" customWidth="1"/>
    <col min="14843" max="14843" width="40.6640625" style="699" customWidth="1"/>
    <col min="14844" max="14844" width="3.5546875" style="699" customWidth="1"/>
    <col min="14845" max="14845" width="11.109375" style="699" customWidth="1"/>
    <col min="14846" max="14846" width="2.6640625" style="699" customWidth="1"/>
    <col min="14847" max="14847" width="11.109375" style="699" customWidth="1"/>
    <col min="14848" max="14848" width="2.6640625" style="699" customWidth="1"/>
    <col min="14849" max="14849" width="11.109375" style="699" customWidth="1"/>
    <col min="14850" max="14850" width="2.6640625" style="699" customWidth="1"/>
    <col min="14851" max="14851" width="19.109375" style="699" bestFit="1" customWidth="1"/>
    <col min="14852" max="14852" width="1.88671875" style="699" customWidth="1"/>
    <col min="14853" max="14853" width="6.6640625" style="699" customWidth="1"/>
    <col min="14854" max="14854" width="14.88671875" style="699" customWidth="1"/>
    <col min="14855" max="14855" width="9" style="699" bestFit="1" customWidth="1"/>
    <col min="14856" max="15096" width="5" style="699"/>
    <col min="15097" max="15097" width="4.6640625" style="699" customWidth="1"/>
    <col min="15098" max="15098" width="2" style="699" customWidth="1"/>
    <col min="15099" max="15099" width="40.6640625" style="699" customWidth="1"/>
    <col min="15100" max="15100" width="3.5546875" style="699" customWidth="1"/>
    <col min="15101" max="15101" width="11.109375" style="699" customWidth="1"/>
    <col min="15102" max="15102" width="2.6640625" style="699" customWidth="1"/>
    <col min="15103" max="15103" width="11.109375" style="699" customWidth="1"/>
    <col min="15104" max="15104" width="2.6640625" style="699" customWidth="1"/>
    <col min="15105" max="15105" width="11.109375" style="699" customWidth="1"/>
    <col min="15106" max="15106" width="2.6640625" style="699" customWidth="1"/>
    <col min="15107" max="15107" width="19.109375" style="699" bestFit="1" customWidth="1"/>
    <col min="15108" max="15108" width="1.88671875" style="699" customWidth="1"/>
    <col min="15109" max="15109" width="6.6640625" style="699" customWidth="1"/>
    <col min="15110" max="15110" width="14.88671875" style="699" customWidth="1"/>
    <col min="15111" max="15111" width="9" style="699" bestFit="1" customWidth="1"/>
    <col min="15112" max="15352" width="5" style="699"/>
    <col min="15353" max="15353" width="4.6640625" style="699" customWidth="1"/>
    <col min="15354" max="15354" width="2" style="699" customWidth="1"/>
    <col min="15355" max="15355" width="40.6640625" style="699" customWidth="1"/>
    <col min="15356" max="15356" width="3.5546875" style="699" customWidth="1"/>
    <col min="15357" max="15357" width="11.109375" style="699" customWidth="1"/>
    <col min="15358" max="15358" width="2.6640625" style="699" customWidth="1"/>
    <col min="15359" max="15359" width="11.109375" style="699" customWidth="1"/>
    <col min="15360" max="15360" width="2.6640625" style="699" customWidth="1"/>
    <col min="15361" max="15361" width="11.109375" style="699" customWidth="1"/>
    <col min="15362" max="15362" width="2.6640625" style="699" customWidth="1"/>
    <col min="15363" max="15363" width="19.109375" style="699" bestFit="1" customWidth="1"/>
    <col min="15364" max="15364" width="1.88671875" style="699" customWidth="1"/>
    <col min="15365" max="15365" width="6.6640625" style="699" customWidth="1"/>
    <col min="15366" max="15366" width="14.88671875" style="699" customWidth="1"/>
    <col min="15367" max="15367" width="9" style="699" bestFit="1" customWidth="1"/>
    <col min="15368" max="15608" width="5" style="699"/>
    <col min="15609" max="15609" width="4.6640625" style="699" customWidth="1"/>
    <col min="15610" max="15610" width="2" style="699" customWidth="1"/>
    <col min="15611" max="15611" width="40.6640625" style="699" customWidth="1"/>
    <col min="15612" max="15612" width="3.5546875" style="699" customWidth="1"/>
    <col min="15613" max="15613" width="11.109375" style="699" customWidth="1"/>
    <col min="15614" max="15614" width="2.6640625" style="699" customWidth="1"/>
    <col min="15615" max="15615" width="11.109375" style="699" customWidth="1"/>
    <col min="15616" max="15616" width="2.6640625" style="699" customWidth="1"/>
    <col min="15617" max="15617" width="11.109375" style="699" customWidth="1"/>
    <col min="15618" max="15618" width="2.6640625" style="699" customWidth="1"/>
    <col min="15619" max="15619" width="19.109375" style="699" bestFit="1" customWidth="1"/>
    <col min="15620" max="15620" width="1.88671875" style="699" customWidth="1"/>
    <col min="15621" max="15621" width="6.6640625" style="699" customWidth="1"/>
    <col min="15622" max="15622" width="14.88671875" style="699" customWidth="1"/>
    <col min="15623" max="15623" width="9" style="699" bestFit="1" customWidth="1"/>
    <col min="15624" max="15864" width="5" style="699"/>
    <col min="15865" max="15865" width="4.6640625" style="699" customWidth="1"/>
    <col min="15866" max="15866" width="2" style="699" customWidth="1"/>
    <col min="15867" max="15867" width="40.6640625" style="699" customWidth="1"/>
    <col min="15868" max="15868" width="3.5546875" style="699" customWidth="1"/>
    <col min="15869" max="15869" width="11.109375" style="699" customWidth="1"/>
    <col min="15870" max="15870" width="2.6640625" style="699" customWidth="1"/>
    <col min="15871" max="15871" width="11.109375" style="699" customWidth="1"/>
    <col min="15872" max="15872" width="2.6640625" style="699" customWidth="1"/>
    <col min="15873" max="15873" width="11.109375" style="699" customWidth="1"/>
    <col min="15874" max="15874" width="2.6640625" style="699" customWidth="1"/>
    <col min="15875" max="15875" width="19.109375" style="699" bestFit="1" customWidth="1"/>
    <col min="15876" max="15876" width="1.88671875" style="699" customWidth="1"/>
    <col min="15877" max="15877" width="6.6640625" style="699" customWidth="1"/>
    <col min="15878" max="15878" width="14.88671875" style="699" customWidth="1"/>
    <col min="15879" max="15879" width="9" style="699" bestFit="1" customWidth="1"/>
    <col min="15880" max="16120" width="5" style="699"/>
    <col min="16121" max="16121" width="4.6640625" style="699" customWidth="1"/>
    <col min="16122" max="16122" width="2" style="699" customWidth="1"/>
    <col min="16123" max="16123" width="40.6640625" style="699" customWidth="1"/>
    <col min="16124" max="16124" width="3.5546875" style="699" customWidth="1"/>
    <col min="16125" max="16125" width="11.109375" style="699" customWidth="1"/>
    <col min="16126" max="16126" width="2.6640625" style="699" customWidth="1"/>
    <col min="16127" max="16127" width="11.109375" style="699" customWidth="1"/>
    <col min="16128" max="16128" width="2.6640625" style="699" customWidth="1"/>
    <col min="16129" max="16129" width="11.109375" style="699" customWidth="1"/>
    <col min="16130" max="16130" width="2.6640625" style="699" customWidth="1"/>
    <col min="16131" max="16131" width="19.109375" style="699" bestFit="1" customWidth="1"/>
    <col min="16132" max="16132" width="1.88671875" style="699" customWidth="1"/>
    <col min="16133" max="16133" width="6.6640625" style="699" customWidth="1"/>
    <col min="16134" max="16134" width="14.88671875" style="699" customWidth="1"/>
    <col min="16135" max="16135" width="9" style="699" bestFit="1" customWidth="1"/>
    <col min="16136" max="16384" width="5" style="699"/>
  </cols>
  <sheetData>
    <row r="1" spans="1:34">
      <c r="AG1"/>
      <c r="AH1" s="63" t="str">
        <f>'Attachment H-11A '!K1&amp;""&amp;", Attachment 17"</f>
        <v>Attachment H -11A, Attachment 17</v>
      </c>
    </row>
    <row r="2" spans="1:34">
      <c r="AG2"/>
      <c r="AH2" s="63" t="s">
        <v>168</v>
      </c>
    </row>
    <row r="3" spans="1:34" ht="18.75">
      <c r="M3" s="888" t="s">
        <v>910</v>
      </c>
      <c r="N3" s="889"/>
      <c r="O3" s="888"/>
      <c r="P3" s="889"/>
      <c r="AG3"/>
      <c r="AH3" s="3" t="str">
        <f>'Attachment H-11A '!K4</f>
        <v>For the 12 months ended 12/31/2022</v>
      </c>
    </row>
    <row r="5" spans="1:34">
      <c r="C5" s="698" t="s">
        <v>688</v>
      </c>
      <c r="E5" s="698" t="str">
        <f>"("&amp;CHAR(CODE(MID(C5,2,1))+1)&amp;")"</f>
        <v>(B)</v>
      </c>
      <c r="F5" s="698"/>
      <c r="G5" s="698" t="str">
        <f t="shared" ref="G5:K5" si="0">"("&amp;CHAR(CODE(MID(E5,2,1))+1)&amp;")"</f>
        <v>(C)</v>
      </c>
      <c r="H5" s="698"/>
      <c r="I5" s="698" t="str">
        <f t="shared" si="0"/>
        <v>(D)</v>
      </c>
      <c r="J5" s="698"/>
      <c r="K5" s="698" t="str">
        <f t="shared" si="0"/>
        <v>(E)</v>
      </c>
      <c r="M5" s="698" t="str">
        <f>"("&amp;CHAR(CODE(MID(K5,2,1))+1)&amp;")"</f>
        <v>(F)</v>
      </c>
      <c r="O5" s="698" t="str">
        <f>"("&amp;CHAR(CODE(MID(M5,2,1))+1)&amp;")"</f>
        <v>(G)</v>
      </c>
      <c r="Q5" s="698" t="str">
        <f>"("&amp;CHAR(CODE(MID(O5,2,1))+1)&amp;")"</f>
        <v>(H)</v>
      </c>
      <c r="S5" s="698" t="str">
        <f>"("&amp;CHAR(CODE(MID(Q5,2,1))+1)&amp;")"</f>
        <v>(I)</v>
      </c>
      <c r="U5" s="698" t="str">
        <f>"("&amp;CHAR(CODE(MID(S5,2,1))+1)&amp;")"</f>
        <v>(J)</v>
      </c>
      <c r="W5" s="698" t="str">
        <f>"("&amp;CHAR(CODE(MID(U5,2,1))+1)&amp;")"</f>
        <v>(K)</v>
      </c>
      <c r="Y5" s="698" t="str">
        <f>"("&amp;CHAR(CODE(MID(W5,2,1))+1)&amp;")"</f>
        <v>(L)</v>
      </c>
      <c r="AA5" s="698" t="str">
        <f>"("&amp;CHAR(CODE(MID(Y5,2,1))+1)&amp;")"</f>
        <v>(M)</v>
      </c>
      <c r="AB5" s="698"/>
      <c r="AC5" s="698" t="str">
        <f t="shared" ref="AC5:AG5" si="1">"("&amp;CHAR(CODE(MID(AA5,2,1))+1)&amp;")"</f>
        <v>(N)</v>
      </c>
      <c r="AD5" s="698"/>
      <c r="AE5" s="698" t="str">
        <f t="shared" si="1"/>
        <v>(O)</v>
      </c>
      <c r="AF5" s="698"/>
      <c r="AG5" s="698" t="str">
        <f t="shared" si="1"/>
        <v>(P)</v>
      </c>
    </row>
    <row r="6" spans="1:34">
      <c r="E6" s="698"/>
      <c r="G6" s="698"/>
      <c r="I6" s="698"/>
      <c r="K6" s="698"/>
      <c r="M6" s="698"/>
      <c r="O6" s="698"/>
      <c r="Q6" s="698"/>
      <c r="S6" s="698"/>
      <c r="U6" s="698"/>
      <c r="W6" s="698"/>
      <c r="Y6" s="698"/>
      <c r="AA6" s="698"/>
      <c r="AC6" s="698"/>
      <c r="AH6" s="764"/>
    </row>
    <row r="7" spans="1:34">
      <c r="E7" s="698"/>
      <c r="G7" s="813">
        <v>2021</v>
      </c>
      <c r="I7" s="765">
        <f>$G$7+1</f>
        <v>2022</v>
      </c>
      <c r="K7" s="765">
        <f>$G$7+1</f>
        <v>2022</v>
      </c>
      <c r="M7" s="765">
        <f>$G$7+1</f>
        <v>2022</v>
      </c>
      <c r="O7" s="765">
        <f>$G$7+1</f>
        <v>2022</v>
      </c>
      <c r="Q7" s="765">
        <f>$G$7+1</f>
        <v>2022</v>
      </c>
      <c r="S7" s="765">
        <f>$G$7+1</f>
        <v>2022</v>
      </c>
      <c r="U7" s="765">
        <f>$G$7+1</f>
        <v>2022</v>
      </c>
      <c r="W7" s="765">
        <f>$G$7+1</f>
        <v>2022</v>
      </c>
      <c r="Y7" s="765">
        <f>$G$7+1</f>
        <v>2022</v>
      </c>
      <c r="AA7" s="765">
        <f>$G$7+1</f>
        <v>2022</v>
      </c>
      <c r="AC7" s="765">
        <f>$G$7+1</f>
        <v>2022</v>
      </c>
      <c r="AE7" s="765">
        <f>$G$7+1</f>
        <v>2022</v>
      </c>
      <c r="AH7" s="764"/>
    </row>
    <row r="8" spans="1:34" ht="38.1" customHeight="1">
      <c r="A8" s="766" t="s">
        <v>724</v>
      </c>
      <c r="B8" s="767"/>
      <c r="C8" s="768" t="s">
        <v>725</v>
      </c>
      <c r="D8" s="767"/>
      <c r="E8" s="769" t="s">
        <v>726</v>
      </c>
      <c r="F8" s="767"/>
      <c r="G8" s="771" t="s">
        <v>216</v>
      </c>
      <c r="H8" s="767"/>
      <c r="I8" s="771" t="s">
        <v>727</v>
      </c>
      <c r="J8" s="767"/>
      <c r="K8" s="771" t="s">
        <v>728</v>
      </c>
      <c r="L8" s="767"/>
      <c r="M8" s="771" t="s">
        <v>729</v>
      </c>
      <c r="N8" s="767"/>
      <c r="O8" s="771" t="s">
        <v>730</v>
      </c>
      <c r="P8" s="767"/>
      <c r="Q8" s="771" t="s">
        <v>731</v>
      </c>
      <c r="R8" s="767"/>
      <c r="S8" s="771" t="s">
        <v>732</v>
      </c>
      <c r="T8" s="767"/>
      <c r="U8" s="771" t="s">
        <v>733</v>
      </c>
      <c r="V8" s="767"/>
      <c r="W8" s="771" t="s">
        <v>734</v>
      </c>
      <c r="X8" s="767"/>
      <c r="Y8" s="771" t="s">
        <v>735</v>
      </c>
      <c r="Z8" s="767"/>
      <c r="AA8" s="771" t="s">
        <v>736</v>
      </c>
      <c r="AB8" s="767"/>
      <c r="AC8" s="771" t="s">
        <v>737</v>
      </c>
      <c r="AD8" s="767"/>
      <c r="AE8" s="771" t="s">
        <v>216</v>
      </c>
      <c r="AF8" s="767"/>
      <c r="AG8" s="771" t="s">
        <v>738</v>
      </c>
      <c r="AH8" s="772"/>
    </row>
    <row r="9" spans="1:34">
      <c r="A9" s="773"/>
      <c r="B9" s="774"/>
      <c r="C9" s="775"/>
      <c r="D9" s="774"/>
      <c r="E9" s="776"/>
      <c r="F9" s="774"/>
      <c r="G9" s="776"/>
      <c r="H9" s="774"/>
      <c r="I9" s="776"/>
      <c r="J9" s="774"/>
      <c r="K9" s="776"/>
      <c r="L9" s="774"/>
      <c r="M9" s="776"/>
      <c r="N9" s="774"/>
      <c r="O9" s="776"/>
      <c r="P9" s="774"/>
      <c r="Q9" s="776"/>
      <c r="R9" s="774"/>
      <c r="S9" s="776"/>
      <c r="T9" s="774"/>
      <c r="U9" s="776"/>
      <c r="V9" s="774"/>
      <c r="W9" s="776"/>
      <c r="X9" s="774"/>
      <c r="Y9" s="776"/>
      <c r="Z9" s="774"/>
      <c r="AA9" s="776"/>
      <c r="AB9" s="774"/>
      <c r="AC9" s="776"/>
      <c r="AD9" s="774"/>
      <c r="AE9" s="776"/>
      <c r="AF9" s="774"/>
      <c r="AG9" s="776"/>
      <c r="AH9" s="772"/>
    </row>
    <row r="10" spans="1:34">
      <c r="A10" s="773">
        <v>1</v>
      </c>
      <c r="B10" s="774"/>
      <c r="C10" s="775" t="s">
        <v>792</v>
      </c>
      <c r="D10" s="774"/>
      <c r="E10" s="776"/>
      <c r="F10" s="774"/>
      <c r="G10" s="776"/>
      <c r="H10" s="774"/>
      <c r="I10" s="776"/>
      <c r="J10" s="774"/>
      <c r="K10" s="776"/>
      <c r="L10" s="774"/>
      <c r="M10" s="776"/>
      <c r="N10" s="774"/>
      <c r="O10" s="776"/>
      <c r="P10" s="774"/>
      <c r="Q10" s="776"/>
      <c r="R10" s="774"/>
      <c r="S10" s="776"/>
      <c r="T10" s="774"/>
      <c r="U10" s="776"/>
      <c r="V10" s="774"/>
      <c r="W10" s="776"/>
      <c r="X10" s="774"/>
      <c r="Y10" s="776"/>
      <c r="Z10" s="774"/>
      <c r="AA10" s="776"/>
      <c r="AB10" s="774"/>
      <c r="AC10" s="776"/>
      <c r="AD10" s="774"/>
      <c r="AE10" s="776"/>
      <c r="AF10" s="774"/>
      <c r="AG10" s="776"/>
      <c r="AH10" s="772"/>
    </row>
    <row r="11" spans="1:34">
      <c r="C11" s="764"/>
      <c r="E11" s="764"/>
      <c r="G11" s="764"/>
      <c r="I11" s="764"/>
      <c r="K11" s="764"/>
      <c r="M11" s="764"/>
      <c r="O11" s="764"/>
      <c r="Q11" s="764"/>
      <c r="S11" s="764"/>
      <c r="U11" s="764"/>
      <c r="W11" s="764"/>
      <c r="Y11" s="764"/>
      <c r="AA11" s="764"/>
      <c r="AC11" s="764"/>
      <c r="AH11" s="764"/>
    </row>
    <row r="12" spans="1:34">
      <c r="A12" s="764" t="s">
        <v>433</v>
      </c>
      <c r="C12" s="777" t="s">
        <v>739</v>
      </c>
      <c r="E12" s="777"/>
      <c r="G12" s="777"/>
      <c r="I12" s="777"/>
      <c r="K12" s="777"/>
      <c r="M12" s="777"/>
      <c r="O12" s="777"/>
      <c r="Q12" s="777"/>
      <c r="S12" s="777"/>
      <c r="U12" s="777"/>
      <c r="W12" s="777"/>
      <c r="Y12" s="777"/>
      <c r="AA12" s="777"/>
      <c r="AC12" s="777"/>
      <c r="AE12" s="777"/>
      <c r="AG12" s="778">
        <f>SUM(G12:AE12)/13</f>
        <v>0</v>
      </c>
    </row>
    <row r="13" spans="1:34">
      <c r="A13" s="764" t="s">
        <v>434</v>
      </c>
      <c r="C13" s="777" t="s">
        <v>740</v>
      </c>
      <c r="E13" s="777"/>
      <c r="G13" s="777"/>
      <c r="I13" s="777"/>
      <c r="K13" s="777"/>
      <c r="M13" s="777"/>
      <c r="O13" s="777"/>
      <c r="Q13" s="777"/>
      <c r="S13" s="777"/>
      <c r="U13" s="777"/>
      <c r="W13" s="777"/>
      <c r="Y13" s="777"/>
      <c r="AA13" s="777"/>
      <c r="AC13" s="777"/>
      <c r="AE13" s="777"/>
      <c r="AG13" s="778">
        <f t="shared" ref="AG13" si="2">SUM(G13:AE13)/13</f>
        <v>0</v>
      </c>
    </row>
    <row r="14" spans="1:34">
      <c r="A14" s="764">
        <v>3</v>
      </c>
      <c r="C14" s="699" t="s">
        <v>741</v>
      </c>
      <c r="E14" s="779"/>
      <c r="G14" s="780">
        <f>SUM(G12:G13)</f>
        <v>0</v>
      </c>
      <c r="I14" s="780">
        <f>SUM(I12:I13)</f>
        <v>0</v>
      </c>
      <c r="K14" s="780">
        <f>SUM(K12:K13)</f>
        <v>0</v>
      </c>
      <c r="M14" s="780">
        <f>SUM(M12:M13)</f>
        <v>0</v>
      </c>
      <c r="O14" s="780">
        <f>SUM(O12:O13)</f>
        <v>0</v>
      </c>
      <c r="Q14" s="780">
        <f>SUM(Q12:Q13)</f>
        <v>0</v>
      </c>
      <c r="S14" s="780">
        <f>SUM(S12:S13)</f>
        <v>0</v>
      </c>
      <c r="U14" s="780">
        <f>SUM(U12:U13)</f>
        <v>0</v>
      </c>
      <c r="W14" s="780">
        <f>SUM(W12:W13)</f>
        <v>0</v>
      </c>
      <c r="Y14" s="780">
        <f>SUM(Y12:Y13)</f>
        <v>0</v>
      </c>
      <c r="AA14" s="780">
        <f>SUM(AA12:AA13)</f>
        <v>0</v>
      </c>
      <c r="AC14" s="780">
        <f>SUM(AC12:AC13)</f>
        <v>0</v>
      </c>
      <c r="AE14" s="780">
        <f>SUM(AE12:AE13)</f>
        <v>0</v>
      </c>
      <c r="AG14" s="780">
        <f>SUM(AG12:AG13)</f>
        <v>0</v>
      </c>
    </row>
    <row r="16" spans="1:34">
      <c r="A16" s="699"/>
      <c r="C16" s="781" t="s">
        <v>176</v>
      </c>
      <c r="E16" s="699"/>
      <c r="AE16" s="778"/>
    </row>
    <row r="17" spans="1:15" ht="15.6" customHeight="1">
      <c r="A17" s="699"/>
      <c r="C17" s="699" t="s">
        <v>907</v>
      </c>
      <c r="E17" s="699"/>
      <c r="G17" s="699"/>
      <c r="I17" s="699"/>
      <c r="K17" s="782"/>
      <c r="L17" s="782"/>
      <c r="M17" s="782"/>
      <c r="N17" s="782"/>
      <c r="O17" s="782"/>
    </row>
    <row r="18" spans="1:15">
      <c r="C18" s="699" t="s">
        <v>793</v>
      </c>
      <c r="I18" s="783"/>
      <c r="K18" s="782"/>
      <c r="L18" s="782"/>
      <c r="M18" s="782"/>
      <c r="N18" s="782"/>
      <c r="O18" s="782"/>
    </row>
    <row r="21" spans="1:15">
      <c r="C21" s="784"/>
      <c r="E21" s="783"/>
      <c r="G21" s="783"/>
    </row>
  </sheetData>
  <pageMargins left="0.7" right="0.7" top="0.75" bottom="0.75" header="0.3" footer="0.3"/>
  <pageSetup scale="3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K17"/>
  <sheetViews>
    <sheetView view="pageBreakPreview" zoomScale="80" zoomScaleNormal="100" zoomScaleSheetLayoutView="80" workbookViewId="0"/>
  </sheetViews>
  <sheetFormatPr defaultColWidth="8.88671875" defaultRowHeight="12.75"/>
  <cols>
    <col min="1" max="1" width="8.88671875" style="93"/>
    <col min="2" max="2" width="2.88671875" style="93" customWidth="1"/>
    <col min="3" max="3" width="24" style="93" customWidth="1"/>
    <col min="4" max="6" width="17.5546875" style="93" customWidth="1"/>
    <col min="7" max="7" width="21.5546875" style="93" customWidth="1"/>
    <col min="8" max="9" width="15.88671875" style="93" customWidth="1"/>
    <col min="10" max="16384" width="8.88671875" style="93"/>
  </cols>
  <sheetData>
    <row r="1" spans="1:11" ht="15.75">
      <c r="A1" s="41"/>
      <c r="B1" s="41"/>
      <c r="K1" s="63" t="str">
        <f>'Attachment H-11A '!K1&amp;""&amp;", Attachment 18"</f>
        <v>Attachment H -11A, Attachment 18</v>
      </c>
    </row>
    <row r="2" spans="1:11" ht="15.75">
      <c r="A2" s="94"/>
      <c r="B2" s="94"/>
      <c r="K2" s="63" t="s">
        <v>168</v>
      </c>
    </row>
    <row r="3" spans="1:11" ht="15.75">
      <c r="K3" s="3" t="str">
        <f>'Attachment H-11A '!K4</f>
        <v>For the 12 months ended 12/31/2022</v>
      </c>
    </row>
    <row r="4" spans="1:11" ht="13.5" thickBot="1">
      <c r="B4" s="106" t="s">
        <v>276</v>
      </c>
      <c r="C4" s="106"/>
      <c r="D4" s="106"/>
      <c r="E4" s="106"/>
      <c r="F4" s="106"/>
      <c r="G4" s="106"/>
      <c r="H4" s="106"/>
      <c r="I4" s="106"/>
    </row>
    <row r="6" spans="1:11">
      <c r="C6" s="93" t="s">
        <v>271</v>
      </c>
      <c r="D6" s="107">
        <v>0.21</v>
      </c>
      <c r="E6" s="859"/>
      <c r="F6" s="859"/>
    </row>
    <row r="7" spans="1:11" ht="34.5" customHeight="1">
      <c r="C7" s="491" t="s">
        <v>1154</v>
      </c>
    </row>
    <row r="8" spans="1:11">
      <c r="C8" s="108"/>
    </row>
    <row r="9" spans="1:11">
      <c r="C9" s="108"/>
    </row>
    <row r="10" spans="1:11" ht="13.5" thickBot="1">
      <c r="B10" s="106" t="s">
        <v>275</v>
      </c>
      <c r="C10" s="106"/>
      <c r="D10" s="106"/>
      <c r="E10" s="106"/>
      <c r="F10" s="106"/>
      <c r="G10" s="106"/>
      <c r="H10" s="106"/>
      <c r="I10" s="106"/>
    </row>
    <row r="11" spans="1:11">
      <c r="B11" s="94"/>
      <c r="C11" s="94"/>
      <c r="D11" s="94"/>
      <c r="E11" s="94"/>
      <c r="F11" s="94"/>
      <c r="G11" s="94"/>
      <c r="H11" s="94"/>
      <c r="I11" s="94"/>
    </row>
    <row r="12" spans="1:11">
      <c r="D12" s="832" t="s">
        <v>1317</v>
      </c>
      <c r="E12" s="832"/>
      <c r="F12" s="832"/>
      <c r="G12" s="104" t="s">
        <v>277</v>
      </c>
    </row>
    <row r="13" spans="1:11" ht="58.5" customHeight="1">
      <c r="D13" s="104"/>
      <c r="E13" s="104"/>
      <c r="F13" s="104"/>
      <c r="G13" s="105" t="s">
        <v>1154</v>
      </c>
    </row>
    <row r="14" spans="1:11">
      <c r="C14" s="93" t="s">
        <v>272</v>
      </c>
      <c r="D14" s="107">
        <v>9.9900000000000003E-2</v>
      </c>
      <c r="E14" s="107"/>
      <c r="F14" s="107"/>
    </row>
    <row r="15" spans="1:11">
      <c r="C15" s="93" t="s">
        <v>273</v>
      </c>
      <c r="D15" s="107">
        <v>1</v>
      </c>
      <c r="E15" s="107"/>
      <c r="F15" s="107"/>
    </row>
    <row r="16" spans="1:11" ht="13.5" thickBot="1">
      <c r="C16" s="93" t="s">
        <v>274</v>
      </c>
      <c r="D16" s="109">
        <f>D14*D15</f>
        <v>9.9900000000000003E-2</v>
      </c>
      <c r="E16" s="109">
        <f t="shared" ref="E16:F16" si="0">E14*E15</f>
        <v>0</v>
      </c>
      <c r="F16" s="109">
        <f t="shared" si="0"/>
        <v>0</v>
      </c>
      <c r="G16" s="109">
        <f>SUM(D16:F16)</f>
        <v>9.9900000000000003E-2</v>
      </c>
    </row>
    <row r="17" ht="13.5" thickTop="1"/>
  </sheetData>
  <pageMargins left="0.7" right="0.7" top="0.75" bottom="0.75" header="0.3" footer="0.3"/>
  <pageSetup scale="4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E251-9F92-492F-BC81-3BE62E464A87}">
  <sheetPr codeName="Sheet28"/>
  <dimension ref="A3:AD36"/>
  <sheetViews>
    <sheetView view="pageBreakPreview" zoomScale="60" zoomScaleNormal="80" workbookViewId="0"/>
  </sheetViews>
  <sheetFormatPr defaultRowHeight="15"/>
  <cols>
    <col min="1" max="1" width="6.33203125" customWidth="1"/>
    <col min="2" max="2" width="2" customWidth="1"/>
    <col min="3" max="3" width="32.44140625" customWidth="1"/>
    <col min="4" max="4" width="14.44140625" customWidth="1"/>
    <col min="5" max="5" width="22.109375" bestFit="1" customWidth="1"/>
    <col min="6" max="6" width="15.109375" customWidth="1"/>
    <col min="7" max="7" width="14.33203125" customWidth="1"/>
    <col min="8" max="8" width="7.109375" customWidth="1"/>
    <col min="9" max="9" width="15" customWidth="1"/>
    <col min="10" max="10" width="14.88671875" customWidth="1"/>
    <col min="11" max="12" width="12.109375" customWidth="1"/>
    <col min="13" max="13" width="18.77734375" bestFit="1" customWidth="1"/>
    <col min="14" max="27" width="12.44140625" customWidth="1"/>
    <col min="28" max="28" width="33.88671875" customWidth="1"/>
    <col min="29" max="29" width="11.88671875" customWidth="1"/>
    <col min="30" max="30" width="29.109375" bestFit="1" customWidth="1"/>
  </cols>
  <sheetData>
    <row r="3" spans="1:30" ht="15.75">
      <c r="AB3" s="829" t="str">
        <f>'Attachment H-11A '!K1&amp;""&amp;", Attachment 19"</f>
        <v>Attachment H -11A, Attachment 19</v>
      </c>
      <c r="AC3" s="828"/>
      <c r="AD3" s="829"/>
    </row>
    <row r="4" spans="1:30" ht="15.75">
      <c r="N4" s="709"/>
      <c r="AB4" s="829" t="s">
        <v>168</v>
      </c>
      <c r="AC4" s="828"/>
      <c r="AD4" s="829"/>
    </row>
    <row r="5" spans="1:30" ht="18.75">
      <c r="M5" s="887" t="s">
        <v>915</v>
      </c>
      <c r="N5" s="887"/>
      <c r="AB5" s="830" t="str">
        <f>'Attachment H-11A '!K4</f>
        <v>For the 12 months ended 12/31/2022</v>
      </c>
      <c r="AC5" s="828"/>
      <c r="AD5" s="830"/>
    </row>
    <row r="9" spans="1:30" ht="15.75">
      <c r="A9" s="764"/>
      <c r="B9" s="699"/>
      <c r="C9" s="698" t="s">
        <v>688</v>
      </c>
      <c r="D9" s="698" t="str">
        <f>"("&amp;CHAR(CODE(MID(C9,2,1))+1)&amp;")"</f>
        <v>(B)</v>
      </c>
      <c r="E9" s="698" t="str">
        <f>"("&amp;CHAR(CODE(MID(D9,2,1))+1)&amp;")"</f>
        <v>(C)</v>
      </c>
      <c r="F9" s="698" t="str">
        <f t="shared" ref="F9:H9" si="0">"("&amp;CHAR(CODE(MID(E9,2,1))+1)&amp;")"</f>
        <v>(D)</v>
      </c>
      <c r="G9" s="698" t="str">
        <f t="shared" si="0"/>
        <v>(E)</v>
      </c>
      <c r="H9" s="698" t="str">
        <f t="shared" si="0"/>
        <v>(F)</v>
      </c>
      <c r="I9" s="698" t="str">
        <f t="shared" ref="I9:AA9" si="1">"("&amp;CHAR(CODE(MID(H9,2,1))+1)&amp;")"</f>
        <v>(G)</v>
      </c>
      <c r="J9" s="698" t="str">
        <f t="shared" si="1"/>
        <v>(H)</v>
      </c>
      <c r="K9" s="698" t="str">
        <f t="shared" si="1"/>
        <v>(I)</v>
      </c>
      <c r="L9" s="698" t="str">
        <f t="shared" si="1"/>
        <v>(J)</v>
      </c>
      <c r="M9" s="698" t="str">
        <f t="shared" si="1"/>
        <v>(K)</v>
      </c>
      <c r="N9" s="698" t="str">
        <f t="shared" si="1"/>
        <v>(L)</v>
      </c>
      <c r="O9" s="698" t="str">
        <f t="shared" si="1"/>
        <v>(M)</v>
      </c>
      <c r="P9" s="698" t="str">
        <f t="shared" si="1"/>
        <v>(N)</v>
      </c>
      <c r="Q9" s="698" t="str">
        <f t="shared" si="1"/>
        <v>(O)</v>
      </c>
      <c r="R9" s="698" t="str">
        <f t="shared" si="1"/>
        <v>(P)</v>
      </c>
      <c r="S9" s="698" t="str">
        <f t="shared" si="1"/>
        <v>(Q)</v>
      </c>
      <c r="T9" s="698" t="str">
        <f t="shared" si="1"/>
        <v>(R)</v>
      </c>
      <c r="U9" s="698" t="str">
        <f t="shared" si="1"/>
        <v>(S)</v>
      </c>
      <c r="V9" s="698" t="str">
        <f t="shared" si="1"/>
        <v>(T)</v>
      </c>
      <c r="W9" s="698" t="str">
        <f t="shared" si="1"/>
        <v>(U)</v>
      </c>
      <c r="X9" s="698" t="str">
        <f t="shared" si="1"/>
        <v>(V)</v>
      </c>
      <c r="Y9" s="698" t="str">
        <f t="shared" si="1"/>
        <v>(W)</v>
      </c>
      <c r="Z9" s="698" t="str">
        <f t="shared" si="1"/>
        <v>(X)</v>
      </c>
      <c r="AA9" s="698" t="str">
        <f t="shared" si="1"/>
        <v>(Y)</v>
      </c>
      <c r="AB9" s="840"/>
      <c r="AC9" s="840"/>
      <c r="AD9" s="840"/>
    </row>
    <row r="10" spans="1:30" ht="15.75">
      <c r="A10" s="764"/>
      <c r="B10" s="699"/>
      <c r="C10" s="699"/>
      <c r="D10" s="698"/>
      <c r="E10" s="698"/>
      <c r="F10" s="698"/>
      <c r="G10" s="698"/>
      <c r="H10" s="698"/>
      <c r="I10" s="698"/>
      <c r="J10" s="698"/>
      <c r="K10" s="698"/>
      <c r="L10" s="698"/>
      <c r="M10" s="698"/>
      <c r="N10" s="698"/>
      <c r="O10" s="698"/>
      <c r="P10" s="698"/>
      <c r="Q10" s="698"/>
      <c r="R10" s="698"/>
      <c r="S10" s="698"/>
      <c r="T10" s="698"/>
      <c r="U10" s="698"/>
      <c r="V10" s="698"/>
      <c r="W10" s="698"/>
      <c r="X10" s="698"/>
      <c r="Y10" s="764"/>
      <c r="Z10" s="764"/>
      <c r="AA10" s="764"/>
      <c r="AB10" s="841"/>
      <c r="AC10" s="764"/>
      <c r="AD10" s="764"/>
    </row>
    <row r="11" spans="1:30" ht="29.45" customHeight="1">
      <c r="A11" s="764"/>
      <c r="B11" s="699"/>
      <c r="C11" s="699"/>
      <c r="D11" s="699"/>
      <c r="E11" s="699"/>
      <c r="F11" s="699"/>
      <c r="G11" s="699"/>
      <c r="H11" s="699"/>
      <c r="I11" s="699"/>
      <c r="J11" s="699"/>
      <c r="K11" s="699"/>
      <c r="L11" s="699"/>
      <c r="M11" s="699"/>
      <c r="N11" s="856">
        <f>(MID(AB5:AB5,31,10)-1)</f>
        <v>2021</v>
      </c>
      <c r="O11" s="765">
        <f t="shared" ref="O11:Z11" si="2">$N$11+1</f>
        <v>2022</v>
      </c>
      <c r="P11" s="765">
        <f t="shared" si="2"/>
        <v>2022</v>
      </c>
      <c r="Q11" s="765">
        <f t="shared" si="2"/>
        <v>2022</v>
      </c>
      <c r="R11" s="765">
        <f t="shared" si="2"/>
        <v>2022</v>
      </c>
      <c r="S11" s="765">
        <f t="shared" si="2"/>
        <v>2022</v>
      </c>
      <c r="T11" s="765">
        <f t="shared" si="2"/>
        <v>2022</v>
      </c>
      <c r="U11" s="765">
        <f t="shared" si="2"/>
        <v>2022</v>
      </c>
      <c r="V11" s="765">
        <f t="shared" si="2"/>
        <v>2022</v>
      </c>
      <c r="W11" s="765">
        <f t="shared" si="2"/>
        <v>2022</v>
      </c>
      <c r="X11" s="765">
        <f t="shared" si="2"/>
        <v>2022</v>
      </c>
      <c r="Y11" s="765">
        <f t="shared" si="2"/>
        <v>2022</v>
      </c>
      <c r="Z11" s="765">
        <f t="shared" si="2"/>
        <v>2022</v>
      </c>
      <c r="AA11" s="764"/>
      <c r="AB11" s="841"/>
      <c r="AC11" s="764"/>
      <c r="AD11" s="764"/>
    </row>
    <row r="12" spans="1:30" ht="68.099999999999994" customHeight="1">
      <c r="A12" s="766" t="s">
        <v>159</v>
      </c>
      <c r="B12" s="815"/>
      <c r="C12" s="770" t="s">
        <v>805</v>
      </c>
      <c r="D12" s="770" t="s">
        <v>870</v>
      </c>
      <c r="E12" s="770" t="s">
        <v>798</v>
      </c>
      <c r="F12" s="770" t="s">
        <v>799</v>
      </c>
      <c r="G12" s="770" t="s">
        <v>775</v>
      </c>
      <c r="H12" s="770" t="s">
        <v>800</v>
      </c>
      <c r="I12" s="770" t="s">
        <v>774</v>
      </c>
      <c r="J12" s="770" t="s">
        <v>804</v>
      </c>
      <c r="K12" s="770" t="s">
        <v>783</v>
      </c>
      <c r="L12" s="770" t="s">
        <v>772</v>
      </c>
      <c r="M12" s="770" t="s">
        <v>801</v>
      </c>
      <c r="N12" s="771" t="s">
        <v>216</v>
      </c>
      <c r="O12" s="771" t="s">
        <v>727</v>
      </c>
      <c r="P12" s="771" t="s">
        <v>728</v>
      </c>
      <c r="Q12" s="771" t="s">
        <v>729</v>
      </c>
      <c r="R12" s="771" t="s">
        <v>730</v>
      </c>
      <c r="S12" s="771" t="s">
        <v>731</v>
      </c>
      <c r="T12" s="771" t="s">
        <v>732</v>
      </c>
      <c r="U12" s="771" t="s">
        <v>733</v>
      </c>
      <c r="V12" s="771" t="s">
        <v>734</v>
      </c>
      <c r="W12" s="771" t="s">
        <v>735</v>
      </c>
      <c r="X12" s="771" t="s">
        <v>736</v>
      </c>
      <c r="Y12" s="771" t="s">
        <v>737</v>
      </c>
      <c r="Z12" s="771" t="s">
        <v>216</v>
      </c>
      <c r="AA12" s="771" t="s">
        <v>802</v>
      </c>
      <c r="AB12" s="842"/>
      <c r="AC12" s="843"/>
      <c r="AD12" s="843"/>
    </row>
    <row r="13" spans="1:30" ht="15.75">
      <c r="A13" s="821">
        <v>1</v>
      </c>
      <c r="B13" s="764"/>
      <c r="C13" s="818" t="s">
        <v>1320</v>
      </c>
      <c r="D13" s="395" t="s">
        <v>1318</v>
      </c>
      <c r="E13" s="395" t="s">
        <v>1476</v>
      </c>
      <c r="F13" s="1056">
        <v>5861867.5191599997</v>
      </c>
      <c r="G13" s="845">
        <v>180</v>
      </c>
      <c r="H13" s="845">
        <v>1</v>
      </c>
      <c r="I13" s="846">
        <v>44562</v>
      </c>
      <c r="J13" s="817">
        <f>IF(H13=0,0,(H13*12))</f>
        <v>12</v>
      </c>
      <c r="K13" s="817">
        <f>IF(J13=0,G13,(G13-J13+12))</f>
        <v>180</v>
      </c>
      <c r="L13" s="817">
        <f>IF(J13=0,0,IFERROR(F13/K13,0))</f>
        <v>32565.930661999999</v>
      </c>
      <c r="M13" s="817">
        <f>L13*12</f>
        <v>390791.16794399999</v>
      </c>
      <c r="N13" s="778">
        <f>F13</f>
        <v>5861867.5191599997</v>
      </c>
      <c r="O13" s="778">
        <f>N13-L13</f>
        <v>5829301.5884980001</v>
      </c>
      <c r="P13" s="778">
        <f>IF(O13-$L13&gt;=0,O13-$L13,0)</f>
        <v>5796735.6578360004</v>
      </c>
      <c r="Q13" s="778">
        <f t="shared" ref="Q13" si="3">IF(P13-$L13&gt;=0,P13-$L13,0)</f>
        <v>5764169.7271740008</v>
      </c>
      <c r="R13" s="778">
        <f t="shared" ref="R13" si="4">IF(Q13-$L13&gt;=0,Q13-$L13,0)</f>
        <v>5731603.7965120012</v>
      </c>
      <c r="S13" s="778">
        <f t="shared" ref="S13" si="5">IF(R13-$L13&gt;=0,R13-$L13,0)</f>
        <v>5699037.8658500016</v>
      </c>
      <c r="T13" s="778">
        <f t="shared" ref="T13" si="6">IF(S13-$L13&gt;=0,S13-$L13,0)</f>
        <v>5666471.935188002</v>
      </c>
      <c r="U13" s="778">
        <f t="shared" ref="U13" si="7">IF(T13-$L13&gt;=0,T13-$L13,0)</f>
        <v>5633906.0045260023</v>
      </c>
      <c r="V13" s="778">
        <f t="shared" ref="V13" si="8">IF(U13-$L13&gt;=0,U13-$L13,0)</f>
        <v>5601340.0738640027</v>
      </c>
      <c r="W13" s="778">
        <f t="shared" ref="W13" si="9">IF(V13-$L13&gt;=0,V13-$L13,0)</f>
        <v>5568774.1432020031</v>
      </c>
      <c r="X13" s="778">
        <f>IF(W13-$L13&gt;=0,W13-$L13,0)</f>
        <v>5536208.2125400035</v>
      </c>
      <c r="Y13" s="778">
        <f t="shared" ref="Y13" si="10">IF(X13-$L13&gt;=0,X13-$L13,0)</f>
        <v>5503642.2818780039</v>
      </c>
      <c r="Z13" s="778">
        <f>IF(Y13-$L13&gt;=0,Y13-$L13,0)</f>
        <v>5471076.3512160042</v>
      </c>
      <c r="AA13" s="959"/>
      <c r="AB13" s="844"/>
      <c r="AC13" s="779"/>
      <c r="AD13" s="779"/>
    </row>
    <row r="14" spans="1:30" ht="15.75">
      <c r="A14" s="821">
        <v>1.01</v>
      </c>
      <c r="B14" s="699"/>
      <c r="C14" s="818" t="s">
        <v>1319</v>
      </c>
      <c r="D14" s="395" t="s">
        <v>1318</v>
      </c>
      <c r="E14" s="395" t="s">
        <v>1476</v>
      </c>
      <c r="F14" s="1056">
        <v>1380741.8104999999</v>
      </c>
      <c r="G14" s="845">
        <v>12</v>
      </c>
      <c r="H14" s="845">
        <v>1</v>
      </c>
      <c r="I14" s="846">
        <v>44562</v>
      </c>
      <c r="J14" s="817">
        <f>IF(H14=0,0,(H14*12))</f>
        <v>12</v>
      </c>
      <c r="K14" s="817">
        <f t="shared" ref="K14:K23" si="11">IF(J14=0,G14,(G14-J14+12))</f>
        <v>12</v>
      </c>
      <c r="L14" s="817">
        <f>IF(J14=0,0,IFERROR(F14/K14,0))</f>
        <v>115061.81754166666</v>
      </c>
      <c r="M14" s="817">
        <f>L14*12</f>
        <v>1380741.8104999999</v>
      </c>
      <c r="N14" s="778">
        <f t="shared" ref="N14:N23" si="12">F14</f>
        <v>1380741.8104999999</v>
      </c>
      <c r="O14" s="778">
        <f>N14-L14</f>
        <v>1265679.9929583333</v>
      </c>
      <c r="P14" s="778">
        <f>IF(O14-$L14&gt;=0,O14-$L14,0)</f>
        <v>1150618.1754166668</v>
      </c>
      <c r="Q14" s="778">
        <f t="shared" ref="Q14:Z14" si="13">IF(P14-$L14&gt;=0,P14-$L14,0)</f>
        <v>1035556.3578750001</v>
      </c>
      <c r="R14" s="778">
        <f t="shared" si="13"/>
        <v>920494.54033333343</v>
      </c>
      <c r="S14" s="778">
        <f t="shared" si="13"/>
        <v>805432.72279166675</v>
      </c>
      <c r="T14" s="778">
        <f t="shared" si="13"/>
        <v>690370.90525000007</v>
      </c>
      <c r="U14" s="778">
        <f t="shared" si="13"/>
        <v>575309.08770833339</v>
      </c>
      <c r="V14" s="778">
        <f t="shared" si="13"/>
        <v>460247.27016666671</v>
      </c>
      <c r="W14" s="778">
        <f t="shared" si="13"/>
        <v>345185.45262500003</v>
      </c>
      <c r="X14" s="778">
        <f t="shared" si="13"/>
        <v>230123.63508333336</v>
      </c>
      <c r="Y14" s="778">
        <f t="shared" si="13"/>
        <v>115061.81754166669</v>
      </c>
      <c r="Z14" s="778">
        <f t="shared" si="13"/>
        <v>2.9103830456733704E-11</v>
      </c>
      <c r="AA14" s="959"/>
      <c r="AB14" s="844"/>
      <c r="AC14" s="779"/>
      <c r="AD14" s="779"/>
    </row>
    <row r="15" spans="1:30" ht="15.75">
      <c r="A15" s="821">
        <f>A14+0.01</f>
        <v>1.02</v>
      </c>
      <c r="B15" s="699"/>
      <c r="C15" s="818"/>
      <c r="D15" s="819"/>
      <c r="E15" s="819"/>
      <c r="F15" s="845"/>
      <c r="G15" s="845"/>
      <c r="H15" s="845"/>
      <c r="I15" s="846"/>
      <c r="J15" s="817">
        <f>IF(H15=0,0,(H15*12))</f>
        <v>0</v>
      </c>
      <c r="K15" s="817">
        <f t="shared" si="11"/>
        <v>0</v>
      </c>
      <c r="L15" s="817">
        <f t="shared" ref="L15:L23" si="14">IF(J15=0,0,IFERROR(F15/K15,0))</f>
        <v>0</v>
      </c>
      <c r="M15" s="817">
        <f t="shared" ref="M15:M23" si="15">L15*12</f>
        <v>0</v>
      </c>
      <c r="N15" s="778">
        <f t="shared" si="12"/>
        <v>0</v>
      </c>
      <c r="O15" s="778">
        <f t="shared" ref="O15:O23" si="16">N15-L15</f>
        <v>0</v>
      </c>
      <c r="P15" s="778">
        <f t="shared" ref="P15:Z23" si="17">IF(O15-$L15&gt;=0,O15-$L15,0)</f>
        <v>0</v>
      </c>
      <c r="Q15" s="778">
        <f t="shared" si="17"/>
        <v>0</v>
      </c>
      <c r="R15" s="778">
        <f t="shared" si="17"/>
        <v>0</v>
      </c>
      <c r="S15" s="778">
        <f t="shared" si="17"/>
        <v>0</v>
      </c>
      <c r="T15" s="778">
        <f t="shared" si="17"/>
        <v>0</v>
      </c>
      <c r="U15" s="778">
        <f t="shared" si="17"/>
        <v>0</v>
      </c>
      <c r="V15" s="778">
        <f t="shared" si="17"/>
        <v>0</v>
      </c>
      <c r="W15" s="778">
        <f t="shared" si="17"/>
        <v>0</v>
      </c>
      <c r="X15" s="778">
        <f t="shared" si="17"/>
        <v>0</v>
      </c>
      <c r="Y15" s="778">
        <f t="shared" si="17"/>
        <v>0</v>
      </c>
      <c r="Z15" s="778">
        <f t="shared" si="17"/>
        <v>0</v>
      </c>
      <c r="AA15" s="959"/>
      <c r="AB15" s="844"/>
      <c r="AC15" s="779"/>
      <c r="AD15" s="779"/>
    </row>
    <row r="16" spans="1:30" ht="15.75">
      <c r="A16" s="821">
        <f t="shared" ref="A16:A23" si="18">A15+0.01</f>
        <v>1.03</v>
      </c>
      <c r="B16" s="699"/>
      <c r="C16" s="818"/>
      <c r="D16" s="819"/>
      <c r="E16" s="819"/>
      <c r="F16" s="845"/>
      <c r="G16" s="845"/>
      <c r="H16" s="845"/>
      <c r="I16" s="846"/>
      <c r="J16" s="817">
        <f t="shared" ref="J16:J22" si="19">IF(H16=0,0,(H16*12))</f>
        <v>0</v>
      </c>
      <c r="K16" s="817">
        <f t="shared" si="11"/>
        <v>0</v>
      </c>
      <c r="L16" s="817">
        <f t="shared" si="14"/>
        <v>0</v>
      </c>
      <c r="M16" s="817">
        <f t="shared" si="15"/>
        <v>0</v>
      </c>
      <c r="N16" s="778">
        <f t="shared" si="12"/>
        <v>0</v>
      </c>
      <c r="O16" s="778">
        <f t="shared" si="16"/>
        <v>0</v>
      </c>
      <c r="P16" s="778">
        <f t="shared" si="17"/>
        <v>0</v>
      </c>
      <c r="Q16" s="778">
        <f t="shared" si="17"/>
        <v>0</v>
      </c>
      <c r="R16" s="778">
        <f t="shared" si="17"/>
        <v>0</v>
      </c>
      <c r="S16" s="778">
        <f t="shared" si="17"/>
        <v>0</v>
      </c>
      <c r="T16" s="778">
        <f t="shared" si="17"/>
        <v>0</v>
      </c>
      <c r="U16" s="778">
        <f t="shared" si="17"/>
        <v>0</v>
      </c>
      <c r="V16" s="778">
        <f t="shared" si="17"/>
        <v>0</v>
      </c>
      <c r="W16" s="778">
        <f t="shared" si="17"/>
        <v>0</v>
      </c>
      <c r="X16" s="778">
        <f t="shared" si="17"/>
        <v>0</v>
      </c>
      <c r="Y16" s="778">
        <f t="shared" si="17"/>
        <v>0</v>
      </c>
      <c r="Z16" s="778">
        <f t="shared" si="17"/>
        <v>0</v>
      </c>
      <c r="AA16" s="959"/>
      <c r="AB16" s="844"/>
      <c r="AC16" s="779"/>
      <c r="AD16" s="779"/>
    </row>
    <row r="17" spans="1:30" ht="15.75">
      <c r="A17" s="821">
        <f t="shared" si="18"/>
        <v>1.04</v>
      </c>
      <c r="B17" s="699"/>
      <c r="C17" s="818"/>
      <c r="D17" s="819"/>
      <c r="E17" s="819"/>
      <c r="F17" s="845"/>
      <c r="G17" s="845"/>
      <c r="H17" s="845"/>
      <c r="I17" s="846"/>
      <c r="J17" s="817">
        <f t="shared" si="19"/>
        <v>0</v>
      </c>
      <c r="K17" s="817">
        <f t="shared" si="11"/>
        <v>0</v>
      </c>
      <c r="L17" s="817">
        <f t="shared" si="14"/>
        <v>0</v>
      </c>
      <c r="M17" s="817">
        <f t="shared" si="15"/>
        <v>0</v>
      </c>
      <c r="N17" s="778">
        <f t="shared" si="12"/>
        <v>0</v>
      </c>
      <c r="O17" s="778">
        <f t="shared" si="16"/>
        <v>0</v>
      </c>
      <c r="P17" s="778">
        <f t="shared" si="17"/>
        <v>0</v>
      </c>
      <c r="Q17" s="778">
        <f t="shared" si="17"/>
        <v>0</v>
      </c>
      <c r="R17" s="778">
        <f t="shared" si="17"/>
        <v>0</v>
      </c>
      <c r="S17" s="778">
        <f t="shared" si="17"/>
        <v>0</v>
      </c>
      <c r="T17" s="778">
        <f t="shared" si="17"/>
        <v>0</v>
      </c>
      <c r="U17" s="778">
        <f t="shared" si="17"/>
        <v>0</v>
      </c>
      <c r="V17" s="778">
        <f t="shared" si="17"/>
        <v>0</v>
      </c>
      <c r="W17" s="778">
        <f t="shared" si="17"/>
        <v>0</v>
      </c>
      <c r="X17" s="778">
        <f t="shared" si="17"/>
        <v>0</v>
      </c>
      <c r="Y17" s="778">
        <f t="shared" si="17"/>
        <v>0</v>
      </c>
      <c r="Z17" s="778">
        <f t="shared" si="17"/>
        <v>0</v>
      </c>
      <c r="AA17" s="959"/>
      <c r="AB17" s="844"/>
      <c r="AC17" s="779"/>
      <c r="AD17" s="779"/>
    </row>
    <row r="18" spans="1:30" ht="15.75">
      <c r="A18" s="821">
        <f t="shared" si="18"/>
        <v>1.05</v>
      </c>
      <c r="B18" s="699"/>
      <c r="C18" s="818"/>
      <c r="D18" s="819"/>
      <c r="E18" s="819"/>
      <c r="F18" s="845"/>
      <c r="G18" s="845"/>
      <c r="H18" s="845"/>
      <c r="I18" s="846"/>
      <c r="J18" s="817">
        <f t="shared" si="19"/>
        <v>0</v>
      </c>
      <c r="K18" s="817">
        <f t="shared" si="11"/>
        <v>0</v>
      </c>
      <c r="L18" s="817">
        <f t="shared" si="14"/>
        <v>0</v>
      </c>
      <c r="M18" s="817">
        <f t="shared" si="15"/>
        <v>0</v>
      </c>
      <c r="N18" s="778">
        <f t="shared" si="12"/>
        <v>0</v>
      </c>
      <c r="O18" s="778">
        <f t="shared" si="16"/>
        <v>0</v>
      </c>
      <c r="P18" s="778">
        <f t="shared" si="17"/>
        <v>0</v>
      </c>
      <c r="Q18" s="778">
        <f t="shared" si="17"/>
        <v>0</v>
      </c>
      <c r="R18" s="778">
        <f t="shared" si="17"/>
        <v>0</v>
      </c>
      <c r="S18" s="778">
        <f t="shared" si="17"/>
        <v>0</v>
      </c>
      <c r="T18" s="778">
        <f t="shared" si="17"/>
        <v>0</v>
      </c>
      <c r="U18" s="778">
        <f t="shared" si="17"/>
        <v>0</v>
      </c>
      <c r="V18" s="778">
        <f t="shared" si="17"/>
        <v>0</v>
      </c>
      <c r="W18" s="778">
        <f t="shared" si="17"/>
        <v>0</v>
      </c>
      <c r="X18" s="778">
        <f t="shared" si="17"/>
        <v>0</v>
      </c>
      <c r="Y18" s="778">
        <f t="shared" si="17"/>
        <v>0</v>
      </c>
      <c r="Z18" s="778">
        <f t="shared" si="17"/>
        <v>0</v>
      </c>
      <c r="AA18" s="959"/>
      <c r="AB18" s="844"/>
      <c r="AC18" s="779"/>
      <c r="AD18" s="779"/>
    </row>
    <row r="19" spans="1:30" ht="15.75">
      <c r="A19" s="821">
        <f t="shared" si="18"/>
        <v>1.06</v>
      </c>
      <c r="B19" s="699"/>
      <c r="C19" s="818"/>
      <c r="D19" s="819"/>
      <c r="E19" s="819"/>
      <c r="F19" s="845"/>
      <c r="G19" s="845"/>
      <c r="H19" s="845"/>
      <c r="I19" s="846"/>
      <c r="J19" s="817">
        <f t="shared" si="19"/>
        <v>0</v>
      </c>
      <c r="K19" s="817">
        <f t="shared" si="11"/>
        <v>0</v>
      </c>
      <c r="L19" s="817">
        <f t="shared" si="14"/>
        <v>0</v>
      </c>
      <c r="M19" s="817">
        <f t="shared" si="15"/>
        <v>0</v>
      </c>
      <c r="N19" s="778">
        <f t="shared" si="12"/>
        <v>0</v>
      </c>
      <c r="O19" s="778">
        <f t="shared" si="16"/>
        <v>0</v>
      </c>
      <c r="P19" s="778">
        <f t="shared" si="17"/>
        <v>0</v>
      </c>
      <c r="Q19" s="778">
        <f t="shared" si="17"/>
        <v>0</v>
      </c>
      <c r="R19" s="778">
        <f t="shared" si="17"/>
        <v>0</v>
      </c>
      <c r="S19" s="778">
        <f t="shared" si="17"/>
        <v>0</v>
      </c>
      <c r="T19" s="778">
        <f t="shared" si="17"/>
        <v>0</v>
      </c>
      <c r="U19" s="778">
        <f t="shared" si="17"/>
        <v>0</v>
      </c>
      <c r="V19" s="778">
        <f t="shared" si="17"/>
        <v>0</v>
      </c>
      <c r="W19" s="778">
        <f t="shared" si="17"/>
        <v>0</v>
      </c>
      <c r="X19" s="778">
        <f t="shared" si="17"/>
        <v>0</v>
      </c>
      <c r="Y19" s="778">
        <f t="shared" si="17"/>
        <v>0</v>
      </c>
      <c r="Z19" s="778">
        <f t="shared" si="17"/>
        <v>0</v>
      </c>
      <c r="AA19" s="959"/>
      <c r="AB19" s="844"/>
      <c r="AC19" s="779"/>
      <c r="AD19" s="779"/>
    </row>
    <row r="20" spans="1:30" ht="15.75">
      <c r="A20" s="821">
        <f t="shared" si="18"/>
        <v>1.07</v>
      </c>
      <c r="B20" s="699"/>
      <c r="C20" s="818"/>
      <c r="D20" s="819"/>
      <c r="E20" s="819"/>
      <c r="F20" s="845"/>
      <c r="G20" s="845"/>
      <c r="H20" s="845"/>
      <c r="I20" s="846"/>
      <c r="J20" s="817">
        <f>IF(H20=0,0,(H20*12))</f>
        <v>0</v>
      </c>
      <c r="K20" s="817">
        <f t="shared" si="11"/>
        <v>0</v>
      </c>
      <c r="L20" s="817">
        <f t="shared" si="14"/>
        <v>0</v>
      </c>
      <c r="M20" s="817">
        <f t="shared" si="15"/>
        <v>0</v>
      </c>
      <c r="N20" s="778">
        <f t="shared" si="12"/>
        <v>0</v>
      </c>
      <c r="O20" s="778">
        <f t="shared" si="16"/>
        <v>0</v>
      </c>
      <c r="P20" s="778">
        <f t="shared" si="17"/>
        <v>0</v>
      </c>
      <c r="Q20" s="778">
        <f t="shared" si="17"/>
        <v>0</v>
      </c>
      <c r="R20" s="778">
        <f t="shared" si="17"/>
        <v>0</v>
      </c>
      <c r="S20" s="778">
        <f t="shared" si="17"/>
        <v>0</v>
      </c>
      <c r="T20" s="778">
        <f t="shared" si="17"/>
        <v>0</v>
      </c>
      <c r="U20" s="778">
        <f t="shared" si="17"/>
        <v>0</v>
      </c>
      <c r="V20" s="778">
        <f t="shared" si="17"/>
        <v>0</v>
      </c>
      <c r="W20" s="778">
        <f t="shared" si="17"/>
        <v>0</v>
      </c>
      <c r="X20" s="778">
        <f t="shared" si="17"/>
        <v>0</v>
      </c>
      <c r="Y20" s="778">
        <f t="shared" si="17"/>
        <v>0</v>
      </c>
      <c r="Z20" s="778">
        <f t="shared" si="17"/>
        <v>0</v>
      </c>
      <c r="AA20" s="959"/>
      <c r="AB20" s="844"/>
      <c r="AC20" s="779"/>
      <c r="AD20" s="779"/>
    </row>
    <row r="21" spans="1:30" ht="15.75">
      <c r="A21" s="821">
        <f t="shared" si="18"/>
        <v>1.08</v>
      </c>
      <c r="B21" s="699"/>
      <c r="C21" s="818"/>
      <c r="D21" s="819"/>
      <c r="E21" s="819"/>
      <c r="F21" s="845"/>
      <c r="G21" s="845"/>
      <c r="H21" s="845"/>
      <c r="I21" s="846"/>
      <c r="J21" s="817">
        <f>IF(H21=0,0,(H21*12))</f>
        <v>0</v>
      </c>
      <c r="K21" s="817">
        <f t="shared" si="11"/>
        <v>0</v>
      </c>
      <c r="L21" s="817">
        <f t="shared" si="14"/>
        <v>0</v>
      </c>
      <c r="M21" s="817">
        <f t="shared" si="15"/>
        <v>0</v>
      </c>
      <c r="N21" s="778">
        <f t="shared" si="12"/>
        <v>0</v>
      </c>
      <c r="O21" s="778">
        <f t="shared" si="16"/>
        <v>0</v>
      </c>
      <c r="P21" s="778">
        <f t="shared" si="17"/>
        <v>0</v>
      </c>
      <c r="Q21" s="778">
        <f t="shared" si="17"/>
        <v>0</v>
      </c>
      <c r="R21" s="778">
        <f t="shared" si="17"/>
        <v>0</v>
      </c>
      <c r="S21" s="778">
        <f t="shared" si="17"/>
        <v>0</v>
      </c>
      <c r="T21" s="778">
        <f t="shared" si="17"/>
        <v>0</v>
      </c>
      <c r="U21" s="778">
        <f t="shared" si="17"/>
        <v>0</v>
      </c>
      <c r="V21" s="778">
        <f t="shared" si="17"/>
        <v>0</v>
      </c>
      <c r="W21" s="778">
        <f t="shared" si="17"/>
        <v>0</v>
      </c>
      <c r="X21" s="778">
        <f t="shared" si="17"/>
        <v>0</v>
      </c>
      <c r="Y21" s="778">
        <f t="shared" si="17"/>
        <v>0</v>
      </c>
      <c r="Z21" s="778">
        <f t="shared" si="17"/>
        <v>0</v>
      </c>
      <c r="AA21" s="959"/>
      <c r="AB21" s="844"/>
      <c r="AC21" s="779"/>
      <c r="AD21" s="779"/>
    </row>
    <row r="22" spans="1:30" ht="15.75">
      <c r="A22" s="821">
        <f t="shared" si="18"/>
        <v>1.0900000000000001</v>
      </c>
      <c r="B22" s="699"/>
      <c r="C22" s="818"/>
      <c r="D22" s="819"/>
      <c r="E22" s="819"/>
      <c r="F22" s="845"/>
      <c r="G22" s="845"/>
      <c r="H22" s="845"/>
      <c r="I22" s="846"/>
      <c r="J22" s="817">
        <f t="shared" si="19"/>
        <v>0</v>
      </c>
      <c r="K22" s="817">
        <f t="shared" si="11"/>
        <v>0</v>
      </c>
      <c r="L22" s="817">
        <f t="shared" si="14"/>
        <v>0</v>
      </c>
      <c r="M22" s="817">
        <f t="shared" si="15"/>
        <v>0</v>
      </c>
      <c r="N22" s="778">
        <f t="shared" si="12"/>
        <v>0</v>
      </c>
      <c r="O22" s="778">
        <f t="shared" si="16"/>
        <v>0</v>
      </c>
      <c r="P22" s="778">
        <f t="shared" si="17"/>
        <v>0</v>
      </c>
      <c r="Q22" s="778">
        <f t="shared" si="17"/>
        <v>0</v>
      </c>
      <c r="R22" s="778">
        <f t="shared" si="17"/>
        <v>0</v>
      </c>
      <c r="S22" s="778">
        <f t="shared" si="17"/>
        <v>0</v>
      </c>
      <c r="T22" s="778">
        <f t="shared" si="17"/>
        <v>0</v>
      </c>
      <c r="U22" s="778">
        <f t="shared" si="17"/>
        <v>0</v>
      </c>
      <c r="V22" s="778">
        <f t="shared" si="17"/>
        <v>0</v>
      </c>
      <c r="W22" s="778">
        <f t="shared" si="17"/>
        <v>0</v>
      </c>
      <c r="X22" s="778">
        <f t="shared" si="17"/>
        <v>0</v>
      </c>
      <c r="Y22" s="778">
        <f t="shared" si="17"/>
        <v>0</v>
      </c>
      <c r="Z22" s="778">
        <f t="shared" si="17"/>
        <v>0</v>
      </c>
      <c r="AA22" s="959"/>
      <c r="AB22" s="844"/>
      <c r="AC22" s="779"/>
      <c r="AD22" s="779"/>
    </row>
    <row r="23" spans="1:30" ht="15.75">
      <c r="A23" s="821">
        <f t="shared" si="18"/>
        <v>1.1000000000000001</v>
      </c>
      <c r="B23" s="699"/>
      <c r="C23" s="818"/>
      <c r="D23" s="819"/>
      <c r="E23" s="819"/>
      <c r="F23" s="845"/>
      <c r="G23" s="845"/>
      <c r="H23" s="845"/>
      <c r="I23" s="846"/>
      <c r="J23" s="817">
        <f>IF(H23=0,0,(H23*12))</f>
        <v>0</v>
      </c>
      <c r="K23" s="817">
        <f t="shared" si="11"/>
        <v>0</v>
      </c>
      <c r="L23" s="817">
        <f t="shared" si="14"/>
        <v>0</v>
      </c>
      <c r="M23" s="817">
        <f t="shared" si="15"/>
        <v>0</v>
      </c>
      <c r="N23" s="778">
        <f t="shared" si="12"/>
        <v>0</v>
      </c>
      <c r="O23" s="778">
        <f t="shared" si="16"/>
        <v>0</v>
      </c>
      <c r="P23" s="778">
        <f t="shared" si="17"/>
        <v>0</v>
      </c>
      <c r="Q23" s="778">
        <f t="shared" si="17"/>
        <v>0</v>
      </c>
      <c r="R23" s="778">
        <f t="shared" si="17"/>
        <v>0</v>
      </c>
      <c r="S23" s="778">
        <f t="shared" si="17"/>
        <v>0</v>
      </c>
      <c r="T23" s="778">
        <f t="shared" si="17"/>
        <v>0</v>
      </c>
      <c r="U23" s="778">
        <f t="shared" si="17"/>
        <v>0</v>
      </c>
      <c r="V23" s="778">
        <f t="shared" si="17"/>
        <v>0</v>
      </c>
      <c r="W23" s="778">
        <f t="shared" si="17"/>
        <v>0</v>
      </c>
      <c r="X23" s="778">
        <f t="shared" si="17"/>
        <v>0</v>
      </c>
      <c r="Y23" s="778">
        <f t="shared" si="17"/>
        <v>0</v>
      </c>
      <c r="Z23" s="778">
        <f t="shared" si="17"/>
        <v>0</v>
      </c>
      <c r="AA23" s="959"/>
      <c r="AB23" s="844"/>
      <c r="AC23" s="779"/>
      <c r="AD23" s="779"/>
    </row>
    <row r="24" spans="1:30" ht="17.45" customHeight="1">
      <c r="A24" s="764"/>
      <c r="B24" s="764"/>
      <c r="C24" s="699"/>
      <c r="D24" s="778"/>
      <c r="E24" s="778"/>
      <c r="F24" s="778"/>
      <c r="G24" s="778"/>
      <c r="H24" s="778"/>
      <c r="I24" s="778"/>
      <c r="J24" s="778"/>
      <c r="K24" s="778"/>
      <c r="L24" s="778"/>
      <c r="M24" s="778"/>
      <c r="N24" s="778"/>
      <c r="O24" s="778"/>
      <c r="P24" s="778"/>
      <c r="Q24" s="778"/>
      <c r="R24" s="778"/>
      <c r="S24" s="778"/>
      <c r="T24" s="778"/>
      <c r="U24" s="778"/>
      <c r="V24" s="778"/>
      <c r="W24" s="778"/>
      <c r="X24" s="778"/>
      <c r="Y24" s="764"/>
      <c r="Z24" s="764"/>
      <c r="AA24" s="764"/>
      <c r="AB24" s="841"/>
      <c r="AC24" s="764"/>
      <c r="AD24" s="764"/>
    </row>
    <row r="25" spans="1:30" ht="15.6" customHeight="1">
      <c r="A25" s="764"/>
      <c r="B25" s="764"/>
      <c r="C25" s="699"/>
      <c r="D25" s="778"/>
      <c r="E25" s="778"/>
      <c r="F25" s="778"/>
      <c r="G25" s="778"/>
      <c r="H25" s="778"/>
      <c r="I25" s="778"/>
      <c r="J25" s="778"/>
      <c r="K25" s="778"/>
      <c r="L25" s="778"/>
      <c r="M25" s="778"/>
      <c r="N25" s="778"/>
      <c r="O25" s="778"/>
      <c r="P25" s="778"/>
      <c r="Q25" s="778"/>
      <c r="R25" s="778"/>
      <c r="S25" s="778"/>
      <c r="T25" s="778"/>
      <c r="U25" s="778"/>
      <c r="V25" s="778"/>
      <c r="W25" s="778"/>
      <c r="X25" s="778"/>
      <c r="Y25" s="764"/>
      <c r="Z25" s="764"/>
      <c r="AA25" s="764"/>
      <c r="AB25" s="814"/>
      <c r="AC25" s="764"/>
      <c r="AD25" s="764"/>
    </row>
    <row r="26" spans="1:30" s="827" customFormat="1" ht="16.5" thickBot="1">
      <c r="A26" s="822">
        <v>2</v>
      </c>
      <c r="B26" s="822"/>
      <c r="C26" s="823" t="s">
        <v>9</v>
      </c>
      <c r="D26" s="847"/>
      <c r="E26" s="847"/>
      <c r="F26" s="847"/>
      <c r="G26" s="847"/>
      <c r="H26" s="847"/>
      <c r="I26" s="847"/>
      <c r="J26" s="847"/>
      <c r="K26" s="847"/>
      <c r="L26" s="847"/>
      <c r="M26" s="849">
        <f>SUM(M13:M25)</f>
        <v>1771532.9784439998</v>
      </c>
      <c r="N26" s="847"/>
      <c r="O26" s="847"/>
      <c r="P26" s="847"/>
      <c r="Q26" s="847"/>
      <c r="R26" s="847"/>
      <c r="S26" s="847"/>
      <c r="T26" s="847"/>
      <c r="U26" s="847"/>
      <c r="V26" s="847"/>
      <c r="W26" s="847"/>
      <c r="X26" s="847"/>
      <c r="Y26" s="822"/>
      <c r="Z26" s="822"/>
      <c r="AA26" s="850">
        <f>SUM(AA13:AA25)</f>
        <v>0</v>
      </c>
      <c r="AB26" s="848"/>
      <c r="AC26" s="825"/>
      <c r="AD26" s="825"/>
    </row>
    <row r="27" spans="1:30" ht="16.5" thickTop="1">
      <c r="A27" s="764"/>
      <c r="B27" s="764"/>
      <c r="C27" s="699"/>
      <c r="D27" s="778"/>
      <c r="E27" s="778"/>
      <c r="F27" s="778"/>
      <c r="G27" s="778"/>
      <c r="H27" s="778"/>
      <c r="I27" s="778"/>
      <c r="J27" s="778"/>
      <c r="K27" s="778"/>
      <c r="L27" s="778"/>
      <c r="M27" s="778"/>
      <c r="N27" s="778"/>
      <c r="O27" s="778"/>
      <c r="P27" s="778"/>
      <c r="Q27" s="778"/>
      <c r="R27" s="778"/>
      <c r="S27" s="778"/>
      <c r="T27" s="778"/>
      <c r="U27" s="778"/>
      <c r="V27" s="778"/>
      <c r="W27" s="778"/>
      <c r="X27" s="778"/>
      <c r="Y27" s="764"/>
      <c r="Z27" s="764"/>
      <c r="AA27" s="764"/>
      <c r="AB27" s="814"/>
      <c r="AC27" s="764"/>
      <c r="AD27" s="764"/>
    </row>
    <row r="28" spans="1:30" ht="15.75">
      <c r="A28" s="764"/>
      <c r="B28" s="764"/>
      <c r="C28" s="699"/>
      <c r="D28" s="778"/>
      <c r="E28" s="778"/>
      <c r="F28" s="778"/>
      <c r="G28" s="778"/>
      <c r="H28" s="778"/>
      <c r="I28" s="778"/>
      <c r="J28" s="778"/>
      <c r="K28" s="778"/>
      <c r="L28" s="778"/>
      <c r="M28" s="778"/>
      <c r="N28" s="778"/>
      <c r="O28" s="778"/>
      <c r="P28" s="778"/>
      <c r="Q28" s="778"/>
      <c r="R28" s="778"/>
      <c r="S28" s="778"/>
      <c r="T28" s="778"/>
      <c r="U28" s="778"/>
      <c r="V28" s="778"/>
      <c r="W28" s="778"/>
      <c r="X28" s="778"/>
      <c r="Y28" s="764"/>
      <c r="Z28" s="764"/>
      <c r="AA28" s="764"/>
      <c r="AB28" s="814"/>
      <c r="AC28" s="764"/>
      <c r="AD28" s="764"/>
    </row>
    <row r="29" spans="1:30" ht="15.75">
      <c r="A29" s="764"/>
      <c r="B29" s="764"/>
      <c r="C29" s="699"/>
      <c r="D29" s="778"/>
      <c r="E29" s="778"/>
      <c r="F29" s="778"/>
      <c r="G29" s="778"/>
      <c r="H29" s="778"/>
      <c r="I29" s="778"/>
      <c r="J29" s="778"/>
      <c r="K29" s="778"/>
      <c r="L29" s="778"/>
      <c r="M29" s="778"/>
      <c r="N29" s="778"/>
      <c r="O29" s="778"/>
      <c r="P29" s="778"/>
      <c r="Q29" s="778"/>
      <c r="R29" s="778"/>
      <c r="S29" s="778"/>
      <c r="T29" s="778"/>
      <c r="U29" s="778"/>
      <c r="V29" s="778"/>
      <c r="W29" s="778"/>
      <c r="X29" s="778"/>
      <c r="Y29" s="764"/>
      <c r="Z29" s="764"/>
      <c r="AA29" s="764"/>
      <c r="AB29" s="814"/>
      <c r="AC29" s="764"/>
      <c r="AD29" s="764"/>
    </row>
    <row r="30" spans="1:30" ht="15.75">
      <c r="C30" s="781" t="s">
        <v>176</v>
      </c>
      <c r="D30" s="699"/>
      <c r="E30" s="699"/>
      <c r="F30" s="699"/>
      <c r="H30" s="699"/>
    </row>
    <row r="31" spans="1:30" ht="15.75">
      <c r="C31" s="699" t="s">
        <v>1206</v>
      </c>
    </row>
    <row r="32" spans="1:30" ht="15.75">
      <c r="C32" s="699" t="s">
        <v>1207</v>
      </c>
    </row>
    <row r="33" spans="3:9" ht="15.75">
      <c r="C33" s="699" t="s">
        <v>1208</v>
      </c>
    </row>
    <row r="34" spans="3:9" ht="15.75">
      <c r="C34" s="699" t="s">
        <v>1209</v>
      </c>
    </row>
    <row r="35" spans="3:9" ht="15.75">
      <c r="C35" s="699" t="s">
        <v>1210</v>
      </c>
    </row>
    <row r="36" spans="3:9" ht="15.75">
      <c r="C36" s="699" t="s">
        <v>1211</v>
      </c>
      <c r="D36" s="699"/>
      <c r="E36" s="699"/>
      <c r="F36" s="699"/>
      <c r="G36" s="699"/>
      <c r="H36" s="699"/>
      <c r="I36" s="699"/>
    </row>
  </sheetData>
  <pageMargins left="0.7" right="0.7" top="0.75" bottom="0.75" header="0.3" footer="0.3"/>
  <pageSetup scale="19" orientation="portrait" r:id="rId1"/>
  <ignoredErrors>
    <ignoredError sqref="P12"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6280-52B0-46B0-9A18-49FFCBCBAC05}">
  <sheetPr codeName="Sheet29"/>
  <dimension ref="A1:BE75"/>
  <sheetViews>
    <sheetView view="pageBreakPreview" zoomScale="90" zoomScaleNormal="100" zoomScaleSheetLayoutView="90" workbookViewId="0"/>
  </sheetViews>
  <sheetFormatPr defaultColWidth="8.88671875" defaultRowHeight="15.75"/>
  <cols>
    <col min="1" max="1" width="4.44140625" style="1" customWidth="1"/>
    <col min="2" max="2" width="3" style="2" customWidth="1"/>
    <col min="3" max="3" width="9.77734375" style="1" customWidth="1"/>
    <col min="4" max="4" width="2.109375" style="1" customWidth="1"/>
    <col min="5" max="5" width="41.44140625" style="1" bestFit="1" customWidth="1"/>
    <col min="6" max="6" width="2.109375" style="1" customWidth="1"/>
    <col min="7" max="7" width="13.44140625" style="1" bestFit="1" customWidth="1"/>
    <col min="8" max="8" width="2.109375" style="1" customWidth="1"/>
    <col min="9" max="9" width="14.44140625" style="1" customWidth="1"/>
    <col min="10" max="10" width="2.109375" style="1" customWidth="1"/>
    <col min="11" max="11" width="12" style="1" customWidth="1"/>
    <col min="12" max="12" width="2.33203125" style="1" customWidth="1"/>
    <col min="13" max="13" width="12" style="1" customWidth="1"/>
    <col min="14" max="14" width="2.21875" style="1" customWidth="1"/>
    <col min="15" max="15" width="28.44140625" style="1" bestFit="1" customWidth="1"/>
    <col min="16" max="16" width="2.44140625" style="1" customWidth="1"/>
    <col min="17" max="17" width="19.5546875" style="1" bestFit="1" customWidth="1"/>
    <col min="18" max="18" width="1.77734375" style="1" bestFit="1" customWidth="1"/>
    <col min="19" max="19" width="11.88671875" style="1" customWidth="1"/>
    <col min="20" max="20" width="2" style="1" customWidth="1"/>
    <col min="21" max="21" width="14.6640625" style="1" bestFit="1" customWidth="1"/>
    <col min="22" max="22" width="2.109375" style="1" customWidth="1"/>
    <col min="23" max="23" width="12.77734375" style="1" customWidth="1"/>
    <col min="24" max="24" width="2.109375" style="1" customWidth="1"/>
    <col min="25" max="25" width="12.21875" style="1" bestFit="1" customWidth="1"/>
    <col min="26" max="26" width="11.6640625" style="1" bestFit="1" customWidth="1"/>
    <col min="27" max="27" width="9.33203125" style="1" bestFit="1" customWidth="1"/>
    <col min="28" max="16384" width="8.88671875" style="1"/>
  </cols>
  <sheetData>
    <row r="1" spans="1:55">
      <c r="U1" s="1154" t="str">
        <f>'Attachment H-11A '!K1&amp;""&amp;", Attachment 20"</f>
        <v>Attachment H -11A, Attachment 20</v>
      </c>
      <c r="V1" s="1154"/>
      <c r="W1" s="1154"/>
      <c r="X1" s="1154"/>
      <c r="Y1" s="1154"/>
    </row>
    <row r="2" spans="1:55">
      <c r="U2" s="1155" t="s">
        <v>168</v>
      </c>
      <c r="V2" s="1155"/>
      <c r="W2" s="1155"/>
      <c r="X2" s="1155"/>
      <c r="Y2" s="1155"/>
    </row>
    <row r="3" spans="1:55">
      <c r="U3" s="1154" t="str">
        <f>'Attachment H-11A '!K4</f>
        <v>For the 12 months ended 12/31/2022</v>
      </c>
      <c r="V3" s="1154"/>
      <c r="W3" s="1154"/>
      <c r="X3" s="1154"/>
      <c r="Y3" s="1154"/>
    </row>
    <row r="5" spans="1:55">
      <c r="E5" s="698" t="s">
        <v>688</v>
      </c>
      <c r="F5" s="698"/>
      <c r="G5" s="698" t="str">
        <f>"("&amp;CHAR(CODE(MID(E5,2,1))+1)&amp;")"</f>
        <v>(B)</v>
      </c>
      <c r="I5" s="698" t="str">
        <f t="shared" ref="I5" si="0">"("&amp;CHAR(CODE(MID(G5,2,1))+1)&amp;")"</f>
        <v>(C)</v>
      </c>
      <c r="J5" s="698"/>
      <c r="K5" s="698" t="str">
        <f t="shared" ref="K5" si="1">"("&amp;CHAR(CODE(MID(I5,2,1))+1)&amp;")"</f>
        <v>(D)</v>
      </c>
      <c r="L5" s="698"/>
      <c r="M5" s="698" t="str">
        <f t="shared" ref="M5" si="2">"("&amp;CHAR(CODE(MID(K5,2,1))+1)&amp;")"</f>
        <v>(E)</v>
      </c>
      <c r="N5" s="698"/>
      <c r="O5" s="698" t="str">
        <f t="shared" ref="O5" si="3">"("&amp;CHAR(CODE(MID(M5,2,1))+1)&amp;")"</f>
        <v>(F)</v>
      </c>
      <c r="P5" s="698"/>
      <c r="Q5" s="698" t="str">
        <f t="shared" ref="Q5" si="4">"("&amp;CHAR(CODE(MID(O5,2,1))+1)&amp;")"</f>
        <v>(G)</v>
      </c>
      <c r="R5" s="698"/>
      <c r="S5" s="698" t="str">
        <f t="shared" ref="S5" si="5">"("&amp;CHAR(CODE(MID(Q5,2,1))+1)&amp;")"</f>
        <v>(H)</v>
      </c>
      <c r="T5" s="698"/>
      <c r="U5" s="698" t="str">
        <f t="shared" ref="U5" si="6">"("&amp;CHAR(CODE(MID(S5,2,1))+1)&amp;")"</f>
        <v>(I)</v>
      </c>
      <c r="V5" s="698"/>
      <c r="W5" s="698" t="str">
        <f t="shared" ref="W5" si="7">"("&amp;CHAR(CODE(MID(U5,2,1))+1)&amp;")"</f>
        <v>(J)</v>
      </c>
      <c r="X5" s="983"/>
      <c r="Y5" s="983" t="s">
        <v>1029</v>
      </c>
    </row>
    <row r="6" spans="1:55" s="783" customFormat="1" ht="31.5">
      <c r="A6" s="766" t="s">
        <v>5</v>
      </c>
      <c r="B6" s="773"/>
      <c r="C6" s="766" t="s">
        <v>974</v>
      </c>
      <c r="D6" s="773"/>
      <c r="E6" s="949" t="s">
        <v>975</v>
      </c>
      <c r="F6" s="950"/>
      <c r="G6" s="951" t="s">
        <v>976</v>
      </c>
      <c r="H6" s="773"/>
      <c r="I6" s="951" t="s">
        <v>977</v>
      </c>
      <c r="J6" s="952" t="s">
        <v>978</v>
      </c>
      <c r="K6" s="953" t="s">
        <v>979</v>
      </c>
      <c r="L6" s="954" t="s">
        <v>78</v>
      </c>
      <c r="M6" s="953" t="s">
        <v>980</v>
      </c>
      <c r="N6" s="953" t="s">
        <v>691</v>
      </c>
      <c r="O6" s="953" t="s">
        <v>1030</v>
      </c>
      <c r="P6" s="952" t="s">
        <v>78</v>
      </c>
      <c r="Q6" s="953" t="s">
        <v>981</v>
      </c>
      <c r="R6" s="955"/>
      <c r="S6" s="955"/>
      <c r="T6" s="952"/>
      <c r="U6" s="955"/>
      <c r="W6" s="956"/>
      <c r="Y6" s="984"/>
      <c r="AA6" s="956"/>
      <c r="AC6" s="956"/>
      <c r="AE6" s="956"/>
      <c r="AG6" s="956"/>
      <c r="AI6" s="956"/>
      <c r="AK6" s="956"/>
      <c r="AM6" s="956"/>
      <c r="AO6" s="773"/>
      <c r="AQ6" s="773"/>
      <c r="AS6" s="773"/>
      <c r="AT6" s="773"/>
      <c r="AU6" s="957"/>
      <c r="AW6" s="773"/>
      <c r="AY6" s="956"/>
      <c r="BA6" s="773"/>
      <c r="BC6" s="773"/>
    </row>
    <row r="7" spans="1:55" s="699" customFormat="1">
      <c r="A7" s="764">
        <v>1</v>
      </c>
      <c r="B7" s="764"/>
      <c r="C7" s="958">
        <v>560</v>
      </c>
      <c r="D7" s="764"/>
      <c r="E7" s="1" t="s">
        <v>641</v>
      </c>
      <c r="F7" s="1"/>
      <c r="G7" s="1" t="s">
        <v>982</v>
      </c>
      <c r="H7" s="764"/>
      <c r="I7" s="959">
        <v>94110</v>
      </c>
      <c r="J7" s="764"/>
      <c r="K7" s="960">
        <f>'Attachment H-11A '!$I$205</f>
        <v>0.99211934550965897</v>
      </c>
      <c r="L7" s="764"/>
      <c r="M7" s="886">
        <f>I7*K7</f>
        <v>93368.351605914009</v>
      </c>
      <c r="N7" s="778"/>
      <c r="O7" s="959"/>
      <c r="P7" s="764"/>
      <c r="Q7" s="778">
        <f>M7-O7</f>
        <v>93368.351605914009</v>
      </c>
      <c r="R7" s="961"/>
      <c r="S7" s="961"/>
      <c r="T7" s="764"/>
      <c r="U7" s="961"/>
      <c r="W7" s="778"/>
      <c r="Y7" s="961"/>
      <c r="AA7" s="778"/>
      <c r="AC7" s="778"/>
      <c r="AE7" s="778"/>
      <c r="AG7" s="778"/>
      <c r="AI7" s="778"/>
      <c r="AK7" s="778"/>
      <c r="AM7" s="778"/>
      <c r="AO7" s="764"/>
      <c r="AQ7" s="764"/>
      <c r="AS7" s="764"/>
      <c r="AT7" s="764"/>
      <c r="AU7" s="814"/>
      <c r="AW7" s="764"/>
      <c r="AY7" s="778"/>
      <c r="BA7" s="764"/>
      <c r="BC7" s="764"/>
    </row>
    <row r="8" spans="1:55" s="699" customFormat="1" ht="15.6" customHeight="1">
      <c r="A8" s="764">
        <f>MAX($A$7:A7)+1</f>
        <v>2</v>
      </c>
      <c r="B8" s="764"/>
      <c r="C8" s="958">
        <v>561.1</v>
      </c>
      <c r="D8" s="764"/>
      <c r="E8" s="1" t="s">
        <v>642</v>
      </c>
      <c r="F8" s="1"/>
      <c r="G8" s="1" t="s">
        <v>983</v>
      </c>
      <c r="H8" s="764"/>
      <c r="I8" s="959">
        <v>831669</v>
      </c>
      <c r="J8" s="764"/>
      <c r="K8" s="960">
        <f>'Attachment H-11A '!$I$205</f>
        <v>0.99211934550965897</v>
      </c>
      <c r="L8" s="764"/>
      <c r="M8" s="886">
        <f>I8*K8</f>
        <v>825114.90396067256</v>
      </c>
      <c r="N8" s="778"/>
      <c r="O8" s="959"/>
      <c r="P8" s="764"/>
      <c r="Q8" s="778">
        <f t="shared" ref="Q8:Q31" si="8">M8-O8</f>
        <v>825114.90396067256</v>
      </c>
      <c r="R8" s="961"/>
      <c r="W8" s="962"/>
      <c r="Y8" s="962"/>
      <c r="Z8" s="962"/>
      <c r="AA8" s="962"/>
      <c r="AB8" s="962"/>
      <c r="AC8" s="778"/>
      <c r="AE8" s="778"/>
      <c r="AG8" s="778"/>
      <c r="AI8" s="778"/>
      <c r="AK8" s="778"/>
      <c r="AM8" s="778"/>
      <c r="AO8" s="764"/>
      <c r="AQ8" s="764"/>
      <c r="AS8" s="764"/>
      <c r="AT8" s="764"/>
      <c r="AU8" s="814"/>
      <c r="AW8" s="764"/>
      <c r="AY8" s="764"/>
      <c r="BA8" s="764"/>
      <c r="BC8" s="764"/>
    </row>
    <row r="9" spans="1:55" s="699" customFormat="1">
      <c r="A9" s="764">
        <f>MAX($A$7:A8)+1</f>
        <v>3</v>
      </c>
      <c r="B9" s="764"/>
      <c r="C9" s="958">
        <v>561.20000000000005</v>
      </c>
      <c r="D9" s="764"/>
      <c r="E9" s="1" t="s">
        <v>643</v>
      </c>
      <c r="F9" s="1"/>
      <c r="G9" s="1" t="s">
        <v>984</v>
      </c>
      <c r="H9" s="764"/>
      <c r="I9" s="959"/>
      <c r="J9" s="764"/>
      <c r="K9" s="960">
        <f>'Attachment H-11A '!$I$205</f>
        <v>0.99211934550965897</v>
      </c>
      <c r="L9" s="764"/>
      <c r="M9" s="886">
        <f t="shared" ref="M9:M31" si="9">I9*K9</f>
        <v>0</v>
      </c>
      <c r="N9" s="778"/>
      <c r="O9" s="959"/>
      <c r="P9" s="764"/>
      <c r="Q9" s="778">
        <f t="shared" si="8"/>
        <v>0</v>
      </c>
      <c r="R9" s="961"/>
      <c r="W9" s="962"/>
      <c r="Y9" s="962"/>
      <c r="Z9" s="962"/>
      <c r="AA9" s="962"/>
      <c r="AB9" s="962"/>
      <c r="AC9" s="778"/>
      <c r="AE9" s="778"/>
      <c r="AG9" s="778"/>
      <c r="AI9" s="778"/>
      <c r="AK9" s="778"/>
      <c r="AM9" s="778"/>
      <c r="AO9" s="764"/>
      <c r="AQ9" s="764"/>
      <c r="AS9" s="764"/>
      <c r="AT9" s="764"/>
      <c r="AU9" s="814"/>
      <c r="AW9" s="764"/>
      <c r="AY9" s="764"/>
      <c r="BA9" s="764"/>
      <c r="BC9" s="764"/>
    </row>
    <row r="10" spans="1:55" s="699" customFormat="1">
      <c r="A10" s="764">
        <f>MAX($A$7:A9)+1</f>
        <v>4</v>
      </c>
      <c r="B10" s="764"/>
      <c r="C10" s="958">
        <v>561.29999999999995</v>
      </c>
      <c r="D10" s="764"/>
      <c r="E10" s="1" t="s">
        <v>644</v>
      </c>
      <c r="F10" s="1"/>
      <c r="G10" s="1" t="s">
        <v>985</v>
      </c>
      <c r="H10" s="764"/>
      <c r="I10" s="959"/>
      <c r="J10" s="764"/>
      <c r="K10" s="960">
        <f>'Attachment H-11A '!$I$205</f>
        <v>0.99211934550965897</v>
      </c>
      <c r="L10" s="764"/>
      <c r="M10" s="886">
        <f>I10*K10</f>
        <v>0</v>
      </c>
      <c r="N10" s="778"/>
      <c r="O10" s="959"/>
      <c r="P10" s="764"/>
      <c r="Q10" s="778">
        <f t="shared" si="8"/>
        <v>0</v>
      </c>
      <c r="R10" s="961"/>
      <c r="W10" s="962"/>
      <c r="Y10" s="962"/>
      <c r="Z10" s="962"/>
      <c r="AA10" s="962"/>
      <c r="AB10" s="962"/>
      <c r="AC10" s="778"/>
      <c r="AE10" s="778"/>
      <c r="AG10" s="778"/>
      <c r="AI10" s="778"/>
      <c r="AK10" s="778"/>
      <c r="AM10" s="778"/>
      <c r="AO10" s="764"/>
      <c r="AQ10" s="764"/>
      <c r="AS10" s="764"/>
      <c r="AT10" s="764"/>
      <c r="AU10" s="814"/>
      <c r="AW10" s="764"/>
      <c r="AY10" s="764"/>
      <c r="BA10" s="764"/>
      <c r="BC10" s="764"/>
    </row>
    <row r="11" spans="1:55" s="699" customFormat="1" ht="15.6" customHeight="1">
      <c r="A11" s="764">
        <f>MAX($A$7:A10)+1</f>
        <v>5</v>
      </c>
      <c r="B11" s="764"/>
      <c r="C11" s="958">
        <v>561.4</v>
      </c>
      <c r="D11" s="764"/>
      <c r="E11" s="1" t="s">
        <v>645</v>
      </c>
      <c r="F11" s="1"/>
      <c r="G11" s="1" t="s">
        <v>986</v>
      </c>
      <c r="H11" s="764"/>
      <c r="I11" s="959">
        <v>-480</v>
      </c>
      <c r="J11" s="764"/>
      <c r="K11" s="960">
        <f>'Attachment H-11A '!$I$205</f>
        <v>0.99211934550965897</v>
      </c>
      <c r="L11" s="764"/>
      <c r="M11" s="886">
        <f>I11*K11</f>
        <v>-476.21728584463631</v>
      </c>
      <c r="N11" s="778"/>
      <c r="O11" s="959">
        <f>M11</f>
        <v>-476.21728584463631</v>
      </c>
      <c r="P11" s="764"/>
      <c r="Q11" s="778">
        <f t="shared" si="8"/>
        <v>0</v>
      </c>
      <c r="R11" s="961"/>
      <c r="W11" s="962"/>
      <c r="Y11" s="962"/>
      <c r="Z11" s="962"/>
      <c r="AA11" s="962"/>
      <c r="AB11" s="962"/>
      <c r="AC11" s="778"/>
      <c r="AE11" s="778"/>
      <c r="AG11" s="778"/>
      <c r="AI11" s="778"/>
      <c r="AK11" s="778"/>
      <c r="AM11" s="778"/>
      <c r="AO11" s="764"/>
      <c r="AQ11" s="764"/>
      <c r="AS11" s="764"/>
      <c r="AT11" s="764"/>
      <c r="AU11" s="814"/>
      <c r="AW11" s="764"/>
      <c r="AY11" s="764"/>
      <c r="BA11" s="764"/>
      <c r="BC11" s="764"/>
    </row>
    <row r="12" spans="1:55" s="699" customFormat="1">
      <c r="A12" s="764">
        <f>MAX($A$7:A11)+1</f>
        <v>6</v>
      </c>
      <c r="B12" s="764"/>
      <c r="C12" s="958">
        <v>561.5</v>
      </c>
      <c r="D12" s="764"/>
      <c r="E12" s="1" t="s">
        <v>646</v>
      </c>
      <c r="F12" s="1"/>
      <c r="G12" s="1" t="s">
        <v>987</v>
      </c>
      <c r="H12" s="764"/>
      <c r="I12" s="959">
        <v>40717</v>
      </c>
      <c r="J12" s="764"/>
      <c r="K12" s="960">
        <f>'Attachment H-11A '!$I$205</f>
        <v>0.99211934550965897</v>
      </c>
      <c r="L12" s="764"/>
      <c r="M12" s="886">
        <f t="shared" si="9"/>
        <v>40396.123391116787</v>
      </c>
      <c r="N12" s="778"/>
      <c r="O12" s="959"/>
      <c r="P12" s="764"/>
      <c r="Q12" s="778">
        <f>M12-O12</f>
        <v>40396.123391116787</v>
      </c>
      <c r="R12" s="961"/>
      <c r="W12" s="962"/>
      <c r="Y12" s="962"/>
      <c r="Z12" s="962"/>
      <c r="AA12" s="962"/>
      <c r="AB12" s="962"/>
      <c r="AC12" s="778"/>
      <c r="AE12" s="778"/>
      <c r="AG12" s="778"/>
      <c r="AI12" s="778"/>
      <c r="AK12" s="778"/>
      <c r="AM12" s="778"/>
      <c r="AO12" s="764"/>
      <c r="AQ12" s="764"/>
      <c r="AS12" s="764"/>
      <c r="AT12" s="764"/>
      <c r="AU12" s="814"/>
      <c r="AW12" s="764"/>
      <c r="AY12" s="764"/>
      <c r="BA12" s="764"/>
      <c r="BC12" s="764"/>
    </row>
    <row r="13" spans="1:55" s="699" customFormat="1">
      <c r="A13" s="764">
        <f>MAX($A$7:A12)+1</f>
        <v>7</v>
      </c>
      <c r="B13" s="764"/>
      <c r="C13" s="958">
        <v>561.6</v>
      </c>
      <c r="D13" s="764"/>
      <c r="E13" s="1" t="s">
        <v>647</v>
      </c>
      <c r="F13" s="1"/>
      <c r="G13" s="1" t="s">
        <v>988</v>
      </c>
      <c r="H13" s="764"/>
      <c r="I13" s="959">
        <v>32692</v>
      </c>
      <c r="J13" s="764"/>
      <c r="K13" s="960">
        <f>'Attachment H-11A '!$I$205</f>
        <v>0.99211934550965897</v>
      </c>
      <c r="L13" s="764"/>
      <c r="M13" s="886">
        <f t="shared" si="9"/>
        <v>32434.365643401772</v>
      </c>
      <c r="N13" s="778"/>
      <c r="O13" s="959"/>
      <c r="P13" s="764"/>
      <c r="Q13" s="778">
        <f t="shared" si="8"/>
        <v>32434.365643401772</v>
      </c>
      <c r="R13" s="961"/>
      <c r="W13" s="962"/>
      <c r="Y13" s="962"/>
      <c r="Z13" s="962"/>
      <c r="AA13" s="962"/>
      <c r="AB13" s="962"/>
      <c r="AC13" s="778"/>
      <c r="AE13" s="778"/>
      <c r="AG13" s="778"/>
      <c r="AI13" s="778"/>
      <c r="AK13" s="778"/>
      <c r="AM13" s="778"/>
      <c r="AO13" s="764"/>
      <c r="AQ13" s="764"/>
      <c r="AS13" s="764"/>
      <c r="AT13" s="764"/>
      <c r="AU13" s="814"/>
      <c r="AW13" s="764"/>
      <c r="AY13" s="764"/>
      <c r="BA13" s="764"/>
      <c r="BC13" s="764"/>
    </row>
    <row r="14" spans="1:55" s="699" customFormat="1">
      <c r="A14" s="764">
        <f>MAX($A$7:A13)+1</f>
        <v>8</v>
      </c>
      <c r="B14" s="764"/>
      <c r="C14" s="958">
        <v>561.70000000000005</v>
      </c>
      <c r="D14" s="764"/>
      <c r="E14" s="1" t="s">
        <v>648</v>
      </c>
      <c r="F14" s="1"/>
      <c r="G14" s="1" t="s">
        <v>989</v>
      </c>
      <c r="H14" s="764"/>
      <c r="I14" s="959">
        <v>-46853</v>
      </c>
      <c r="J14" s="764"/>
      <c r="K14" s="960">
        <f>'Attachment H-11A '!$I$205</f>
        <v>0.99211934550965897</v>
      </c>
      <c r="L14" s="764"/>
      <c r="M14" s="886">
        <f t="shared" si="9"/>
        <v>-46483.767695164053</v>
      </c>
      <c r="N14" s="778"/>
      <c r="O14" s="959"/>
      <c r="P14" s="764"/>
      <c r="Q14" s="778">
        <f t="shared" si="8"/>
        <v>-46483.767695164053</v>
      </c>
      <c r="R14" s="961"/>
      <c r="W14" s="962"/>
      <c r="Y14" s="962"/>
      <c r="Z14" s="962"/>
      <c r="AA14" s="962"/>
      <c r="AB14" s="962"/>
      <c r="AC14" s="778"/>
      <c r="AE14" s="778"/>
      <c r="AG14" s="778"/>
      <c r="AI14" s="778"/>
      <c r="AK14" s="778"/>
      <c r="AM14" s="778"/>
      <c r="AO14" s="764"/>
      <c r="AQ14" s="764"/>
      <c r="AS14" s="764"/>
      <c r="AT14" s="764"/>
      <c r="AU14" s="814"/>
      <c r="AW14" s="764"/>
      <c r="AY14" s="764"/>
      <c r="BA14" s="764"/>
      <c r="BC14" s="764"/>
    </row>
    <row r="15" spans="1:55" s="699" customFormat="1">
      <c r="A15" s="764">
        <f>MAX($A$7:A14)+1</f>
        <v>9</v>
      </c>
      <c r="B15" s="764"/>
      <c r="C15" s="958">
        <v>561.79999999999995</v>
      </c>
      <c r="D15" s="764"/>
      <c r="E15" s="1" t="s">
        <v>649</v>
      </c>
      <c r="F15" s="1"/>
      <c r="G15" s="1" t="s">
        <v>990</v>
      </c>
      <c r="H15" s="764"/>
      <c r="I15" s="959"/>
      <c r="J15" s="764"/>
      <c r="K15" s="960">
        <f>'Attachment H-11A '!$I$205</f>
        <v>0.99211934550965897</v>
      </c>
      <c r="L15" s="764"/>
      <c r="M15" s="886">
        <f>I15*K15</f>
        <v>0</v>
      </c>
      <c r="N15" s="778"/>
      <c r="O15" s="959">
        <f>M15</f>
        <v>0</v>
      </c>
      <c r="P15" s="764"/>
      <c r="Q15" s="778">
        <f t="shared" si="8"/>
        <v>0</v>
      </c>
      <c r="R15" s="961"/>
      <c r="W15" s="962"/>
      <c r="Y15" s="962"/>
      <c r="Z15" s="962"/>
      <c r="AA15" s="962"/>
      <c r="AB15" s="962"/>
      <c r="AC15" s="778"/>
      <c r="AE15" s="778"/>
      <c r="AG15" s="778"/>
      <c r="AI15" s="778"/>
      <c r="AK15" s="778"/>
      <c r="AM15" s="778"/>
      <c r="AO15" s="764"/>
      <c r="AQ15" s="764"/>
      <c r="AS15" s="764"/>
      <c r="AT15" s="764"/>
      <c r="AU15" s="814"/>
      <c r="AW15" s="764"/>
      <c r="AY15" s="764"/>
      <c r="BA15" s="764"/>
      <c r="BC15" s="764"/>
    </row>
    <row r="16" spans="1:55" s="699" customFormat="1">
      <c r="A16" s="764">
        <f>MAX($A$7:A15)+1</f>
        <v>10</v>
      </c>
      <c r="B16" s="764"/>
      <c r="C16" s="958">
        <v>562</v>
      </c>
      <c r="D16" s="764"/>
      <c r="E16" s="1" t="s">
        <v>650</v>
      </c>
      <c r="F16" s="1"/>
      <c r="G16" s="1" t="s">
        <v>991</v>
      </c>
      <c r="H16" s="764"/>
      <c r="I16" s="959">
        <v>780869</v>
      </c>
      <c r="J16" s="764"/>
      <c r="K16" s="960">
        <f>'Attachment H-11A '!$I$205</f>
        <v>0.99211934550965897</v>
      </c>
      <c r="L16" s="764"/>
      <c r="M16" s="886">
        <f t="shared" si="9"/>
        <v>774715.24120878184</v>
      </c>
      <c r="N16" s="778"/>
      <c r="O16" s="959"/>
      <c r="P16" s="764"/>
      <c r="Q16" s="778">
        <f t="shared" si="8"/>
        <v>774715.24120878184</v>
      </c>
      <c r="R16" s="961"/>
      <c r="W16" s="962"/>
      <c r="Y16" s="962"/>
      <c r="Z16" s="962"/>
      <c r="AA16" s="962"/>
      <c r="AB16" s="962"/>
      <c r="AC16" s="778"/>
      <c r="AE16" s="778"/>
      <c r="AG16" s="778"/>
      <c r="AI16" s="778"/>
      <c r="AK16" s="778"/>
      <c r="AM16" s="778"/>
      <c r="AO16" s="764"/>
      <c r="AQ16" s="764"/>
      <c r="AS16" s="764"/>
      <c r="AT16" s="764"/>
      <c r="AU16" s="814"/>
      <c r="AW16" s="764"/>
      <c r="AY16" s="764"/>
      <c r="BA16" s="764"/>
      <c r="BC16" s="764"/>
    </row>
    <row r="17" spans="1:55" s="699" customFormat="1">
      <c r="A17" s="764">
        <f>MAX($A$7:A16)+1</f>
        <v>11</v>
      </c>
      <c r="B17" s="764"/>
      <c r="C17" s="958">
        <v>563</v>
      </c>
      <c r="D17" s="764"/>
      <c r="E17" s="1" t="s">
        <v>651</v>
      </c>
      <c r="F17" s="1"/>
      <c r="G17" s="1" t="s">
        <v>992</v>
      </c>
      <c r="H17" s="764"/>
      <c r="I17" s="959">
        <v>3688700</v>
      </c>
      <c r="J17" s="764"/>
      <c r="K17" s="960">
        <f>'Attachment H-11A '!$I$205</f>
        <v>0.99211934550965897</v>
      </c>
      <c r="L17" s="764"/>
      <c r="M17" s="886">
        <f>I17*K17</f>
        <v>3659630.629781479</v>
      </c>
      <c r="N17" s="778"/>
      <c r="O17" s="959"/>
      <c r="P17" s="764"/>
      <c r="Q17" s="778">
        <f>M17-O17</f>
        <v>3659630.629781479</v>
      </c>
      <c r="R17" s="961"/>
      <c r="W17" s="962"/>
      <c r="Y17" s="962"/>
      <c r="Z17" s="962"/>
      <c r="AA17" s="962"/>
      <c r="AB17" s="962"/>
      <c r="AC17" s="778"/>
      <c r="AE17" s="778"/>
      <c r="AG17" s="778"/>
      <c r="AI17" s="778"/>
      <c r="AK17" s="778"/>
      <c r="AM17" s="778"/>
      <c r="AO17" s="764"/>
      <c r="AQ17" s="764"/>
      <c r="AS17" s="764"/>
      <c r="AT17" s="764"/>
      <c r="AU17" s="814"/>
      <c r="AW17" s="764"/>
      <c r="AY17" s="764"/>
      <c r="BA17" s="764"/>
      <c r="BC17" s="764"/>
    </row>
    <row r="18" spans="1:55" s="699" customFormat="1">
      <c r="A18" s="764">
        <f>MAX($A$7:A17)+1</f>
        <v>12</v>
      </c>
      <c r="B18" s="764"/>
      <c r="C18" s="958">
        <v>564</v>
      </c>
      <c r="D18" s="764"/>
      <c r="E18" s="1" t="s">
        <v>652</v>
      </c>
      <c r="F18" s="1"/>
      <c r="G18" s="1" t="s">
        <v>993</v>
      </c>
      <c r="H18" s="764"/>
      <c r="I18" s="959"/>
      <c r="J18" s="764"/>
      <c r="K18" s="960">
        <f>'Attachment H-11A '!$I$205</f>
        <v>0.99211934550965897</v>
      </c>
      <c r="L18" s="764"/>
      <c r="M18" s="886">
        <f t="shared" si="9"/>
        <v>0</v>
      </c>
      <c r="N18" s="778"/>
      <c r="O18" s="959"/>
      <c r="P18" s="764"/>
      <c r="Q18" s="778">
        <f t="shared" si="8"/>
        <v>0</v>
      </c>
      <c r="R18" s="961"/>
      <c r="W18" s="962"/>
      <c r="Y18" s="962"/>
      <c r="Z18" s="962"/>
      <c r="AA18" s="962"/>
      <c r="AB18" s="962"/>
      <c r="AC18" s="778"/>
      <c r="AE18" s="778"/>
      <c r="AG18" s="778"/>
      <c r="AI18" s="778"/>
      <c r="AK18" s="778"/>
      <c r="AM18" s="778"/>
      <c r="AO18" s="764"/>
      <c r="AQ18" s="764"/>
      <c r="AS18" s="764"/>
      <c r="AT18" s="764"/>
      <c r="AU18" s="814"/>
      <c r="AW18" s="764"/>
      <c r="AY18" s="764"/>
      <c r="BA18" s="764"/>
      <c r="BC18" s="764"/>
    </row>
    <row r="19" spans="1:55" s="699" customFormat="1">
      <c r="A19" s="764">
        <f>MAX($A$7:A18)+1</f>
        <v>13</v>
      </c>
      <c r="B19" s="764"/>
      <c r="C19" s="958">
        <v>565</v>
      </c>
      <c r="D19" s="764"/>
      <c r="E19" s="1" t="s">
        <v>653</v>
      </c>
      <c r="F19" s="1"/>
      <c r="G19" s="1" t="s">
        <v>994</v>
      </c>
      <c r="H19" s="764"/>
      <c r="I19" s="959">
        <v>74162008</v>
      </c>
      <c r="J19" s="764"/>
      <c r="K19" s="960">
        <f>'Attachment H-11A '!$I$205</f>
        <v>0.99211934550965897</v>
      </c>
      <c r="L19" s="764"/>
      <c r="M19" s="886">
        <f>I19*K19</f>
        <v>73577562.838642091</v>
      </c>
      <c r="N19" s="778"/>
      <c r="O19" s="959">
        <f>M19</f>
        <v>73577562.838642091</v>
      </c>
      <c r="P19" s="764"/>
      <c r="Q19" s="778">
        <f t="shared" si="8"/>
        <v>0</v>
      </c>
      <c r="R19" s="961"/>
      <c r="W19" s="962"/>
      <c r="Y19" s="962"/>
      <c r="Z19" s="962"/>
      <c r="AA19" s="962"/>
      <c r="AB19" s="962"/>
      <c r="AC19" s="778"/>
      <c r="AE19" s="778"/>
      <c r="AG19" s="778"/>
      <c r="AI19" s="778"/>
      <c r="AK19" s="778"/>
      <c r="AM19" s="778"/>
      <c r="AO19" s="764"/>
      <c r="AQ19" s="764"/>
      <c r="AS19" s="764"/>
      <c r="AT19" s="764"/>
      <c r="AU19" s="814"/>
      <c r="AW19" s="764"/>
      <c r="AY19" s="764"/>
      <c r="BA19" s="764"/>
      <c r="BC19" s="764"/>
    </row>
    <row r="20" spans="1:55" s="699" customFormat="1">
      <c r="A20" s="764">
        <f>MAX($A$7:A19)+1</f>
        <v>14</v>
      </c>
      <c r="B20" s="764"/>
      <c r="C20" s="958">
        <v>566</v>
      </c>
      <c r="D20" s="764"/>
      <c r="E20" s="1" t="s">
        <v>654</v>
      </c>
      <c r="F20" s="1"/>
      <c r="G20" s="1" t="s">
        <v>995</v>
      </c>
      <c r="H20" s="764"/>
      <c r="I20" s="959">
        <v>2384990</v>
      </c>
      <c r="J20" s="764"/>
      <c r="K20" s="960">
        <f>'Attachment H-11A '!$I$205</f>
        <v>0.99211934550965897</v>
      </c>
      <c r="L20" s="764"/>
      <c r="M20" s="886">
        <f t="shared" si="9"/>
        <v>2366194.7178470814</v>
      </c>
      <c r="N20" s="778"/>
      <c r="O20" s="959"/>
      <c r="P20" s="764"/>
      <c r="Q20" s="778">
        <f t="shared" si="8"/>
        <v>2366194.7178470814</v>
      </c>
      <c r="R20" s="961"/>
      <c r="S20" s="961"/>
      <c r="T20" s="764"/>
      <c r="U20" s="961"/>
      <c r="W20" s="778"/>
      <c r="Y20" s="961"/>
      <c r="AA20" s="778"/>
      <c r="AC20" s="778"/>
      <c r="AE20" s="778"/>
      <c r="AG20" s="778"/>
      <c r="AI20" s="778"/>
      <c r="AK20" s="778"/>
      <c r="AM20" s="778"/>
      <c r="AO20" s="764"/>
      <c r="AQ20" s="764"/>
      <c r="AS20" s="764"/>
      <c r="AT20" s="764"/>
      <c r="AU20" s="814"/>
      <c r="AW20" s="764"/>
      <c r="AY20" s="764"/>
      <c r="BA20" s="764"/>
      <c r="BC20" s="764"/>
    </row>
    <row r="21" spans="1:55" s="699" customFormat="1">
      <c r="A21" s="764">
        <f>MAX($A$7:A20)+1</f>
        <v>15</v>
      </c>
      <c r="B21" s="764"/>
      <c r="C21" s="958">
        <v>567</v>
      </c>
      <c r="D21" s="764"/>
      <c r="E21" s="1" t="s">
        <v>655</v>
      </c>
      <c r="F21" s="1"/>
      <c r="G21" s="1" t="s">
        <v>996</v>
      </c>
      <c r="H21" s="764"/>
      <c r="I21" s="959">
        <v>901737</v>
      </c>
      <c r="J21" s="764"/>
      <c r="K21" s="960">
        <f>'Attachment H-11A '!$I$205</f>
        <v>0.99211934550965897</v>
      </c>
      <c r="L21" s="764"/>
      <c r="M21" s="886">
        <f t="shared" si="9"/>
        <v>894630.72226184339</v>
      </c>
      <c r="N21" s="778"/>
      <c r="O21" s="959"/>
      <c r="P21" s="764"/>
      <c r="Q21" s="778">
        <f t="shared" si="8"/>
        <v>894630.72226184339</v>
      </c>
      <c r="R21" s="961"/>
      <c r="S21" s="961"/>
      <c r="T21" s="764"/>
      <c r="U21" s="961"/>
      <c r="W21" s="778"/>
      <c r="Y21" s="961"/>
      <c r="AA21" s="778"/>
      <c r="AC21" s="778"/>
      <c r="AE21" s="778"/>
      <c r="AG21" s="778"/>
      <c r="AI21" s="778"/>
      <c r="AK21" s="778"/>
      <c r="AM21" s="778"/>
      <c r="AO21" s="764"/>
      <c r="AQ21" s="764"/>
      <c r="AS21" s="764"/>
      <c r="AT21" s="764"/>
      <c r="AU21" s="814"/>
      <c r="AW21" s="764"/>
      <c r="AY21" s="764"/>
      <c r="BA21" s="764"/>
      <c r="BC21" s="764"/>
    </row>
    <row r="22" spans="1:55" s="699" customFormat="1">
      <c r="A22" s="764">
        <f>MAX($A$7:A21)+1</f>
        <v>16</v>
      </c>
      <c r="B22" s="764"/>
      <c r="C22" s="958">
        <v>568</v>
      </c>
      <c r="D22" s="764"/>
      <c r="E22" s="1" t="s">
        <v>656</v>
      </c>
      <c r="F22" s="1"/>
      <c r="G22" s="1" t="s">
        <v>997</v>
      </c>
      <c r="H22" s="764"/>
      <c r="I22" s="959">
        <v>937120</v>
      </c>
      <c r="J22" s="764"/>
      <c r="K22" s="960">
        <f>'Attachment H-11A '!$I$205</f>
        <v>0.99211934550965897</v>
      </c>
      <c r="L22" s="764"/>
      <c r="M22" s="886">
        <f t="shared" si="9"/>
        <v>929734.8810640116</v>
      </c>
      <c r="N22" s="778"/>
      <c r="O22" s="959"/>
      <c r="P22" s="764"/>
      <c r="Q22" s="778">
        <f t="shared" si="8"/>
        <v>929734.8810640116</v>
      </c>
      <c r="R22" s="961"/>
      <c r="S22" s="961"/>
      <c r="T22" s="764"/>
      <c r="U22" s="961"/>
      <c r="W22" s="778"/>
      <c r="Y22" s="961"/>
      <c r="AA22" s="778"/>
      <c r="AC22" s="778"/>
      <c r="AE22" s="778"/>
      <c r="AG22" s="778"/>
      <c r="AI22" s="778"/>
      <c r="AK22" s="778"/>
      <c r="AM22" s="778"/>
      <c r="AO22" s="764"/>
      <c r="AQ22" s="764"/>
      <c r="AS22" s="764"/>
      <c r="AT22" s="764"/>
      <c r="AU22" s="814"/>
      <c r="AW22" s="764"/>
      <c r="AY22" s="764"/>
      <c r="BA22" s="764"/>
      <c r="BC22" s="764"/>
    </row>
    <row r="23" spans="1:55" s="699" customFormat="1">
      <c r="A23" s="764">
        <f>MAX($A$7:A22)+1</f>
        <v>17</v>
      </c>
      <c r="B23" s="764"/>
      <c r="C23" s="958">
        <v>569</v>
      </c>
      <c r="D23" s="764"/>
      <c r="E23" s="1" t="s">
        <v>657</v>
      </c>
      <c r="F23" s="1"/>
      <c r="G23" s="1" t="s">
        <v>998</v>
      </c>
      <c r="H23" s="764"/>
      <c r="I23" s="959"/>
      <c r="J23" s="764"/>
      <c r="K23" s="960">
        <f>'Attachment H-11A '!$I$205</f>
        <v>0.99211934550965897</v>
      </c>
      <c r="L23" s="764"/>
      <c r="M23" s="886">
        <f t="shared" si="9"/>
        <v>0</v>
      </c>
      <c r="N23" s="778"/>
      <c r="O23" s="959"/>
      <c r="P23" s="764"/>
      <c r="Q23" s="778">
        <f t="shared" si="8"/>
        <v>0</v>
      </c>
      <c r="R23" s="961"/>
      <c r="S23" s="961"/>
      <c r="T23" s="764"/>
      <c r="U23" s="961"/>
      <c r="W23" s="778"/>
      <c r="Y23" s="961"/>
      <c r="AA23" s="778"/>
      <c r="AC23" s="778"/>
      <c r="AE23" s="778"/>
      <c r="AG23" s="778"/>
      <c r="AI23" s="778"/>
      <c r="AK23" s="778"/>
      <c r="AM23" s="778"/>
      <c r="AO23" s="764"/>
      <c r="AQ23" s="764"/>
      <c r="AS23" s="764"/>
      <c r="AT23" s="764"/>
      <c r="AU23" s="814"/>
      <c r="AW23" s="764"/>
      <c r="AY23" s="764"/>
      <c r="BA23" s="764"/>
      <c r="BC23" s="764"/>
    </row>
    <row r="24" spans="1:55" s="699" customFormat="1">
      <c r="A24" s="764">
        <f>MAX($A$7:A23)+1</f>
        <v>18</v>
      </c>
      <c r="B24" s="764"/>
      <c r="C24" s="958">
        <v>569.1</v>
      </c>
      <c r="D24" s="764"/>
      <c r="E24" s="1" t="s">
        <v>658</v>
      </c>
      <c r="F24" s="1"/>
      <c r="G24" s="1" t="s">
        <v>999</v>
      </c>
      <c r="H24" s="764"/>
      <c r="I24" s="959">
        <v>15130</v>
      </c>
      <c r="J24" s="764"/>
      <c r="K24" s="960">
        <f>'Attachment H-11A '!$I$205</f>
        <v>0.99211934550965897</v>
      </c>
      <c r="L24" s="764"/>
      <c r="M24" s="886">
        <f>I24*K24</f>
        <v>15010.765697561141</v>
      </c>
      <c r="N24" s="778"/>
      <c r="O24" s="959"/>
      <c r="P24" s="764"/>
      <c r="Q24" s="778">
        <f t="shared" si="8"/>
        <v>15010.765697561141</v>
      </c>
      <c r="R24" s="961"/>
      <c r="S24" s="961"/>
      <c r="T24" s="764"/>
      <c r="U24" s="961"/>
      <c r="W24" s="778"/>
      <c r="Y24" s="961"/>
      <c r="AA24" s="778"/>
      <c r="AC24" s="778"/>
      <c r="AE24" s="778"/>
      <c r="AG24" s="778"/>
      <c r="AI24" s="778"/>
      <c r="AK24" s="778"/>
      <c r="AM24" s="778"/>
      <c r="AO24" s="764"/>
      <c r="AQ24" s="764"/>
      <c r="AS24" s="764"/>
      <c r="AT24" s="764"/>
      <c r="AU24" s="814"/>
      <c r="AW24" s="764"/>
      <c r="AY24" s="764"/>
      <c r="BA24" s="764"/>
      <c r="BC24" s="764"/>
    </row>
    <row r="25" spans="1:55" s="699" customFormat="1">
      <c r="A25" s="764">
        <f>MAX($A$7:A24)+1</f>
        <v>19</v>
      </c>
      <c r="B25" s="764"/>
      <c r="C25" s="958">
        <v>569.20000000000005</v>
      </c>
      <c r="D25" s="764"/>
      <c r="E25" s="1" t="s">
        <v>659</v>
      </c>
      <c r="F25" s="1"/>
      <c r="G25" s="1" t="s">
        <v>1000</v>
      </c>
      <c r="H25" s="764"/>
      <c r="I25" s="959">
        <v>15312</v>
      </c>
      <c r="J25" s="764"/>
      <c r="K25" s="960">
        <f>'Attachment H-11A '!$I$205</f>
        <v>0.99211934550965897</v>
      </c>
      <c r="L25" s="764"/>
      <c r="M25" s="886">
        <f t="shared" si="9"/>
        <v>15191.331418443899</v>
      </c>
      <c r="N25" s="778"/>
      <c r="O25" s="959"/>
      <c r="P25" s="764"/>
      <c r="Q25" s="778">
        <f t="shared" si="8"/>
        <v>15191.331418443899</v>
      </c>
      <c r="R25" s="961"/>
      <c r="S25" s="961"/>
      <c r="T25" s="764"/>
      <c r="U25" s="961"/>
      <c r="W25" s="778"/>
      <c r="Y25" s="961"/>
      <c r="AA25" s="778"/>
      <c r="AC25" s="778"/>
      <c r="AE25" s="778"/>
      <c r="AG25" s="778"/>
      <c r="AI25" s="778"/>
      <c r="AK25" s="778"/>
      <c r="AM25" s="778"/>
      <c r="AO25" s="764"/>
      <c r="AQ25" s="764"/>
      <c r="AS25" s="764"/>
      <c r="AT25" s="764"/>
      <c r="AU25" s="814"/>
      <c r="AW25" s="764"/>
      <c r="AY25" s="764"/>
      <c r="BA25" s="764"/>
      <c r="BC25" s="764"/>
    </row>
    <row r="26" spans="1:55" s="699" customFormat="1">
      <c r="A26" s="764">
        <f>MAX($A$7:A25)+1</f>
        <v>20</v>
      </c>
      <c r="B26" s="764"/>
      <c r="C26" s="958">
        <v>569.29999999999995</v>
      </c>
      <c r="D26" s="764"/>
      <c r="E26" s="1" t="s">
        <v>660</v>
      </c>
      <c r="F26" s="1"/>
      <c r="G26" s="1" t="s">
        <v>1001</v>
      </c>
      <c r="H26" s="764"/>
      <c r="I26" s="959">
        <v>510</v>
      </c>
      <c r="J26" s="764"/>
      <c r="K26" s="960">
        <f>'Attachment H-11A '!$I$205</f>
        <v>0.99211934550965897</v>
      </c>
      <c r="L26" s="764"/>
      <c r="M26" s="886">
        <f t="shared" si="9"/>
        <v>505.98086620992609</v>
      </c>
      <c r="N26" s="778"/>
      <c r="O26" s="959"/>
      <c r="P26" s="764"/>
      <c r="Q26" s="778">
        <f t="shared" si="8"/>
        <v>505.98086620992609</v>
      </c>
      <c r="R26" s="961"/>
      <c r="S26" s="961"/>
      <c r="T26" s="764"/>
      <c r="U26" s="961"/>
      <c r="W26" s="778"/>
      <c r="Y26" s="961"/>
      <c r="AA26" s="778"/>
      <c r="AC26" s="778"/>
      <c r="AE26" s="778"/>
      <c r="AG26" s="778"/>
      <c r="AI26" s="778"/>
      <c r="AK26" s="778"/>
      <c r="AM26" s="778"/>
      <c r="AO26" s="764"/>
      <c r="AQ26" s="764"/>
      <c r="AS26" s="764"/>
      <c r="AT26" s="764"/>
      <c r="AU26" s="814"/>
      <c r="AW26" s="764"/>
      <c r="AY26" s="764"/>
      <c r="BA26" s="764"/>
      <c r="BC26" s="764"/>
    </row>
    <row r="27" spans="1:55" s="699" customFormat="1">
      <c r="A27" s="764">
        <f>MAX($A$7:A26)+1</f>
        <v>21</v>
      </c>
      <c r="B27" s="764"/>
      <c r="C27" s="958">
        <v>569.4</v>
      </c>
      <c r="D27" s="764"/>
      <c r="E27" s="1" t="s">
        <v>661</v>
      </c>
      <c r="F27" s="1"/>
      <c r="G27" s="1" t="s">
        <v>1002</v>
      </c>
      <c r="H27" s="764"/>
      <c r="I27" s="959"/>
      <c r="J27" s="764"/>
      <c r="K27" s="960">
        <f>'Attachment H-11A '!$I$205</f>
        <v>0.99211934550965897</v>
      </c>
      <c r="L27" s="764"/>
      <c r="M27" s="886">
        <f t="shared" si="9"/>
        <v>0</v>
      </c>
      <c r="N27" s="778"/>
      <c r="O27" s="959"/>
      <c r="P27" s="764"/>
      <c r="Q27" s="778">
        <f t="shared" si="8"/>
        <v>0</v>
      </c>
      <c r="R27" s="961"/>
      <c r="S27" s="961"/>
      <c r="T27" s="764"/>
      <c r="U27" s="961"/>
      <c r="W27" s="778"/>
      <c r="Y27" s="961"/>
      <c r="AA27" s="778"/>
      <c r="AC27" s="778"/>
      <c r="AE27" s="778"/>
      <c r="AG27" s="778"/>
      <c r="AI27" s="778"/>
      <c r="AK27" s="778"/>
      <c r="AM27" s="778"/>
      <c r="AO27" s="764"/>
      <c r="AQ27" s="764"/>
      <c r="AS27" s="764"/>
      <c r="AT27" s="764"/>
      <c r="AU27" s="814"/>
      <c r="AW27" s="764"/>
      <c r="AY27" s="764"/>
      <c r="BA27" s="764"/>
      <c r="BC27" s="764"/>
    </row>
    <row r="28" spans="1:55" s="699" customFormat="1">
      <c r="A28" s="764">
        <f>MAX($A$7:A27)+1</f>
        <v>22</v>
      </c>
      <c r="B28" s="764"/>
      <c r="C28" s="958">
        <v>570</v>
      </c>
      <c r="D28" s="764"/>
      <c r="E28" s="1" t="s">
        <v>662</v>
      </c>
      <c r="F28" s="1"/>
      <c r="G28" s="1" t="s">
        <v>1003</v>
      </c>
      <c r="H28" s="764"/>
      <c r="I28" s="959">
        <v>2805418</v>
      </c>
      <c r="J28" s="764"/>
      <c r="K28" s="960">
        <f>'Attachment H-11A '!$I$205</f>
        <v>0.99211934550965897</v>
      </c>
      <c r="L28" s="764"/>
      <c r="M28" s="886">
        <f t="shared" si="9"/>
        <v>2783309.4700410166</v>
      </c>
      <c r="N28" s="778"/>
      <c r="O28" s="959"/>
      <c r="P28" s="764"/>
      <c r="Q28" s="778">
        <f t="shared" si="8"/>
        <v>2783309.4700410166</v>
      </c>
      <c r="R28" s="961"/>
      <c r="S28" s="961"/>
      <c r="T28" s="764"/>
      <c r="U28" s="961"/>
      <c r="W28" s="778"/>
      <c r="Y28" s="961"/>
      <c r="AA28" s="778"/>
      <c r="AC28" s="778"/>
      <c r="AE28" s="778"/>
      <c r="AG28" s="778"/>
      <c r="AI28" s="778"/>
      <c r="AK28" s="778"/>
      <c r="AM28" s="778"/>
      <c r="AO28" s="764"/>
      <c r="AQ28" s="764"/>
      <c r="AS28" s="764"/>
      <c r="AT28" s="764"/>
      <c r="AU28" s="814"/>
      <c r="AW28" s="764"/>
      <c r="AY28" s="764"/>
      <c r="BA28" s="764"/>
      <c r="BC28" s="764"/>
    </row>
    <row r="29" spans="1:55" s="699" customFormat="1">
      <c r="A29" s="764">
        <f>MAX($A$7:A28)+1</f>
        <v>23</v>
      </c>
      <c r="B29" s="764"/>
      <c r="C29" s="958">
        <v>571</v>
      </c>
      <c r="D29" s="764"/>
      <c r="E29" s="1" t="s">
        <v>663</v>
      </c>
      <c r="F29" s="1"/>
      <c r="G29" s="1" t="s">
        <v>1004</v>
      </c>
      <c r="H29" s="764"/>
      <c r="I29" s="959">
        <v>18360454</v>
      </c>
      <c r="J29" s="764"/>
      <c r="K29" s="960">
        <f>'Attachment H-11A '!$I$205</f>
        <v>0.99211934550965897</v>
      </c>
      <c r="L29" s="764"/>
      <c r="M29" s="886">
        <f t="shared" si="9"/>
        <v>18215761.605740201</v>
      </c>
      <c r="N29" s="778"/>
      <c r="O29" s="959"/>
      <c r="P29" s="764"/>
      <c r="Q29" s="778">
        <f t="shared" si="8"/>
        <v>18215761.605740201</v>
      </c>
      <c r="R29" s="961"/>
      <c r="S29" s="961"/>
      <c r="T29" s="764"/>
      <c r="U29" s="961"/>
      <c r="W29" s="778"/>
      <c r="Y29" s="961"/>
      <c r="AA29" s="778"/>
      <c r="AC29" s="778"/>
      <c r="AE29" s="778"/>
      <c r="AG29" s="778"/>
      <c r="AI29" s="778"/>
      <c r="AK29" s="778"/>
      <c r="AM29" s="778"/>
      <c r="AO29" s="764"/>
      <c r="AQ29" s="764"/>
      <c r="AS29" s="764"/>
      <c r="AT29" s="764"/>
      <c r="AU29" s="814"/>
      <c r="AW29" s="764"/>
      <c r="AY29" s="764"/>
      <c r="BA29" s="764"/>
      <c r="BC29" s="764"/>
    </row>
    <row r="30" spans="1:55" s="699" customFormat="1">
      <c r="A30" s="764">
        <f>MAX($A$7:A29)+1</f>
        <v>24</v>
      </c>
      <c r="B30" s="764"/>
      <c r="C30" s="958">
        <v>572</v>
      </c>
      <c r="D30" s="764"/>
      <c r="E30" s="1" t="s">
        <v>664</v>
      </c>
      <c r="F30" s="1"/>
      <c r="G30" s="1" t="s">
        <v>1005</v>
      </c>
      <c r="H30" s="764"/>
      <c r="I30" s="959">
        <v>1880</v>
      </c>
      <c r="J30" s="764"/>
      <c r="K30" s="960">
        <f>'Attachment H-11A '!$I$205</f>
        <v>0.99211934550965897</v>
      </c>
      <c r="L30" s="764"/>
      <c r="M30" s="886">
        <f t="shared" si="9"/>
        <v>1865.1843695581588</v>
      </c>
      <c r="N30" s="778"/>
      <c r="O30" s="959"/>
      <c r="P30" s="764"/>
      <c r="Q30" s="778">
        <f t="shared" si="8"/>
        <v>1865.1843695581588</v>
      </c>
      <c r="R30" s="961"/>
      <c r="S30" s="961"/>
      <c r="T30" s="764"/>
      <c r="U30" s="961"/>
      <c r="W30" s="778"/>
      <c r="Y30" s="961"/>
      <c r="AA30" s="778"/>
      <c r="AC30" s="778"/>
      <c r="AE30" s="778"/>
      <c r="AG30" s="778"/>
      <c r="AI30" s="778"/>
      <c r="AK30" s="778"/>
      <c r="AM30" s="778"/>
      <c r="AO30" s="764"/>
      <c r="AQ30" s="764"/>
      <c r="AS30" s="764"/>
      <c r="AT30" s="764"/>
      <c r="AU30" s="814"/>
      <c r="AW30" s="764"/>
      <c r="AY30" s="764"/>
      <c r="BA30" s="764"/>
      <c r="BC30" s="764"/>
    </row>
    <row r="31" spans="1:55" s="699" customFormat="1">
      <c r="A31" s="764">
        <f>MAX($A$7:A30)+1</f>
        <v>25</v>
      </c>
      <c r="B31" s="764"/>
      <c r="C31" s="958">
        <v>573</v>
      </c>
      <c r="D31" s="764"/>
      <c r="E31" s="1" t="s">
        <v>665</v>
      </c>
      <c r="F31" s="1"/>
      <c r="G31" s="1" t="s">
        <v>1006</v>
      </c>
      <c r="H31" s="764"/>
      <c r="I31" s="959">
        <v>527003</v>
      </c>
      <c r="J31" s="764"/>
      <c r="K31" s="960">
        <f>'Attachment H-11A '!$I$205</f>
        <v>0.99211934550965897</v>
      </c>
      <c r="L31" s="764"/>
      <c r="M31" s="963">
        <f t="shared" si="9"/>
        <v>522849.8714416268</v>
      </c>
      <c r="N31" s="778"/>
      <c r="O31" s="959"/>
      <c r="P31" s="764"/>
      <c r="Q31" s="778">
        <f t="shared" si="8"/>
        <v>522849.8714416268</v>
      </c>
      <c r="R31" s="961"/>
      <c r="S31" s="961"/>
      <c r="T31" s="764"/>
      <c r="U31" s="961"/>
      <c r="W31" s="778"/>
      <c r="Y31" s="961"/>
      <c r="AA31" s="778"/>
      <c r="AC31" s="778"/>
      <c r="AE31" s="778"/>
      <c r="AG31" s="778"/>
      <c r="AI31" s="778"/>
      <c r="AK31" s="778"/>
      <c r="AM31" s="778"/>
      <c r="AO31" s="764"/>
      <c r="AQ31" s="764"/>
      <c r="AS31" s="764"/>
      <c r="AT31" s="764"/>
      <c r="AU31" s="814"/>
      <c r="AW31" s="764"/>
      <c r="AY31" s="764"/>
      <c r="BA31" s="764"/>
      <c r="BC31" s="764"/>
    </row>
    <row r="32" spans="1:55" s="699" customFormat="1">
      <c r="A32" s="764">
        <f>MAX($A$7:A31)+1</f>
        <v>26</v>
      </c>
      <c r="B32" s="764"/>
      <c r="D32" s="764"/>
      <c r="E32" s="964" t="str">
        <f>"Sum of Lines "&amp;A7&amp;" through "&amp;A31</f>
        <v>Sum of Lines 1 through 25</v>
      </c>
      <c r="F32" s="964"/>
      <c r="G32" s="964"/>
      <c r="H32" s="764"/>
      <c r="I32" s="780">
        <f>SUM(I7:I31)</f>
        <v>105532986</v>
      </c>
      <c r="J32" s="764"/>
      <c r="K32" s="764"/>
      <c r="L32" s="764"/>
      <c r="M32" s="965">
        <f>SUM(M7:M31)</f>
        <v>104701317.00000001</v>
      </c>
      <c r="N32" s="780"/>
      <c r="O32" s="780">
        <f>SUM(O7:O31)</f>
        <v>73577086.621356249</v>
      </c>
      <c r="P32" s="764"/>
      <c r="Q32" s="780">
        <f>SUM(Q7:Q31)</f>
        <v>31124230.378643751</v>
      </c>
      <c r="R32" s="961"/>
      <c r="S32" s="961"/>
      <c r="T32" s="764"/>
      <c r="U32" s="961"/>
      <c r="W32" s="778"/>
      <c r="Y32" s="961"/>
      <c r="AA32" s="778"/>
      <c r="AC32" s="778"/>
      <c r="AE32" s="778"/>
      <c r="AG32" s="778"/>
      <c r="AI32" s="778"/>
      <c r="AK32" s="778"/>
      <c r="AM32" s="778"/>
      <c r="AO32" s="764"/>
      <c r="AQ32" s="764"/>
      <c r="AS32" s="764"/>
      <c r="AT32" s="764"/>
      <c r="AU32" s="814"/>
      <c r="AW32" s="764"/>
      <c r="AY32" s="764"/>
      <c r="BA32" s="764"/>
      <c r="BC32" s="764"/>
    </row>
    <row r="33" spans="1:57" s="699" customFormat="1">
      <c r="A33" s="764"/>
      <c r="B33" s="764"/>
      <c r="C33" s="958"/>
      <c r="D33" s="764"/>
      <c r="E33" s="778"/>
      <c r="F33" s="778"/>
      <c r="G33" s="778"/>
      <c r="H33" s="764"/>
      <c r="I33" s="778"/>
      <c r="J33" s="764"/>
      <c r="K33" s="764"/>
      <c r="L33" s="764"/>
      <c r="M33" s="764"/>
      <c r="N33" s="764"/>
      <c r="O33" s="764"/>
      <c r="P33" s="764"/>
      <c r="Q33" s="764"/>
      <c r="R33" s="764"/>
      <c r="S33" s="764"/>
      <c r="T33" s="764"/>
      <c r="U33" s="778"/>
      <c r="V33" s="778"/>
      <c r="W33" s="778"/>
      <c r="X33" s="764"/>
      <c r="Y33" s="778"/>
      <c r="AA33" s="778"/>
      <c r="AC33" s="778"/>
      <c r="AE33" s="778"/>
      <c r="AG33" s="778"/>
      <c r="AI33" s="778"/>
      <c r="AK33" s="778"/>
      <c r="AM33" s="778"/>
      <c r="AO33" s="778"/>
      <c r="AQ33" s="764"/>
      <c r="AS33" s="764"/>
      <c r="AU33" s="764"/>
      <c r="AV33" s="764"/>
      <c r="AW33" s="814"/>
      <c r="AY33" s="764"/>
      <c r="BA33" s="764"/>
      <c r="BC33" s="764"/>
      <c r="BE33" s="764"/>
    </row>
    <row r="34" spans="1:57" s="699" customFormat="1">
      <c r="A34" s="764"/>
      <c r="B34" s="764"/>
      <c r="C34" s="958"/>
      <c r="D34" s="764"/>
      <c r="E34" s="778"/>
      <c r="F34" s="778"/>
      <c r="G34" s="778"/>
      <c r="H34" s="764"/>
      <c r="I34" s="966"/>
      <c r="J34" s="764"/>
      <c r="K34" s="967"/>
      <c r="L34" s="967"/>
      <c r="M34" s="967"/>
      <c r="N34" s="764"/>
      <c r="O34" s="764"/>
      <c r="P34" s="764"/>
      <c r="Q34" s="764"/>
      <c r="R34" s="764"/>
      <c r="S34" s="764"/>
      <c r="T34" s="764"/>
      <c r="U34" s="778"/>
      <c r="V34" s="778"/>
      <c r="W34" s="778"/>
      <c r="X34" s="764"/>
      <c r="Y34" s="778"/>
      <c r="AA34" s="778"/>
      <c r="AC34" s="778"/>
      <c r="AE34" s="778"/>
      <c r="AG34" s="778"/>
      <c r="AI34" s="778"/>
      <c r="AK34" s="778"/>
      <c r="AM34" s="778"/>
      <c r="AO34" s="778"/>
      <c r="AQ34" s="764"/>
      <c r="AS34" s="764"/>
      <c r="AU34" s="764"/>
      <c r="AV34" s="764"/>
      <c r="AW34" s="814"/>
      <c r="AY34" s="764"/>
      <c r="BA34" s="764"/>
      <c r="BC34" s="764"/>
      <c r="BE34" s="764"/>
    </row>
    <row r="35" spans="1:57" s="699" customFormat="1">
      <c r="A35" s="764"/>
      <c r="B35" s="764"/>
      <c r="C35" s="958"/>
      <c r="D35" s="764"/>
      <c r="E35" s="778"/>
      <c r="F35" s="778"/>
      <c r="G35" s="778"/>
      <c r="H35" s="764"/>
      <c r="I35" s="778"/>
      <c r="J35" s="764"/>
      <c r="K35" s="764"/>
      <c r="L35" s="764"/>
      <c r="M35" s="764"/>
      <c r="N35" s="764"/>
      <c r="O35" s="764"/>
      <c r="P35" s="764"/>
      <c r="Q35" s="764"/>
      <c r="R35" s="764"/>
      <c r="S35" s="764"/>
      <c r="T35" s="764"/>
      <c r="U35" s="778"/>
      <c r="V35" s="778"/>
      <c r="W35" s="778"/>
      <c r="X35" s="764"/>
      <c r="Y35" s="778"/>
      <c r="AA35" s="778"/>
      <c r="AC35" s="778"/>
      <c r="AE35" s="778"/>
      <c r="AG35" s="778"/>
      <c r="AI35" s="778"/>
      <c r="AK35" s="778"/>
      <c r="AM35" s="778"/>
      <c r="AO35" s="778"/>
      <c r="AQ35" s="764"/>
      <c r="AS35" s="764"/>
      <c r="AU35" s="764"/>
      <c r="AV35" s="764"/>
      <c r="AW35" s="814"/>
      <c r="AY35" s="764"/>
      <c r="BA35" s="764"/>
      <c r="BC35" s="764"/>
      <c r="BE35" s="764"/>
    </row>
    <row r="36" spans="1:57" s="699" customFormat="1">
      <c r="A36" s="764"/>
      <c r="B36" s="764"/>
      <c r="C36" s="958"/>
      <c r="D36" s="764"/>
      <c r="E36" s="778"/>
      <c r="F36" s="778"/>
      <c r="G36" s="778"/>
      <c r="H36" s="764"/>
      <c r="I36" s="982"/>
      <c r="J36" s="764"/>
      <c r="K36" s="764"/>
      <c r="L36" s="764"/>
      <c r="M36" s="764"/>
      <c r="N36" s="764"/>
      <c r="O36" s="764"/>
      <c r="P36" s="764"/>
      <c r="Q36" s="764"/>
      <c r="R36" s="764"/>
      <c r="S36" s="764"/>
      <c r="T36" s="764"/>
      <c r="U36" s="778"/>
      <c r="V36" s="778"/>
      <c r="W36" s="778"/>
      <c r="X36" s="764"/>
      <c r="Y36" s="778"/>
      <c r="AA36" s="778"/>
      <c r="AC36" s="778"/>
      <c r="AE36" s="778"/>
      <c r="AG36" s="778"/>
      <c r="AI36" s="778"/>
      <c r="AK36" s="778"/>
      <c r="AM36" s="778"/>
      <c r="AO36" s="778"/>
      <c r="AQ36" s="764"/>
      <c r="AS36" s="764"/>
      <c r="AU36" s="764"/>
      <c r="AV36" s="764"/>
      <c r="AW36" s="814"/>
      <c r="AY36" s="764"/>
      <c r="BA36" s="764"/>
      <c r="BC36" s="764"/>
      <c r="BE36" s="764"/>
    </row>
    <row r="37" spans="1:57" s="699" customFormat="1" ht="46.15" customHeight="1">
      <c r="A37" s="766" t="s">
        <v>5</v>
      </c>
      <c r="B37" s="773"/>
      <c r="C37" s="766" t="s">
        <v>974</v>
      </c>
      <c r="D37" s="773"/>
      <c r="E37" s="968" t="s">
        <v>975</v>
      </c>
      <c r="F37" s="969"/>
      <c r="G37" s="953" t="s">
        <v>976</v>
      </c>
      <c r="H37" s="773"/>
      <c r="I37" s="953" t="s">
        <v>977</v>
      </c>
      <c r="J37" s="952" t="s">
        <v>691</v>
      </c>
      <c r="K37" s="954" t="s">
        <v>1032</v>
      </c>
      <c r="L37" s="954" t="s">
        <v>691</v>
      </c>
      <c r="M37" s="954" t="s">
        <v>1219</v>
      </c>
      <c r="N37" s="954" t="s">
        <v>78</v>
      </c>
      <c r="O37" s="954" t="s">
        <v>1027</v>
      </c>
      <c r="P37" s="773" t="s">
        <v>978</v>
      </c>
      <c r="Q37" s="953" t="s">
        <v>10</v>
      </c>
      <c r="R37" s="954" t="s">
        <v>78</v>
      </c>
      <c r="S37" s="953" t="s">
        <v>1028</v>
      </c>
      <c r="T37" s="953" t="s">
        <v>691</v>
      </c>
      <c r="U37" s="953" t="s">
        <v>1030</v>
      </c>
      <c r="V37" s="952" t="s">
        <v>78</v>
      </c>
      <c r="W37" s="953" t="s">
        <v>981</v>
      </c>
      <c r="Y37" s="778"/>
      <c r="AA37" s="778"/>
      <c r="AC37" s="778"/>
      <c r="AE37" s="778"/>
      <c r="AG37" s="778"/>
      <c r="AI37" s="778"/>
      <c r="AK37" s="778"/>
      <c r="AM37" s="778"/>
      <c r="AO37" s="764"/>
      <c r="AQ37" s="764"/>
      <c r="AS37" s="764"/>
      <c r="AT37" s="764"/>
      <c r="AU37" s="814"/>
      <c r="AW37" s="764"/>
      <c r="AY37" s="764"/>
      <c r="BA37" s="764"/>
      <c r="BC37" s="764"/>
    </row>
    <row r="38" spans="1:57" s="699" customFormat="1">
      <c r="A38" s="764">
        <f>MAX($A$7:A33)+1</f>
        <v>27</v>
      </c>
      <c r="B38" s="764"/>
      <c r="C38" s="958">
        <v>920</v>
      </c>
      <c r="D38" s="764"/>
      <c r="E38" s="1" t="s">
        <v>666</v>
      </c>
      <c r="F38" s="1"/>
      <c r="G38" s="1" t="s">
        <v>1007</v>
      </c>
      <c r="H38" s="764"/>
      <c r="I38" s="959">
        <v>18141190</v>
      </c>
      <c r="J38" s="764"/>
      <c r="K38" s="959">
        <v>188056.6</v>
      </c>
      <c r="L38" s="959"/>
      <c r="M38" s="959"/>
      <c r="N38" s="764"/>
      <c r="O38" s="965">
        <f t="shared" ref="O38:O50" si="10">I38-K38-M38</f>
        <v>17953133.399999999</v>
      </c>
      <c r="P38" s="965"/>
      <c r="Q38" s="960">
        <f>'Attachment H-11A '!$I$213</f>
        <v>9.333164788672195E-2</v>
      </c>
      <c r="R38" s="970"/>
      <c r="S38" s="886">
        <f t="shared" ref="S38:S51" si="11">O38*Q38</f>
        <v>1675595.5249521472</v>
      </c>
      <c r="T38" s="778"/>
      <c r="U38" s="959"/>
      <c r="V38" s="764"/>
      <c r="W38" s="778">
        <f t="shared" ref="W38:W50" si="12">S38-U38+M38</f>
        <v>1675595.5249521472</v>
      </c>
      <c r="Y38" s="778"/>
      <c r="AA38" s="778"/>
      <c r="AC38" s="778"/>
      <c r="AE38" s="778"/>
      <c r="AG38" s="778"/>
      <c r="AI38" s="778"/>
      <c r="AK38" s="778"/>
      <c r="AM38" s="778"/>
      <c r="AO38" s="764"/>
      <c r="AQ38" s="764"/>
      <c r="AS38" s="764"/>
      <c r="AT38" s="764"/>
      <c r="AU38" s="814"/>
      <c r="AW38" s="764"/>
      <c r="AY38" s="764"/>
      <c r="BA38" s="764"/>
      <c r="BC38" s="764"/>
    </row>
    <row r="39" spans="1:57" s="699" customFormat="1">
      <c r="A39" s="764">
        <f>MAX($A$7:A38)+1</f>
        <v>28</v>
      </c>
      <c r="B39" s="764"/>
      <c r="C39" s="958">
        <v>921</v>
      </c>
      <c r="D39" s="764"/>
      <c r="E39" s="1" t="s">
        <v>667</v>
      </c>
      <c r="F39" s="1"/>
      <c r="G39" s="1" t="s">
        <v>1008</v>
      </c>
      <c r="H39" s="764"/>
      <c r="I39" s="959">
        <v>3583754</v>
      </c>
      <c r="J39" s="764"/>
      <c r="K39" s="959">
        <v>165639.39000000001</v>
      </c>
      <c r="L39" s="959"/>
      <c r="M39" s="959"/>
      <c r="N39" s="764"/>
      <c r="O39" s="965">
        <f t="shared" si="10"/>
        <v>3418114.61</v>
      </c>
      <c r="P39" s="965"/>
      <c r="Q39" s="970">
        <f>'Attachment H-11A '!$I$213</f>
        <v>9.333164788672195E-2</v>
      </c>
      <c r="R39" s="970"/>
      <c r="S39" s="886">
        <f t="shared" si="11"/>
        <v>319018.26921697991</v>
      </c>
      <c r="T39" s="778"/>
      <c r="U39" s="959">
        <v>246397.69704884733</v>
      </c>
      <c r="V39" s="764"/>
      <c r="W39" s="778">
        <f t="shared" si="12"/>
        <v>72620.572168132581</v>
      </c>
      <c r="Y39" s="778"/>
      <c r="AA39" s="778"/>
      <c r="AC39" s="778"/>
      <c r="AE39" s="778"/>
      <c r="AG39" s="778"/>
      <c r="AI39" s="778"/>
      <c r="AK39" s="778"/>
      <c r="AM39" s="778"/>
      <c r="AO39" s="764"/>
      <c r="AQ39" s="764"/>
      <c r="AS39" s="764"/>
      <c r="AT39" s="764"/>
      <c r="AU39" s="814"/>
      <c r="AW39" s="764"/>
      <c r="AY39" s="764"/>
      <c r="BA39" s="764"/>
      <c r="BC39" s="764"/>
    </row>
    <row r="40" spans="1:57" s="699" customFormat="1">
      <c r="A40" s="764">
        <f>MAX($A$7:A39)+1</f>
        <v>29</v>
      </c>
      <c r="B40" s="764"/>
      <c r="C40" s="958" t="s">
        <v>668</v>
      </c>
      <c r="D40" s="764"/>
      <c r="E40" s="1" t="s">
        <v>669</v>
      </c>
      <c r="F40" s="1"/>
      <c r="G40" s="1" t="s">
        <v>1009</v>
      </c>
      <c r="H40" s="764"/>
      <c r="I40" s="959">
        <v>-5529402</v>
      </c>
      <c r="J40" s="764"/>
      <c r="K40" s="959"/>
      <c r="L40" s="959"/>
      <c r="M40" s="959"/>
      <c r="N40" s="764"/>
      <c r="O40" s="965">
        <f t="shared" si="10"/>
        <v>-5529402</v>
      </c>
      <c r="P40" s="965"/>
      <c r="Q40" s="970">
        <f>'Attachment H-11A '!$I$213</f>
        <v>9.333164788672195E-2</v>
      </c>
      <c r="R40" s="970"/>
      <c r="S40" s="886">
        <f t="shared" si="11"/>
        <v>-516068.20048813615</v>
      </c>
      <c r="T40" s="778"/>
      <c r="U40" s="959"/>
      <c r="V40" s="764"/>
      <c r="W40" s="778">
        <f t="shared" si="12"/>
        <v>-516068.20048813615</v>
      </c>
      <c r="Y40" s="778"/>
      <c r="AA40" s="778"/>
      <c r="AC40" s="778"/>
      <c r="AE40" s="778"/>
      <c r="AG40" s="778"/>
      <c r="AI40" s="778"/>
      <c r="AK40" s="778"/>
      <c r="AM40" s="778"/>
      <c r="AO40" s="764"/>
      <c r="AQ40" s="764"/>
      <c r="AS40" s="764"/>
      <c r="AT40" s="764"/>
      <c r="AU40" s="814"/>
      <c r="AW40" s="764"/>
      <c r="AY40" s="764"/>
      <c r="BA40" s="764"/>
      <c r="BC40" s="764"/>
    </row>
    <row r="41" spans="1:57" s="699" customFormat="1">
      <c r="A41" s="764">
        <f>MAX($A$7:A40)+1</f>
        <v>30</v>
      </c>
      <c r="B41" s="764"/>
      <c r="C41" s="958">
        <v>923</v>
      </c>
      <c r="D41" s="764"/>
      <c r="E41" s="1" t="s">
        <v>670</v>
      </c>
      <c r="F41" s="1"/>
      <c r="G41" s="1" t="s">
        <v>1010</v>
      </c>
      <c r="H41" s="764"/>
      <c r="I41" s="959">
        <v>30932785</v>
      </c>
      <c r="J41" s="764"/>
      <c r="K41" s="959">
        <v>8103403.8900000006</v>
      </c>
      <c r="L41" s="959"/>
      <c r="M41" s="959"/>
      <c r="N41" s="764"/>
      <c r="O41" s="965">
        <f t="shared" si="10"/>
        <v>22829381.109999999</v>
      </c>
      <c r="P41" s="965"/>
      <c r="Q41" s="970">
        <f>'Attachment H-11A '!$I$213</f>
        <v>9.333164788672195E-2</v>
      </c>
      <c r="R41" s="970"/>
      <c r="S41" s="886">
        <f t="shared" si="11"/>
        <v>2130703.7592303012</v>
      </c>
      <c r="T41" s="778"/>
      <c r="U41" s="959">
        <v>-107375.66693690531</v>
      </c>
      <c r="V41" s="764"/>
      <c r="W41" s="778">
        <f t="shared" si="12"/>
        <v>2238079.4261672064</v>
      </c>
      <c r="Y41" s="778"/>
      <c r="AA41" s="778"/>
      <c r="AC41" s="778"/>
      <c r="AE41" s="778"/>
      <c r="AG41" s="778"/>
      <c r="AI41" s="778"/>
      <c r="AK41" s="778"/>
      <c r="AM41" s="778"/>
      <c r="AO41" s="764"/>
      <c r="AQ41" s="764"/>
      <c r="AS41" s="764"/>
      <c r="AT41" s="764"/>
      <c r="AU41" s="814"/>
      <c r="AW41" s="764"/>
      <c r="AY41" s="764"/>
      <c r="BA41" s="764"/>
      <c r="BC41" s="764"/>
    </row>
    <row r="42" spans="1:57" s="699" customFormat="1" ht="15.6" customHeight="1">
      <c r="A42" s="764">
        <f>MAX($A$7:A41)+1</f>
        <v>31</v>
      </c>
      <c r="B42" s="764"/>
      <c r="C42" s="958">
        <v>924</v>
      </c>
      <c r="D42" s="764"/>
      <c r="E42" s="1" t="s">
        <v>671</v>
      </c>
      <c r="F42" s="1"/>
      <c r="G42" s="1" t="s">
        <v>1011</v>
      </c>
      <c r="H42" s="764"/>
      <c r="I42" s="959">
        <v>613642</v>
      </c>
      <c r="J42" s="764"/>
      <c r="K42" s="959"/>
      <c r="L42" s="959"/>
      <c r="M42" s="959"/>
      <c r="N42" s="764"/>
      <c r="O42" s="965">
        <f t="shared" si="10"/>
        <v>613642</v>
      </c>
      <c r="P42" s="965"/>
      <c r="Q42" s="970">
        <f>'Attachment H-11A '!$I$213</f>
        <v>9.333164788672195E-2</v>
      </c>
      <c r="R42" s="970"/>
      <c r="S42" s="886">
        <f t="shared" si="11"/>
        <v>57272.219072503831</v>
      </c>
      <c r="T42" s="778"/>
      <c r="U42" s="959"/>
      <c r="V42" s="764"/>
      <c r="W42" s="778">
        <f t="shared" si="12"/>
        <v>57272.219072503831</v>
      </c>
      <c r="X42" s="971"/>
      <c r="Y42" s="778"/>
      <c r="AA42" s="778"/>
      <c r="AC42" s="778"/>
      <c r="AE42" s="778"/>
      <c r="AG42" s="778"/>
      <c r="AI42" s="778"/>
      <c r="AK42" s="778"/>
      <c r="AM42" s="778"/>
      <c r="AO42" s="764"/>
      <c r="AQ42" s="764"/>
      <c r="AS42" s="764"/>
      <c r="AT42" s="764"/>
      <c r="AU42" s="814"/>
      <c r="AW42" s="764"/>
      <c r="AY42" s="764"/>
      <c r="BA42" s="764"/>
      <c r="BC42" s="764"/>
    </row>
    <row r="43" spans="1:57" s="699" customFormat="1">
      <c r="A43" s="764">
        <f>MAX($A$7:A42)+1</f>
        <v>32</v>
      </c>
      <c r="B43" s="764"/>
      <c r="C43" s="958">
        <v>925</v>
      </c>
      <c r="D43" s="764"/>
      <c r="E43" s="1" t="s">
        <v>672</v>
      </c>
      <c r="F43" s="1"/>
      <c r="G43" s="1" t="s">
        <v>1012</v>
      </c>
      <c r="H43" s="764"/>
      <c r="I43" s="959">
        <v>3080765</v>
      </c>
      <c r="J43" s="764"/>
      <c r="K43" s="959"/>
      <c r="L43" s="959"/>
      <c r="M43" s="959"/>
      <c r="N43" s="764"/>
      <c r="O43" s="965">
        <f t="shared" si="10"/>
        <v>3080765</v>
      </c>
      <c r="P43" s="965"/>
      <c r="Q43" s="970">
        <f>'Attachment H-11A '!$I$213</f>
        <v>9.333164788672195E-2</v>
      </c>
      <c r="R43" s="970"/>
      <c r="S43" s="886">
        <f t="shared" si="11"/>
        <v>287532.87420173694</v>
      </c>
      <c r="T43" s="778"/>
      <c r="U43" s="959"/>
      <c r="V43" s="764"/>
      <c r="W43" s="778">
        <f t="shared" si="12"/>
        <v>287532.87420173694</v>
      </c>
      <c r="Y43" s="778"/>
      <c r="AA43" s="778"/>
      <c r="AC43" s="778"/>
      <c r="AE43" s="778"/>
      <c r="AG43" s="778"/>
      <c r="AI43" s="778"/>
      <c r="AK43" s="778"/>
      <c r="AM43" s="778"/>
      <c r="AO43" s="764"/>
      <c r="AQ43" s="764"/>
      <c r="AS43" s="764"/>
      <c r="AT43" s="764"/>
      <c r="AU43" s="814"/>
      <c r="AW43" s="764"/>
      <c r="AY43" s="764"/>
      <c r="BA43" s="764"/>
      <c r="BC43" s="764"/>
    </row>
    <row r="44" spans="1:57" s="699" customFormat="1">
      <c r="A44" s="764">
        <f>MAX($A$7:A43)+1</f>
        <v>33</v>
      </c>
      <c r="B44" s="764"/>
      <c r="C44" s="958">
        <v>926</v>
      </c>
      <c r="D44" s="764"/>
      <c r="E44" s="1" t="s">
        <v>673</v>
      </c>
      <c r="F44" s="1"/>
      <c r="G44" s="1" t="s">
        <v>1013</v>
      </c>
      <c r="H44" s="764"/>
      <c r="I44" s="959">
        <v>-27690088</v>
      </c>
      <c r="J44" s="764"/>
      <c r="K44" s="959">
        <v>39209.550000000003</v>
      </c>
      <c r="L44" s="959"/>
      <c r="M44" s="959"/>
      <c r="N44" s="764"/>
      <c r="O44" s="965">
        <f t="shared" si="10"/>
        <v>-27729297.550000001</v>
      </c>
      <c r="P44" s="965"/>
      <c r="Q44" s="970">
        <f>'Attachment H-11A '!$I$213</f>
        <v>9.333164788672195E-2</v>
      </c>
      <c r="R44" s="970"/>
      <c r="S44" s="886">
        <f>O44*Q44</f>
        <v>-2588021.0350827416</v>
      </c>
      <c r="T44" s="778"/>
      <c r="U44" s="959">
        <v>-3698.9198690465641</v>
      </c>
      <c r="V44" s="764"/>
      <c r="W44" s="778">
        <f t="shared" si="12"/>
        <v>-2584322.115213695</v>
      </c>
      <c r="Y44" s="778"/>
      <c r="AA44" s="778"/>
      <c r="AC44" s="778"/>
      <c r="AE44" s="778"/>
      <c r="AG44" s="778"/>
      <c r="AI44" s="778"/>
      <c r="AK44" s="778"/>
      <c r="AM44" s="778"/>
      <c r="AO44" s="764"/>
      <c r="AQ44" s="764"/>
      <c r="AS44" s="764"/>
      <c r="AT44" s="764"/>
      <c r="AU44" s="814"/>
      <c r="AW44" s="764"/>
      <c r="AY44" s="764"/>
      <c r="BA44" s="764"/>
      <c r="BC44" s="764"/>
    </row>
    <row r="45" spans="1:57" s="699" customFormat="1">
      <c r="A45" s="764">
        <f>MAX($A$7:A44)+1</f>
        <v>34</v>
      </c>
      <c r="B45" s="764"/>
      <c r="C45" s="958">
        <v>927</v>
      </c>
      <c r="D45" s="764"/>
      <c r="E45" s="1" t="s">
        <v>674</v>
      </c>
      <c r="F45" s="1"/>
      <c r="G45" s="1" t="s">
        <v>1014</v>
      </c>
      <c r="H45" s="764"/>
      <c r="I45" s="959"/>
      <c r="J45" s="764"/>
      <c r="K45" s="959"/>
      <c r="L45" s="959"/>
      <c r="M45" s="959"/>
      <c r="N45" s="764"/>
      <c r="O45" s="965">
        <f t="shared" si="10"/>
        <v>0</v>
      </c>
      <c r="P45" s="965"/>
      <c r="Q45" s="970">
        <f>'Attachment H-11A '!$I$213</f>
        <v>9.333164788672195E-2</v>
      </c>
      <c r="R45" s="970"/>
      <c r="S45" s="886">
        <f t="shared" si="11"/>
        <v>0</v>
      </c>
      <c r="T45" s="778"/>
      <c r="U45" s="959"/>
      <c r="V45" s="764"/>
      <c r="W45" s="778">
        <f t="shared" si="12"/>
        <v>0</v>
      </c>
      <c r="Y45" s="778"/>
      <c r="AA45" s="778"/>
      <c r="AC45" s="778"/>
      <c r="AE45" s="778"/>
      <c r="AG45" s="778"/>
      <c r="AI45" s="778"/>
      <c r="AK45" s="778"/>
      <c r="AM45" s="778"/>
      <c r="AO45" s="764"/>
      <c r="AQ45" s="764"/>
      <c r="AS45" s="764"/>
      <c r="AT45" s="764"/>
      <c r="AU45" s="814"/>
      <c r="AW45" s="764"/>
      <c r="AY45" s="764"/>
      <c r="BA45" s="764"/>
      <c r="BC45" s="764"/>
    </row>
    <row r="46" spans="1:57" s="699" customFormat="1">
      <c r="A46" s="764">
        <f>MAX($A$7:A45)+1</f>
        <v>35</v>
      </c>
      <c r="B46" s="764"/>
      <c r="C46" s="958">
        <v>928</v>
      </c>
      <c r="D46" s="764"/>
      <c r="E46" s="1" t="s">
        <v>675</v>
      </c>
      <c r="F46" s="1"/>
      <c r="G46" s="1" t="s">
        <v>1015</v>
      </c>
      <c r="H46" s="764"/>
      <c r="I46" s="959">
        <v>3316184</v>
      </c>
      <c r="J46" s="764"/>
      <c r="K46" s="959">
        <v>3316184</v>
      </c>
      <c r="L46" s="959"/>
      <c r="M46" s="959"/>
      <c r="N46" s="764"/>
      <c r="O46" s="965">
        <f t="shared" si="10"/>
        <v>0</v>
      </c>
      <c r="P46" s="965"/>
      <c r="Q46" s="970">
        <v>1</v>
      </c>
      <c r="R46" s="970"/>
      <c r="S46" s="886">
        <f t="shared" si="11"/>
        <v>0</v>
      </c>
      <c r="T46" s="778"/>
      <c r="U46" s="959"/>
      <c r="V46" s="764"/>
      <c r="W46" s="778">
        <f t="shared" si="12"/>
        <v>0</v>
      </c>
      <c r="Y46" s="778"/>
      <c r="AA46" s="778"/>
      <c r="AC46" s="778"/>
      <c r="AE46" s="778"/>
      <c r="AG46" s="778"/>
      <c r="AI46" s="778"/>
      <c r="AK46" s="778"/>
      <c r="AM46" s="778"/>
      <c r="AO46" s="764"/>
      <c r="AQ46" s="764"/>
      <c r="AS46" s="764"/>
      <c r="AT46" s="764"/>
      <c r="AU46" s="814"/>
      <c r="AW46" s="764"/>
      <c r="AY46" s="764"/>
      <c r="BA46" s="764"/>
      <c r="BC46" s="764"/>
    </row>
    <row r="47" spans="1:57" s="699" customFormat="1">
      <c r="A47" s="764">
        <f>MAX($A$7:A46)+1</f>
        <v>36</v>
      </c>
      <c r="B47" s="764"/>
      <c r="C47" s="958" t="s">
        <v>676</v>
      </c>
      <c r="D47" s="764"/>
      <c r="E47" s="1" t="s">
        <v>677</v>
      </c>
      <c r="F47" s="1"/>
      <c r="G47" s="1" t="s">
        <v>1016</v>
      </c>
      <c r="H47" s="764"/>
      <c r="I47" s="959"/>
      <c r="J47" s="764"/>
      <c r="K47" s="959"/>
      <c r="L47" s="959"/>
      <c r="M47" s="959"/>
      <c r="N47" s="764"/>
      <c r="O47" s="965">
        <f t="shared" si="10"/>
        <v>0</v>
      </c>
      <c r="P47" s="965"/>
      <c r="Q47" s="970">
        <f>'Attachment H-11A '!$I$213</f>
        <v>9.333164788672195E-2</v>
      </c>
      <c r="R47" s="970"/>
      <c r="S47" s="886">
        <f t="shared" si="11"/>
        <v>0</v>
      </c>
      <c r="T47" s="778"/>
      <c r="U47" s="959"/>
      <c r="V47" s="764"/>
      <c r="W47" s="778">
        <f t="shared" si="12"/>
        <v>0</v>
      </c>
      <c r="Y47" s="778"/>
      <c r="AA47" s="778"/>
      <c r="AC47" s="778"/>
      <c r="AE47" s="778"/>
      <c r="AG47" s="778"/>
      <c r="AI47" s="778"/>
      <c r="AK47" s="778"/>
      <c r="AM47" s="778"/>
      <c r="AO47" s="764"/>
      <c r="AQ47" s="764"/>
      <c r="AS47" s="764"/>
      <c r="AT47" s="764"/>
      <c r="AU47" s="814"/>
      <c r="AW47" s="764"/>
      <c r="AY47" s="764"/>
      <c r="BA47" s="764"/>
      <c r="BC47" s="764"/>
    </row>
    <row r="48" spans="1:57" s="699" customFormat="1">
      <c r="A48" s="764">
        <f>MAX($A$7:A47)+1</f>
        <v>37</v>
      </c>
      <c r="B48" s="764"/>
      <c r="C48" s="958">
        <v>930.1</v>
      </c>
      <c r="D48" s="764"/>
      <c r="E48" s="1" t="s">
        <v>678</v>
      </c>
      <c r="F48" s="1"/>
      <c r="G48" s="1" t="s">
        <v>1017</v>
      </c>
      <c r="H48" s="764"/>
      <c r="I48" s="959">
        <v>94818</v>
      </c>
      <c r="J48" s="764"/>
      <c r="K48" s="959"/>
      <c r="L48" s="959"/>
      <c r="M48" s="959"/>
      <c r="N48" s="764"/>
      <c r="O48" s="965">
        <f t="shared" si="10"/>
        <v>94818</v>
      </c>
      <c r="P48" s="965"/>
      <c r="Q48" s="970">
        <f>'Attachment H-11A '!$I$213</f>
        <v>9.333164788672195E-2</v>
      </c>
      <c r="R48" s="970"/>
      <c r="S48" s="886">
        <f t="shared" si="11"/>
        <v>8849.5201893232024</v>
      </c>
      <c r="T48" s="778"/>
      <c r="U48" s="959">
        <v>8849.1851287072896</v>
      </c>
      <c r="V48" s="764"/>
      <c r="W48" s="778">
        <f t="shared" si="12"/>
        <v>0.33506061591288017</v>
      </c>
      <c r="Y48" s="778"/>
      <c r="AA48" s="778"/>
      <c r="AC48" s="778"/>
      <c r="AE48" s="778"/>
      <c r="AG48" s="778"/>
      <c r="AI48" s="778"/>
      <c r="AK48" s="778"/>
      <c r="AM48" s="778"/>
      <c r="AO48" s="764"/>
      <c r="AQ48" s="764"/>
      <c r="AS48" s="764"/>
      <c r="AT48" s="764"/>
      <c r="AU48" s="814"/>
      <c r="AW48" s="764"/>
      <c r="AY48" s="764"/>
      <c r="BA48" s="764"/>
      <c r="BC48" s="764"/>
    </row>
    <row r="49" spans="1:55" s="699" customFormat="1">
      <c r="A49" s="764">
        <f>MAX($A$7:A48)+1</f>
        <v>38</v>
      </c>
      <c r="B49" s="764"/>
      <c r="C49" s="958">
        <v>930.2</v>
      </c>
      <c r="D49" s="764"/>
      <c r="E49" s="1" t="s">
        <v>679</v>
      </c>
      <c r="F49" s="1"/>
      <c r="G49" s="1" t="s">
        <v>1018</v>
      </c>
      <c r="H49" s="764"/>
      <c r="I49" s="959">
        <v>958903</v>
      </c>
      <c r="J49" s="764"/>
      <c r="K49" s="959">
        <v>2878328.98</v>
      </c>
      <c r="L49" s="959"/>
      <c r="M49" s="959"/>
      <c r="N49" s="764"/>
      <c r="O49" s="965">
        <f t="shared" si="10"/>
        <v>-1919425.98</v>
      </c>
      <c r="P49" s="965"/>
      <c r="Q49" s="970">
        <f>'Attachment H-11A '!$I$213</f>
        <v>9.333164788672195E-2</v>
      </c>
      <c r="R49" s="970"/>
      <c r="S49" s="886">
        <f t="shared" si="11"/>
        <v>-179143.18970998621</v>
      </c>
      <c r="T49" s="778"/>
      <c r="U49" s="959">
        <v>-244167.49905661849</v>
      </c>
      <c r="V49" s="764"/>
      <c r="W49" s="778">
        <f t="shared" si="12"/>
        <v>65024.309346632275</v>
      </c>
      <c r="Y49" s="778"/>
      <c r="AA49" s="778"/>
      <c r="AC49" s="778"/>
      <c r="AE49" s="778"/>
      <c r="AG49" s="778"/>
      <c r="AI49" s="778"/>
      <c r="AK49" s="778"/>
      <c r="AM49" s="778"/>
      <c r="AO49" s="764"/>
      <c r="AQ49" s="764"/>
      <c r="AS49" s="764"/>
      <c r="AT49" s="764"/>
      <c r="AU49" s="814"/>
      <c r="AW49" s="764"/>
      <c r="AY49" s="764"/>
      <c r="BA49" s="764"/>
      <c r="BC49" s="764"/>
    </row>
    <row r="50" spans="1:55" s="699" customFormat="1">
      <c r="A50" s="764">
        <f>MAX($A$7:A49)+1</f>
        <v>39</v>
      </c>
      <c r="B50" s="764"/>
      <c r="C50" s="958">
        <v>931</v>
      </c>
      <c r="D50" s="764"/>
      <c r="E50" s="1" t="s">
        <v>655</v>
      </c>
      <c r="F50" s="1"/>
      <c r="G50" s="1" t="s">
        <v>1019</v>
      </c>
      <c r="H50" s="764"/>
      <c r="I50" s="959">
        <v>380410</v>
      </c>
      <c r="J50" s="764"/>
      <c r="K50" s="959">
        <v>1194.02</v>
      </c>
      <c r="L50" s="959"/>
      <c r="M50" s="959"/>
      <c r="N50" s="764"/>
      <c r="O50" s="965">
        <f t="shared" si="10"/>
        <v>379215.98</v>
      </c>
      <c r="P50" s="965"/>
      <c r="Q50" s="970">
        <f>'Attachment H-11A '!$I$213</f>
        <v>9.333164788672195E-2</v>
      </c>
      <c r="R50" s="970"/>
      <c r="S50" s="886">
        <f t="shared" si="11"/>
        <v>35392.852318378194</v>
      </c>
      <c r="T50" s="778"/>
      <c r="U50" s="959">
        <v>22016.842404829822</v>
      </c>
      <c r="V50" s="764"/>
      <c r="W50" s="778">
        <f t="shared" si="12"/>
        <v>13376.009913548372</v>
      </c>
      <c r="Y50" s="778"/>
      <c r="AA50" s="778"/>
      <c r="AC50" s="778"/>
      <c r="AE50" s="778"/>
      <c r="AG50" s="778"/>
      <c r="AI50" s="778"/>
      <c r="AK50" s="778"/>
      <c r="AM50" s="778"/>
      <c r="AO50" s="764"/>
      <c r="AQ50" s="764"/>
      <c r="AS50" s="764"/>
      <c r="AT50" s="764"/>
      <c r="AU50" s="814"/>
      <c r="AW50" s="764"/>
      <c r="AY50" s="764"/>
      <c r="BA50" s="764"/>
      <c r="BC50" s="764"/>
    </row>
    <row r="51" spans="1:55" s="699" customFormat="1">
      <c r="A51" s="764">
        <f>MAX($A$7:A50)+1</f>
        <v>40</v>
      </c>
      <c r="B51" s="764"/>
      <c r="C51" s="958">
        <v>935</v>
      </c>
      <c r="D51" s="764"/>
      <c r="E51" s="1" t="s">
        <v>680</v>
      </c>
      <c r="F51" s="1"/>
      <c r="G51" s="1" t="s">
        <v>1020</v>
      </c>
      <c r="H51" s="764"/>
      <c r="I51" s="959">
        <v>1762126</v>
      </c>
      <c r="J51" s="764"/>
      <c r="K51" s="959"/>
      <c r="L51" s="959"/>
      <c r="M51" s="959"/>
      <c r="N51" s="764"/>
      <c r="O51" s="965">
        <f t="shared" ref="O51" si="13">I51-K51-M51</f>
        <v>1762126</v>
      </c>
      <c r="P51" s="778"/>
      <c r="Q51" s="970">
        <f>'Attachment H-11A '!$I$213</f>
        <v>9.333164788672195E-2</v>
      </c>
      <c r="R51" s="970"/>
      <c r="S51" s="886">
        <f t="shared" si="11"/>
        <v>164462.12336403781</v>
      </c>
      <c r="T51" s="778"/>
      <c r="U51" s="959"/>
      <c r="V51" s="764"/>
      <c r="W51" s="778">
        <f t="shared" ref="W51" si="14">S51-U51+M51</f>
        <v>164462.12336403781</v>
      </c>
      <c r="Y51" s="778"/>
      <c r="AA51" s="778"/>
      <c r="AC51" s="778"/>
      <c r="AE51" s="778"/>
      <c r="AG51" s="778"/>
      <c r="AI51" s="778"/>
      <c r="AK51" s="778"/>
      <c r="AM51" s="778"/>
      <c r="AO51" s="764"/>
      <c r="AQ51" s="764"/>
      <c r="AS51" s="764"/>
      <c r="AT51" s="764"/>
      <c r="AU51" s="814"/>
      <c r="AW51" s="764"/>
      <c r="AY51" s="764"/>
      <c r="BA51" s="764"/>
      <c r="BC51" s="764"/>
    </row>
    <row r="52" spans="1:55" s="699" customFormat="1">
      <c r="A52" s="764">
        <f>MAX($A$7:A51)+1</f>
        <v>41</v>
      </c>
      <c r="B52" s="764"/>
      <c r="C52" s="972"/>
      <c r="D52" s="764"/>
      <c r="E52" s="964" t="str">
        <f>"Sum of Lines "&amp;A38&amp;" through "&amp;A51</f>
        <v>Sum of Lines 27 through 40</v>
      </c>
      <c r="F52" s="964"/>
      <c r="G52" s="964"/>
      <c r="H52" s="764"/>
      <c r="I52" s="780">
        <f>SUM(I38:I51)</f>
        <v>29645087</v>
      </c>
      <c r="J52" s="764"/>
      <c r="K52" s="780">
        <f>SUM(K38:K51)</f>
        <v>14692016.430000002</v>
      </c>
      <c r="L52" s="779"/>
      <c r="M52" s="780">
        <f>SUM(M38:M51)</f>
        <v>0</v>
      </c>
      <c r="N52" s="764"/>
      <c r="O52" s="780">
        <f>SUM(O38:O51)</f>
        <v>14953070.569999997</v>
      </c>
      <c r="P52" s="780"/>
      <c r="Q52" s="780"/>
      <c r="R52" s="780"/>
      <c r="S52" s="780">
        <f>SUM(S38:S51)</f>
        <v>1395594.7172645442</v>
      </c>
      <c r="T52" s="780"/>
      <c r="U52" s="780">
        <f>SUM(U38:U51)</f>
        <v>-77978.361280185913</v>
      </c>
      <c r="V52" s="764"/>
      <c r="W52" s="780">
        <f>SUM(W38:W51)</f>
        <v>1473573.0785447306</v>
      </c>
      <c r="Y52" s="778"/>
      <c r="AA52" s="778"/>
      <c r="AC52" s="778"/>
      <c r="AE52" s="778"/>
      <c r="AG52" s="778"/>
      <c r="AI52" s="778"/>
      <c r="AK52" s="778"/>
      <c r="AM52" s="778"/>
      <c r="AO52" s="764"/>
      <c r="AQ52" s="764"/>
      <c r="AS52" s="764"/>
      <c r="AT52" s="764"/>
      <c r="AU52" s="814"/>
      <c r="AW52" s="764"/>
      <c r="AY52" s="764"/>
      <c r="BA52" s="764"/>
      <c r="BC52" s="764"/>
    </row>
    <row r="53" spans="1:55">
      <c r="A53" s="764"/>
    </row>
    <row r="54" spans="1:55">
      <c r="A54" s="764">
        <f>MAX($A$7:A53)+1</f>
        <v>42</v>
      </c>
      <c r="W54" s="16" t="str">
        <f>"Total OpEx (Line "&amp;A32&amp;" + Line "&amp;A52&amp;")"</f>
        <v>Total OpEx (Line 26 + Line 41)</v>
      </c>
      <c r="Y54" s="973">
        <f>W52+Q32</f>
        <v>32597803.457188483</v>
      </c>
    </row>
    <row r="56" spans="1:55">
      <c r="B56" s="980" t="s">
        <v>206</v>
      </c>
      <c r="C56" s="981"/>
    </row>
    <row r="57" spans="1:55" ht="15.6" customHeight="1">
      <c r="B57" s="2" t="s">
        <v>237</v>
      </c>
      <c r="C57" s="1144" t="s">
        <v>1222</v>
      </c>
      <c r="D57" s="1144"/>
      <c r="E57" s="1144"/>
      <c r="F57" s="1144"/>
      <c r="G57" s="1144"/>
      <c r="H57" s="1144"/>
      <c r="I57" s="1144"/>
      <c r="J57" s="1144"/>
      <c r="K57" s="1144"/>
      <c r="L57" s="1144"/>
      <c r="M57" s="1144"/>
      <c r="N57" s="1144"/>
      <c r="O57" s="1144"/>
      <c r="P57" s="974"/>
      <c r="Q57" s="974"/>
      <c r="R57" s="974"/>
      <c r="S57" s="974"/>
      <c r="T57" s="974"/>
      <c r="U57" s="974"/>
      <c r="V57" s="974"/>
      <c r="W57" s="974"/>
      <c r="X57" s="974"/>
      <c r="Y57" s="974"/>
      <c r="Z57" s="704"/>
    </row>
    <row r="58" spans="1:55">
      <c r="C58" s="1144"/>
      <c r="D58" s="1144"/>
      <c r="E58" s="1144"/>
      <c r="F58" s="1144"/>
      <c r="G58" s="1144"/>
      <c r="H58" s="1144"/>
      <c r="I58" s="1144"/>
      <c r="J58" s="1144"/>
      <c r="K58" s="1144"/>
      <c r="L58" s="1144"/>
      <c r="M58" s="1144"/>
      <c r="N58" s="1144"/>
      <c r="O58" s="1144"/>
      <c r="P58" s="974"/>
      <c r="Q58" s="974"/>
      <c r="R58" s="974"/>
      <c r="S58" s="974"/>
      <c r="T58" s="974"/>
      <c r="U58" s="974"/>
      <c r="V58" s="974"/>
      <c r="W58" s="974"/>
      <c r="X58" s="974"/>
      <c r="Y58" s="974"/>
    </row>
    <row r="59" spans="1:55" ht="36" customHeight="1">
      <c r="C59" s="1144"/>
      <c r="D59" s="1144"/>
      <c r="E59" s="1144"/>
      <c r="F59" s="1144"/>
      <c r="G59" s="1144"/>
      <c r="H59" s="1144"/>
      <c r="I59" s="1144"/>
      <c r="J59" s="1144"/>
      <c r="K59" s="1144"/>
      <c r="L59" s="1144"/>
      <c r="M59" s="1144"/>
      <c r="N59" s="1144"/>
      <c r="O59" s="1144"/>
      <c r="P59" s="974"/>
      <c r="Q59" s="974"/>
      <c r="R59" s="974"/>
      <c r="S59" s="974"/>
      <c r="T59" s="974"/>
      <c r="U59" s="974"/>
      <c r="V59" s="974"/>
      <c r="W59" s="974"/>
      <c r="X59" s="974"/>
      <c r="Y59" s="974"/>
    </row>
    <row r="60" spans="1:55" ht="6" customHeight="1">
      <c r="C60" s="1144"/>
      <c r="D60" s="1144"/>
      <c r="E60" s="1144"/>
      <c r="F60" s="1144"/>
      <c r="G60" s="1144"/>
      <c r="H60" s="1144"/>
      <c r="I60" s="1144"/>
      <c r="J60" s="1144"/>
      <c r="K60" s="1144"/>
      <c r="L60" s="1144"/>
      <c r="M60" s="1144"/>
      <c r="N60" s="1144"/>
      <c r="O60" s="1144"/>
      <c r="P60" s="974"/>
      <c r="Q60" s="974"/>
      <c r="R60" s="974"/>
      <c r="S60" s="974"/>
      <c r="T60" s="974"/>
      <c r="U60" s="974"/>
      <c r="V60" s="974"/>
      <c r="W60" s="974"/>
      <c r="X60" s="974"/>
      <c r="Y60" s="974"/>
    </row>
    <row r="61" spans="1:55">
      <c r="B61" s="2" t="s">
        <v>238</v>
      </c>
      <c r="C61" s="1144" t="s">
        <v>1220</v>
      </c>
      <c r="D61" s="1144"/>
      <c r="E61" s="1144"/>
      <c r="F61" s="1144"/>
      <c r="G61" s="1144"/>
      <c r="H61" s="1144"/>
      <c r="I61" s="1144"/>
      <c r="J61" s="1144"/>
      <c r="K61" s="1144"/>
      <c r="L61" s="1144"/>
      <c r="M61" s="1144"/>
      <c r="N61" s="1144"/>
      <c r="O61" s="1144"/>
      <c r="P61" s="1144"/>
      <c r="Q61" s="1144"/>
      <c r="R61" s="1144"/>
      <c r="S61" s="1144"/>
      <c r="T61" s="1144"/>
      <c r="U61" s="1144"/>
      <c r="V61" s="1144"/>
      <c r="W61" s="1144"/>
      <c r="X61" s="1144"/>
      <c r="Y61" s="1144"/>
    </row>
    <row r="62" spans="1:55" ht="15.6" customHeight="1">
      <c r="B62" s="2" t="s">
        <v>356</v>
      </c>
      <c r="C62" s="974" t="s">
        <v>1221</v>
      </c>
      <c r="D62" s="974"/>
      <c r="E62" s="974"/>
      <c r="F62" s="974"/>
      <c r="G62" s="974"/>
      <c r="H62" s="974"/>
      <c r="I62" s="974"/>
      <c r="J62" s="974"/>
      <c r="K62" s="974"/>
      <c r="L62" s="974"/>
      <c r="M62" s="974"/>
      <c r="N62" s="974"/>
      <c r="O62" s="974"/>
      <c r="P62" s="974"/>
      <c r="Q62" s="974"/>
      <c r="R62" s="974"/>
      <c r="S62" s="974"/>
      <c r="T62" s="974"/>
      <c r="U62" s="974"/>
      <c r="V62" s="974"/>
      <c r="W62" s="974"/>
      <c r="X62" s="974"/>
      <c r="Y62" s="974"/>
    </row>
    <row r="63" spans="1:55">
      <c r="B63" s="2" t="s">
        <v>240</v>
      </c>
      <c r="C63" s="974" t="s">
        <v>1031</v>
      </c>
      <c r="D63" s="974"/>
      <c r="E63" s="974"/>
      <c r="F63" s="974"/>
      <c r="G63" s="974"/>
      <c r="H63" s="974"/>
      <c r="I63" s="974"/>
      <c r="J63" s="974"/>
      <c r="K63" s="974"/>
      <c r="L63" s="974"/>
      <c r="M63" s="974"/>
      <c r="N63" s="974"/>
      <c r="O63" s="974"/>
      <c r="P63" s="974"/>
      <c r="Q63" s="974"/>
      <c r="R63" s="974"/>
      <c r="S63" s="974"/>
      <c r="T63" s="974"/>
      <c r="U63" s="974"/>
      <c r="V63" s="974"/>
      <c r="W63" s="974"/>
      <c r="X63" s="974"/>
      <c r="Y63" s="974"/>
    </row>
    <row r="64" spans="1:55" ht="15.6" customHeight="1">
      <c r="C64" s="974"/>
      <c r="D64" s="974"/>
      <c r="E64" s="974"/>
      <c r="F64" s="974"/>
      <c r="G64" s="974"/>
      <c r="H64" s="974"/>
      <c r="I64" s="974"/>
      <c r="J64" s="974"/>
      <c r="K64" s="974"/>
      <c r="L64" s="974"/>
      <c r="M64" s="974"/>
      <c r="N64" s="974"/>
      <c r="O64" s="974"/>
      <c r="P64" s="974"/>
      <c r="Q64" s="974"/>
      <c r="R64" s="974"/>
      <c r="S64" s="974"/>
      <c r="T64" s="974"/>
      <c r="U64" s="974"/>
      <c r="V64" s="974"/>
      <c r="W64" s="974"/>
      <c r="X64" s="974"/>
      <c r="Y64" s="974"/>
    </row>
    <row r="65" spans="3:25">
      <c r="C65" s="974"/>
      <c r="D65" s="974"/>
      <c r="E65" s="974"/>
      <c r="F65" s="974"/>
      <c r="G65" s="974"/>
      <c r="H65" s="974"/>
      <c r="I65" s="974"/>
      <c r="J65" s="974"/>
      <c r="K65" s="974"/>
      <c r="L65" s="974"/>
      <c r="M65" s="974"/>
      <c r="N65" s="974"/>
      <c r="O65" s="974"/>
      <c r="P65" s="974"/>
      <c r="Q65" s="974"/>
      <c r="R65" s="974"/>
      <c r="S65" s="974"/>
      <c r="T65" s="974"/>
      <c r="U65" s="974"/>
      <c r="V65" s="974"/>
      <c r="W65" s="974"/>
      <c r="X65" s="974"/>
      <c r="Y65" s="974"/>
    </row>
    <row r="66" spans="3:25">
      <c r="C66" s="975"/>
      <c r="D66" s="975"/>
      <c r="E66" s="975"/>
      <c r="F66" s="975"/>
      <c r="G66" s="975"/>
      <c r="H66" s="975"/>
      <c r="I66" s="975"/>
      <c r="J66" s="975"/>
      <c r="K66" s="975"/>
      <c r="L66" s="975"/>
      <c r="M66" s="975"/>
      <c r="N66" s="975"/>
      <c r="O66" s="975"/>
      <c r="P66" s="975"/>
      <c r="Q66" s="975"/>
      <c r="R66" s="975"/>
      <c r="S66" s="975"/>
      <c r="T66" s="975"/>
      <c r="U66" s="975"/>
      <c r="V66" s="975"/>
      <c r="W66" s="975"/>
      <c r="X66" s="975"/>
      <c r="Y66" s="975"/>
    </row>
    <row r="71" spans="3:25">
      <c r="C71" s="976"/>
      <c r="D71" s="977"/>
      <c r="E71" s="977"/>
      <c r="F71" s="977"/>
      <c r="G71" s="977"/>
      <c r="H71" s="977"/>
      <c r="I71" s="977"/>
      <c r="J71" s="977"/>
      <c r="K71" s="977"/>
      <c r="L71" s="977"/>
      <c r="M71" s="977"/>
      <c r="N71" s="977"/>
      <c r="O71" s="977"/>
      <c r="P71" s="977"/>
      <c r="Q71" s="977"/>
      <c r="R71" s="977"/>
      <c r="S71" s="977"/>
      <c r="T71" s="977"/>
      <c r="U71" s="977"/>
      <c r="V71" s="977"/>
      <c r="W71" s="977"/>
    </row>
    <row r="72" spans="3:25">
      <c r="D72" s="977"/>
      <c r="E72" s="977"/>
      <c r="F72" s="977"/>
      <c r="G72" s="977"/>
      <c r="H72" s="977"/>
      <c r="I72" s="977"/>
      <c r="J72" s="977"/>
      <c r="K72" s="977"/>
      <c r="L72" s="977"/>
      <c r="M72" s="977"/>
      <c r="N72" s="977"/>
      <c r="O72" s="977"/>
      <c r="P72" s="977"/>
      <c r="Q72" s="977"/>
      <c r="R72" s="977"/>
      <c r="S72" s="977"/>
      <c r="T72" s="977"/>
      <c r="U72" s="977"/>
      <c r="V72" s="977"/>
      <c r="W72" s="977"/>
    </row>
    <row r="73" spans="3:25">
      <c r="D73" s="977"/>
      <c r="E73" s="977"/>
      <c r="F73" s="977"/>
      <c r="G73" s="977"/>
      <c r="H73" s="977"/>
      <c r="I73" s="977"/>
      <c r="J73" s="977"/>
      <c r="K73" s="977"/>
      <c r="L73" s="977"/>
      <c r="M73" s="977"/>
      <c r="N73" s="977"/>
      <c r="O73" s="977"/>
      <c r="P73" s="977"/>
      <c r="Q73" s="977"/>
      <c r="R73" s="977"/>
      <c r="S73" s="977"/>
      <c r="T73" s="977"/>
      <c r="U73" s="977"/>
      <c r="V73" s="977"/>
      <c r="W73" s="977"/>
    </row>
    <row r="74" spans="3:25">
      <c r="D74" s="977"/>
      <c r="E74" s="977"/>
      <c r="F74" s="977"/>
      <c r="G74" s="977"/>
      <c r="H74" s="977"/>
      <c r="I74" s="977"/>
      <c r="J74" s="977"/>
      <c r="K74" s="977"/>
      <c r="L74" s="977"/>
      <c r="M74" s="977"/>
      <c r="N74" s="977"/>
      <c r="O74" s="977"/>
      <c r="P74" s="977"/>
      <c r="Q74" s="977"/>
      <c r="R74" s="977"/>
      <c r="S74" s="977"/>
      <c r="T74" s="977"/>
      <c r="U74" s="977"/>
      <c r="V74" s="977"/>
      <c r="W74" s="977"/>
    </row>
    <row r="75" spans="3:25">
      <c r="D75" s="977"/>
      <c r="E75" s="977"/>
      <c r="F75" s="977"/>
      <c r="G75" s="977"/>
      <c r="H75" s="977"/>
      <c r="I75" s="977"/>
      <c r="J75" s="977"/>
      <c r="K75" s="977"/>
      <c r="L75" s="977"/>
      <c r="M75" s="977"/>
      <c r="N75" s="977"/>
      <c r="O75" s="977"/>
      <c r="P75" s="977"/>
      <c r="Q75" s="977"/>
      <c r="R75" s="977"/>
      <c r="S75" s="977"/>
      <c r="T75" s="977"/>
      <c r="U75" s="977"/>
      <c r="V75" s="977"/>
      <c r="W75" s="977"/>
    </row>
  </sheetData>
  <mergeCells count="5">
    <mergeCell ref="C57:O60"/>
    <mergeCell ref="C61:Y61"/>
    <mergeCell ref="U1:Y1"/>
    <mergeCell ref="U2:Y2"/>
    <mergeCell ref="U3:Y3"/>
  </mergeCells>
  <pageMargins left="0.7" right="0.7" top="0.75" bottom="0.75" header="0.3" footer="0.3"/>
  <pageSetup scale="32" orientation="portrait" r:id="rId1"/>
  <ignoredErrors>
    <ignoredError sqref="O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19</vt:i4>
      </vt:variant>
    </vt:vector>
  </HeadingPairs>
  <TitlesOfParts>
    <vt:vector size="48" baseType="lpstr">
      <vt:lpstr>Attachment H-11A </vt:lpstr>
      <vt:lpstr>Attachment 1 - Sched 1A</vt:lpstr>
      <vt:lpstr>Attachment 2 - ROE Calcs</vt:lpstr>
      <vt:lpstr>Attach 2a - Scaled ROE Adder</vt:lpstr>
      <vt:lpstr>Attach 2b - Incent ROE NITS</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14 - Other RB</vt:lpstr>
      <vt:lpstr>Attach 15 - Excess_Def ADIT</vt:lpstr>
      <vt:lpstr>Attachment 16 - Abandoned Plant</vt:lpstr>
      <vt:lpstr>Attachment 17 - CWIP in RB</vt:lpstr>
      <vt:lpstr>Attachment 18 - Tax Rates</vt:lpstr>
      <vt:lpstr>Attachment 19 - Reg Asset</vt:lpstr>
      <vt:lpstr>Attachment 20 - O&amp;M and A&amp;G</vt:lpstr>
      <vt:lpstr>'Attach 11a - TEC Cost Support'!Print_Area</vt:lpstr>
      <vt:lpstr>'Attach 2a - Scaled ROE Adder'!Print_Area</vt:lpstr>
      <vt:lpstr>'Attach 2b - Incent ROE NITS'!Print_Area</vt:lpstr>
      <vt:lpstr>'Attach 9 - Stated-value Inputs'!Print_Area</vt:lpstr>
      <vt:lpstr>'Attachment 1 - Sched 1A'!Print_Area</vt:lpstr>
      <vt:lpstr>'Attachment 10 - Debt Cost'!Print_Area</vt:lpstr>
      <vt:lpstr>'Attachment 11 - TEC'!Print_Area</vt:lpstr>
      <vt:lpstr>'Attachment 12 - TEC True-up'!Print_Area</vt:lpstr>
      <vt:lpstr>'Attachment 18 - Tax Rates'!Print_Area</vt:lpstr>
      <vt:lpstr>'Attachment 19 - Reg Asset'!Print_Area</vt:lpstr>
      <vt:lpstr>'Attachment 2 - ROE Calcs'!Print_Area</vt:lpstr>
      <vt:lpstr>'Attachment 3 - Gross Plant'!Print_Area</vt:lpstr>
      <vt:lpstr>'Attachment 5 - ADIT Summary'!Print_Area</vt:lpstr>
      <vt:lpstr>'Attachment 5a - ADIT Detail'!Print_Area</vt:lpstr>
      <vt:lpstr>'Attachment 5b - ADIT Norm PTRR'!Print_Area</vt:lpstr>
      <vt:lpstr>'Attachment 8 - Cap Structure'!Print_Area</vt:lpstr>
      <vt:lpstr>'Attachment H-11A '!Print_Area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Sreenivasan, Preethi</cp:lastModifiedBy>
  <cp:lastPrinted>2019-10-25T16:30:20Z</cp:lastPrinted>
  <dcterms:created xsi:type="dcterms:W3CDTF">2008-03-20T17:17:42Z</dcterms:created>
  <dcterms:modified xsi:type="dcterms:W3CDTF">2023-06-15T20:54:16Z</dcterms:modified>
</cp:coreProperties>
</file>