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5601"/>
  <workbookPr codeName="ThisWorkbook"/>
  <bookViews>
    <workbookView xWindow="2800" yWindow="2800" windowWidth="14400" windowHeight="8170"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[0]!M21Laurie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D-True-up'!$A$1:$M$44</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0">'Appendix G(1) - Excess_Def ADIT'!$A$1:$N$119</definedName>
    <definedName name="_xlnm.Print_Area" localSheetId="11">'Appendix G(2) -Excess_Def WP'!$A$1:$O$134</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_xlnm.Print_Titles" localSheetId="11">'Appendix G(2) -Excess_Def WP'!$6:$7</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D-True-up'!$A$1:$L$44</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9" i="1" l="1"/>
</calcChain>
</file>

<file path=xl/sharedStrings.xml><?xml version="1.0" encoding="utf-8"?>
<sst xmlns="http://schemas.openxmlformats.org/spreadsheetml/2006/main" count="2230" uniqueCount="1061">
  <si>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</si>
  <si>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</si>
  <si>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</si>
  <si>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</si>
  <si>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</si>
  <si>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</si>
  <si>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</si>
  <si>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</si>
  <si>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</si>
  <si>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</si>
  <si>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</si>
  <si>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</si>
  <si>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</si>
  <si>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</si>
  <si>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</si>
  <si>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</si>
  <si>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</si>
  <si>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</si>
  <si>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</si>
  <si>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</si>
  <si>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</si>
  <si>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</si>
  <si>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</si>
  <si>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</si>
  <si>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</si>
  <si>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</si>
  <si>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</si>
  <si>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</si>
  <si>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</si>
  <si>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</si>
  <si>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</si>
  <si>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</si>
  <si>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</si>
  <si>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</si>
  <si>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</si>
  <si>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</si>
  <si>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</si>
  <si>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</si>
  <si>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</si>
  <si>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</si>
  <si>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</si>
  <si>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</si>
  <si>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</si>
  <si>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</si>
  <si>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</si>
  <si>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</si>
  <si>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</si>
  <si>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</si>
  <si>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</si>
  <si>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</si>
  <si>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</si>
  <si>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</si>
  <si>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</si>
  <si>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</si>
  <si>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</si>
  <si>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</si>
  <si>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</si>
  <si>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</si>
  <si>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</si>
  <si>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</si>
  <si>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</si>
  <si>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</si>
  <si>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</si>
  <si>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</si>
  <si>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</si>
  <si>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</si>
  <si>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</si>
  <si>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</si>
  <si>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</si>
  <si>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</si>
  <si>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</si>
  <si>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</si>
  <si>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</si>
  <si>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</si>
  <si>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</si>
  <si>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</si>
  <si>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</si>
  <si>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</si>
  <si>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</si>
  <si>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</si>
  <si>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</si>
  <si>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</si>
  <si>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</si>
  <si>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</si>
  <si>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</si>
  <si>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</si>
  <si>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</si>
  <si>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</si>
  <si>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</si>
  <si>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</si>
  <si>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</si>
  <si>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</si>
  <si>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</si>
  <si>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</si>
  <si>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</si>
  <si>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</si>
  <si>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</si>
  <si>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</si>
  <si>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</si>
  <si>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</si>
  <si>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</si>
  <si>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</si>
  <si>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</si>
  <si>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</si>
  <si>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</si>
  <si>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</si>
  <si>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</si>
  <si>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</si>
  <si>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</si>
  <si>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</si>
  <si>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</si>
  <si>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</si>
  <si>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</si>
  <si>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</si>
  <si>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</si>
  <si>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</si>
  <si>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</si>
  <si>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</si>
  <si>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</si>
  <si>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</si>
  <si>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</si>
  <si>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</si>
  <si>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</si>
  <si>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</si>
  <si>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</si>
  <si>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</si>
  <si>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</si>
  <si>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</si>
  <si>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</si>
  <si>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</si>
  <si>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</si>
  <si>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</si>
  <si>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</si>
  <si>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</si>
  <si>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</si>
  <si>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</si>
  <si>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</si>
  <si>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</si>
  <si>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</si>
  <si>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</si>
  <si>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</si>
  <si>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</si>
  <si>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</si>
  <si>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</si>
  <si>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</si>
  <si>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</si>
  <si>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</si>
  <si>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</si>
  <si>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</si>
  <si>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</si>
  <si>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</si>
  <si>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</si>
  <si>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</si>
  <si>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</si>
  <si>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</si>
  <si>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</si>
  <si>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</si>
  <si>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</si>
  <si>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</si>
  <si>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</si>
  <si>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</si>
  <si>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</si>
  <si>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</si>
  <si>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</si>
  <si>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</si>
  <si>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</si>
  <si>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</si>
  <si>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</si>
  <si>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</si>
  <si>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</si>
  <si>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</si>
  <si>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</si>
  <si>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</si>
  <si>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</si>
  <si>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</si>
  <si>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</si>
  <si>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</si>
  <si>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</si>
  <si>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</si>
  <si>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</si>
  <si>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</si>
  <si>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</si>
  <si>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</si>
  <si>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</si>
  <si>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</si>
  <si>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</si>
  <si>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</si>
  <si>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</si>
  <si>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</si>
  <si>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</si>
  <si>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</si>
  <si>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</si>
  <si>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</si>
  <si>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</si>
  <si>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</si>
  <si>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</si>
  <si>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</si>
  <si>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</si>
  <si>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</si>
  <si>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</si>
  <si>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</si>
  <si>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</si>
  <si>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</si>
  <si>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</si>
  <si>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</si>
  <si>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</si>
  <si>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</si>
  <si>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</si>
  <si>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</si>
  <si>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</si>
  <si>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</si>
  <si>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</si>
  <si>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</si>
  <si>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</si>
  <si>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</si>
  <si>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</si>
  <si>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</si>
  <si>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</si>
  <si>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</si>
  <si>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</si>
  <si>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</si>
  <si>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</si>
  <si>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</si>
  <si>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</si>
  <si>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</si>
  <si>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</si>
  <si>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</si>
  <si>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</si>
  <si>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</si>
  <si>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</si>
  <si>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</si>
  <si>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</si>
  <si>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</si>
  <si>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</si>
  <si>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</si>
  <si>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</si>
  <si>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</si>
  <si>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</si>
  <si>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</si>
  <si>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</si>
  <si>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</si>
  <si>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</si>
  <si>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</si>
  <si>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</si>
  <si>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</si>
  <si>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</si>
  <si>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</si>
  <si>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</si>
  <si>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</si>
  <si>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</si>
  <si>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</si>
  <si>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</si>
  <si>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</si>
  <si>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</si>
  <si>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</si>
  <si>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</si>
  <si>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</si>
  <si>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</si>
  <si>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</si>
  <si>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</si>
  <si>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</si>
  <si>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</si>
  <si>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</si>
  <si>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</si>
  <si>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</si>
  <si>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</si>
  <si>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</si>
  <si>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</si>
  <si>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</si>
  <si>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</si>
  <si>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</si>
  <si>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</si>
  <si>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</si>
  <si>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</si>
  <si>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</si>
  <si>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</si>
  <si>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</si>
  <si>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</si>
  <si>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</si>
  <si>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</si>
  <si>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</si>
  <si>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</si>
  <si>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</si>
  <si>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</si>
  <si>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</si>
  <si>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</si>
  <si>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</si>
  <si>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</si>
  <si>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</si>
  <si>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</si>
  <si>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</si>
  <si>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</si>
  <si>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</si>
  <si>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</si>
  <si>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</si>
  <si>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</si>
  <si>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</si>
  <si>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</si>
  <si>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</si>
  <si>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</si>
  <si>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</si>
  <si>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</si>
  <si>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</si>
  <si>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</si>
  <si>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</si>
  <si>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</si>
  <si>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</si>
  <si>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</si>
  <si>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</si>
  <si>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</si>
  <si>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</si>
  <si>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</si>
  <si>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</si>
  <si>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</si>
  <si>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</si>
  <si>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</si>
  <si>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</si>
  <si>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</si>
  <si>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</si>
  <si>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</si>
  <si>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</si>
  <si>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</si>
  <si>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</si>
  <si>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</si>
  <si>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</si>
  <si>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</si>
  <si>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</si>
  <si>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</si>
  <si>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</si>
  <si>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</si>
  <si>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</si>
  <si>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</si>
  <si>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</si>
  <si>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</si>
  <si>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</si>
  <si>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</si>
  <si>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</si>
  <si>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</si>
  <si>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</si>
  <si>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</si>
  <si>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</si>
  <si>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</si>
  <si>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</si>
  <si>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</si>
  <si>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</si>
  <si>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</si>
  <si>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</si>
  <si>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</si>
  <si>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</si>
  <si>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</si>
  <si>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</si>
  <si>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</si>
  <si>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</si>
  <si>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</si>
  <si>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</si>
  <si>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</si>
  <si>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</si>
  <si>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</si>
  <si>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</si>
  <si>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</si>
  <si>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</si>
  <si>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</si>
  <si>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</si>
  <si>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</si>
  <si>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</si>
  <si>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</si>
  <si>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</si>
  <si>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</si>
  <si>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</si>
  <si>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</si>
  <si>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</si>
  <si>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</si>
  <si>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</si>
  <si>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</si>
  <si>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</si>
  <si>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</si>
  <si>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</si>
  <si>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</si>
  <si>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</si>
  <si>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</si>
  <si>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</si>
  <si>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</si>
  <si>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</si>
  <si>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</si>
  <si>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</si>
  <si>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</si>
  <si>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</si>
  <si>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</si>
  <si>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</si>
  <si>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</si>
  <si>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</si>
  <si>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</si>
  <si>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</si>
  <si>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</si>
  <si>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</si>
  <si>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</si>
  <si>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</si>
  <si>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</si>
  <si>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</si>
  <si>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</si>
  <si>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</si>
  <si>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</si>
  <si>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</si>
  <si>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</si>
  <si>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</si>
  <si>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</si>
  <si>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</si>
  <si>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</si>
  <si>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</si>
  <si>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</si>
  <si>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</si>
  <si>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</si>
  <si>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</si>
  <si>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</si>
  <si>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</si>
  <si>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</si>
  <si>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</si>
  <si>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</si>
  <si>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</si>
  <si>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</si>
  <si>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</si>
  <si>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</si>
  <si>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</si>
  <si>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</si>
  <si>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</si>
  <si>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</si>
  <si>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</si>
  <si>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</si>
  <si>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</si>
  <si>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</si>
  <si>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</si>
  <si>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</si>
  <si>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</si>
  <si>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</si>
  <si>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</si>
  <si>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</si>
  <si>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</si>
  <si>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</si>
  <si>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</si>
  <si>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</si>
  <si>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</si>
  <si>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</si>
  <si>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</si>
  <si>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</si>
  <si>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</si>
  <si>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</si>
  <si>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</si>
  <si>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</si>
  <si>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</si>
  <si>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</si>
  <si>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</si>
  <si>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</si>
  <si>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</si>
  <si>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</si>
  <si>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</si>
  <si>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</si>
  <si>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</si>
  <si>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</si>
  <si>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</si>
  <si>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</si>
  <si>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</si>
  <si>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</si>
  <si>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</si>
  <si>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</si>
  <si>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</si>
  <si>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</si>
  <si>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</si>
  <si>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</si>
  <si>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</si>
  <si>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</si>
  <si>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</si>
  <si>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</si>
  <si>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</si>
  <si>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</si>
  <si>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</si>
  <si>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</si>
  <si>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</si>
  <si>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</si>
  <si>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</si>
  <si>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</si>
  <si>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</si>
  <si>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</si>
  <si>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</si>
  <si>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</si>
  <si>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</si>
  <si>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</si>
  <si>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</si>
  <si>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</si>
  <si>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</si>
  <si>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</si>
  <si>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</si>
  <si>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</si>
  <si>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</si>
  <si>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</si>
  <si>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</si>
  <si>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</si>
  <si>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</si>
  <si>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</si>
  <si>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</si>
  <si>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</si>
  <si>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</si>
  <si>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</si>
  <si>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</si>
  <si>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</si>
  <si>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</si>
  <si>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</si>
  <si>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</si>
  <si>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</si>
  <si>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</si>
  <si>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</si>
  <si>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</si>
  <si>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</si>
  <si>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</si>
  <si>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</si>
  <si>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</si>
  <si>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</si>
  <si>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</si>
  <si>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</si>
  <si>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</si>
  <si>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</si>
  <si>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</si>
  <si>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</si>
  <si>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</si>
  <si>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</si>
  <si>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</si>
  <si>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</si>
  <si>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</si>
  <si>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</si>
  <si>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</si>
  <si>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</si>
  <si>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</si>
  <si>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</si>
  <si>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</si>
  <si>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</si>
  <si>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</si>
  <si>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</si>
  <si>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</si>
  <si>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</si>
  <si>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</si>
  <si>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</si>
  <si>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</si>
  <si>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</si>
  <si>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</si>
  <si>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</si>
  <si>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</si>
  <si>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</si>
  <si>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</si>
  <si>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</si>
  <si>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</si>
  <si>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</si>
  <si>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</si>
  <si>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</si>
  <si>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</si>
  <si>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</si>
  <si>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</si>
  <si>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</si>
  <si>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</si>
  <si>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</si>
  <si>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</si>
  <si>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</si>
  <si>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</si>
  <si>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</si>
  <si>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</si>
  <si>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</si>
  <si>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</si>
  <si>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</si>
  <si>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</si>
  <si>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</si>
  <si>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</si>
  <si>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</si>
  <si>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</si>
  <si>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</si>
  <si>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</si>
  <si>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</si>
  <si>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</si>
  <si>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</si>
  <si>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</si>
  <si>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</si>
  <si>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</si>
  <si>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</si>
  <si>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</si>
  <si>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</si>
  <si>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</si>
  <si>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</si>
  <si>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</si>
  <si>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</si>
  <si>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</si>
  <si>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</si>
  <si>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</si>
  <si>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</si>
  <si>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</si>
  <si>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</si>
  <si>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</si>
  <si>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</si>
  <si>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</si>
  <si>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</si>
  <si>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</si>
  <si>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</si>
  <si>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</si>
  <si>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</si>
  <si>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</si>
  <si>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</si>
  <si>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</si>
  <si>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</si>
  <si>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</si>
  <si>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</si>
  <si>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</si>
  <si>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</si>
  <si>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</si>
  <si>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</si>
  <si>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</si>
  <si>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</si>
  <si>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</si>
  <si>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</si>
  <si>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</si>
  <si>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</si>
  <si>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</si>
  <si>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</si>
  <si>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</si>
  <si>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</si>
  <si>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</si>
  <si>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</si>
  <si>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</si>
  <si>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</si>
  <si>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</si>
  <si>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</si>
  <si>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</si>
  <si>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</si>
  <si>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</si>
  <si>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</si>
  <si>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</si>
  <si>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</si>
  <si>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</si>
  <si>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</si>
  <si>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</si>
  <si>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</si>
  <si>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</si>
  <si>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</si>
  <si>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</si>
  <si>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</si>
  <si>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</si>
  <si>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</si>
  <si>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</si>
  <si>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</si>
  <si>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</si>
  <si>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</si>
  <si>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</si>
  <si>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</si>
  <si>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</si>
  <si>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</si>
  <si>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</si>
  <si>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</si>
  <si>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</si>
  <si>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</si>
  <si>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</si>
  <si>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</si>
  <si>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</si>
  <si>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</si>
  <si>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</si>
  <si>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</si>
  <si>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</si>
  <si>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</si>
  <si>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</si>
  <si>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</si>
  <si>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</si>
  <si>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</si>
  <si>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</si>
  <si>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</si>
  <si>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</si>
  <si>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</si>
  <si>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</si>
  <si>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</si>
  <si>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</si>
  <si>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</si>
  <si>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</si>
  <si>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</si>
  <si>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</si>
  <si>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</si>
  <si>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</si>
  <si>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</si>
  <si>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</si>
  <si>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</si>
  <si>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</si>
  <si>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</si>
  <si>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</si>
  <si>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</si>
  <si>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</si>
  <si>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</si>
  <si>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</si>
  <si>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</si>
  <si>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</si>
  <si>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</si>
  <si>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</si>
  <si>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</si>
  <si>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</si>
  <si>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</si>
  <si>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</si>
  <si>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</si>
  <si>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</si>
  <si>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</si>
  <si>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</si>
  <si>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</si>
  <si>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</si>
  <si>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</si>
  <si>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</si>
  <si>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</si>
  <si>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</si>
  <si>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</si>
  <si>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</si>
  <si>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</si>
  <si>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</si>
  <si>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</si>
  <si>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</si>
  <si>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</si>
  <si>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</si>
  <si>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</si>
  <si>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</si>
  <si>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</si>
  <si>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</si>
  <si>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</si>
  <si>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</si>
  <si>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</si>
  <si>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</si>
  <si>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</si>
  <si>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</si>
  <si>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</si>
  <si>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</si>
  <si>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</si>
  <si>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</si>
  <si>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</si>
  <si>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</si>
  <si>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</si>
  <si>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</si>
  <si>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</si>
  <si>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</si>
  <si>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</si>
  <si>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</si>
  <si>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</si>
  <si>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</si>
  <si>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</si>
  <si>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</si>
  <si>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</si>
  <si>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</si>
  <si>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</si>
  <si>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</si>
  <si>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</si>
  <si>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</si>
  <si>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</si>
  <si>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</si>
  <si>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</si>
  <si>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</si>
  <si>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</si>
  <si>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</si>
  <si>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</si>
  <si>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</si>
  <si>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</si>
  <si>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</si>
  <si>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</si>
  <si>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</si>
  <si>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</si>
  <si>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</si>
  <si>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</si>
  <si>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</si>
  <si>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</si>
  <si>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</si>
  <si>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</si>
  <si>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</si>
  <si>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</si>
  <si>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</si>
  <si>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</si>
  <si>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</si>
  <si>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</si>
  <si>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</si>
  <si>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</si>
  <si>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</si>
  <si>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</si>
  <si>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</si>
  <si>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</si>
  <si>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</si>
  <si>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Sum of Lines 1.01 through 1.XX</t>
  </si>
  <si>
    <t>1.XX</t>
  </si>
  <si>
    <t xml:space="preserve">FERC Account No. 190 ADIT Adjustments </t>
  </si>
  <si>
    <t>Charitable Contribution Limit</t>
  </si>
  <si>
    <t>Contribution in Aid of Construction</t>
  </si>
  <si>
    <t>Sum of Lines 3.01 through 3.XX</t>
  </si>
  <si>
    <t>3.XX</t>
  </si>
  <si>
    <t>FERC Account No. 282</t>
  </si>
  <si>
    <t>FERC Account No. 190</t>
  </si>
  <si>
    <t>FERC Account No. 282 ADIT Adjustments</t>
  </si>
  <si>
    <t>Asset Impairment</t>
  </si>
  <si>
    <t>Extraordinary Property Losses</t>
  </si>
  <si>
    <t>FERC Account No. 283</t>
  </si>
  <si>
    <t>FERC Account No. 283 ADIT Adjustments</t>
  </si>
  <si>
    <t>11.XX</t>
  </si>
  <si>
    <t>Sum of Lines 11.01 through 11.XX</t>
  </si>
  <si>
    <t>Description (a)</t>
  </si>
  <si>
    <t xml:space="preserve">FERC Account No. 190 After Adjustments </t>
  </si>
  <si>
    <t xml:space="preserve">FERC Account No. 282 After Adjustments </t>
  </si>
  <si>
    <t xml:space="preserve">FERC Account No. 283 After Adjustments </t>
  </si>
  <si>
    <t>Sum of Lines 6.01 through 6.XX</t>
  </si>
  <si>
    <t>6.XX</t>
  </si>
  <si>
    <t>8.XX</t>
  </si>
  <si>
    <t>Sum of Lines 8.01 through 8.XX</t>
  </si>
  <si>
    <t>13.XX</t>
  </si>
  <si>
    <t>Sum of Lines 13.01 through 13.XX</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</si>
  <si>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</si>
  <si>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</si>
  <si>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</si>
  <si>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</si>
  <si>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</si>
  <si>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</si>
  <si>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</si>
  <si>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</si>
  <si>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</si>
  <si>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</si>
  <si>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</si>
  <si>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</si>
  <si>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</si>
  <si>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</si>
  <si>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</si>
  <si>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</si>
  <si>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</si>
  <si>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</si>
  <si>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</si>
  <si>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</si>
  <si>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</si>
  <si>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</si>
  <si>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</si>
  <si>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</si>
  <si>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</si>
  <si>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</si>
  <si>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</si>
  <si>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</si>
  <si>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</si>
  <si>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</si>
  <si>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</si>
  <si>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</si>
  <si>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</si>
  <si>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</si>
  <si>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</si>
  <si>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</si>
  <si>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</si>
  <si>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</si>
  <si>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</si>
  <si>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</si>
  <si>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</si>
  <si>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</si>
  <si>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</si>
  <si>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</si>
  <si>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</si>
  <si>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</si>
  <si>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</si>
  <si>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</si>
  <si>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</si>
  <si>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</si>
  <si>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</si>
  <si>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</si>
  <si>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</si>
  <si>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</si>
  <si>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</si>
  <si>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20XX Return-to-Accrual Adjustment (Recorded in 20XX)</t>
  </si>
  <si>
    <t>Regulatory Asset (Account 182.3) or Regulatory Liability (Account 254) as of 12/31/XX</t>
  </si>
  <si>
    <t>21a</t>
  </si>
  <si>
    <t>22a</t>
  </si>
  <si>
    <t>20a</t>
  </si>
  <si>
    <t>24a</t>
  </si>
  <si>
    <t>29a</t>
  </si>
  <si>
    <t>31a</t>
  </si>
  <si>
    <t>Total Non-Property &amp; Property Amortization, including gross up for taxes (Total of lines 5, 19, 24, 38, 39)</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</si>
  <si>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</si>
  <si>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</si>
  <si>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</si>
  <si>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12/31/20XX ADIT Balance
(Prior to Vintage)</t>
  </si>
  <si>
    <t>12/31/20XX ADIT Balance
(After Vintage)</t>
  </si>
  <si>
    <t>Change in ADIT due to Vintage</t>
  </si>
  <si>
    <t>(Excess)/Deficient ADIT Transmission Remeasured Balance (= Col. G + Col. H + Col. I)</t>
  </si>
  <si>
    <t>FAS109 related to Excess/Deficient ADIT ("EDIT").  Sum of Accounts 282 and 283 less Account 190 will sum to Appendix G(1) total. Other FAS109 does not include EDIT.</t>
  </si>
  <si>
    <t>1. Appendix G(4) will be populated and utilize PTRR information for the PTRR and ATRR information for the ATRR.</t>
  </si>
  <si>
    <t>2. Appendix G(4) will only include prorated amounts</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</si>
  <si>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</si>
  <si>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</si>
  <si>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</si>
  <si>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</si>
  <si>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</si>
  <si>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</si>
  <si>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</si>
  <si>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</si>
  <si>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</si>
  <si>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</si>
  <si>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</si>
  <si>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</si>
  <si>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</si>
  <si>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</si>
  <si>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</si>
  <si>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</si>
  <si>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</si>
  <si>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</si>
  <si>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</si>
  <si>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</si>
  <si>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</si>
  <si>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</si>
  <si>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</si>
  <si>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</si>
  <si>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</si>
  <si>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</si>
  <si>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</si>
  <si>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</si>
  <si>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</si>
  <si>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For the 12 months ended 12/31/2022</t>
  </si>
  <si>
    <t>Reconciliation Revenue Requirement For Year 2022 Available May 1, 2023</t>
  </si>
  <si>
    <t>2022 Revenue Requirement Collected by PJM Based on Forecast filed on Oct 15, 2021</t>
  </si>
  <si>
    <t>An over or under collection will be recovered prorata over 2022, held for 2023 and returned prorata over 2024</t>
  </si>
  <si>
    <t>Year 2022</t>
  </si>
  <si>
    <t>Year 2023</t>
  </si>
  <si>
    <t>Year 2024</t>
  </si>
  <si>
    <t>New Mansfield 69kV Switching Station</t>
  </si>
  <si>
    <t>b1587</t>
  </si>
  <si>
    <t>Re-conductor Galion-GM Mansfield-Ontario-Cairns</t>
  </si>
  <si>
    <t>b1920</t>
  </si>
  <si>
    <t>New Toronto Substation looping in Sammis-Wylie Ridge</t>
  </si>
  <si>
    <t>b1977</t>
  </si>
  <si>
    <t>West Fremont - Groton - Hayes 138 kV line</t>
  </si>
  <si>
    <t>b1959</t>
  </si>
  <si>
    <t>McDowell-Campbell - Construct approximately 5.5 miles of 138 kV line</t>
  </si>
  <si>
    <t>b2124.4</t>
  </si>
  <si>
    <t>McDowell Substation - Add a new 138 kV line exit</t>
  </si>
  <si>
    <t>b2124.1</t>
  </si>
  <si>
    <t>Campbell Substation - Construct a 138 kV ring bus and install a 138/69 kV autotransformer</t>
  </si>
  <si>
    <t>b2124.2</t>
  </si>
  <si>
    <t>Lallendorf-Monroe 345kV-Reconductor</t>
  </si>
  <si>
    <t>b2972</t>
  </si>
  <si>
    <t>North Medina 345/138 kV Substation</t>
  </si>
  <si>
    <t>Capacitor Banks at Harding and Juniper 345 kV</t>
  </si>
  <si>
    <t>2h</t>
  </si>
  <si>
    <t>ATRR</t>
  </si>
  <si>
    <t>(Excess)/Deficient ADIT Transmission Remeasured Balance as of 12/31/22 (Appendix G(2) Col. J)</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</si>
  <si>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</si>
  <si>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</si>
  <si>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</si>
  <si>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</si>
  <si>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</si>
  <si>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</si>
  <si>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</si>
  <si>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</si>
  <si>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MISO Exit Fees Deferral</t>
  </si>
  <si>
    <t>3b</t>
  </si>
  <si>
    <t>Qualified Asset Adjustment - Local - Val Allow</t>
  </si>
  <si>
    <t>3c</t>
  </si>
  <si>
    <t>RTO Study Deferral</t>
  </si>
  <si>
    <t>3d</t>
  </si>
  <si>
    <t>Valuation Allowance NOL WV</t>
  </si>
  <si>
    <t>3e</t>
  </si>
  <si>
    <t>Vegetation Management</t>
  </si>
  <si>
    <t>3f</t>
  </si>
  <si>
    <t>Recovery of Veg Mgmt for Transmission Companies</t>
  </si>
  <si>
    <t>Asset (182.3)</t>
  </si>
  <si>
    <t>Liability (182.3)</t>
  </si>
  <si>
    <t>Vegetation Management Adj. (Put on the Regulatory Asset)</t>
  </si>
  <si>
    <t>20b</t>
  </si>
  <si>
    <t>20c</t>
  </si>
  <si>
    <t>Deferred Charge-EIB</t>
  </si>
  <si>
    <t>FE Service Timing Allocation</t>
  </si>
  <si>
    <t>22b</t>
  </si>
  <si>
    <t>22c</t>
  </si>
  <si>
    <t>22d</t>
  </si>
  <si>
    <t>Total 2022 FAS109 (Appendix G(3)) (Note I)</t>
  </si>
  <si>
    <t>Total 2022 FAS109 (Total of lines 5, 19, 24, 38) (Note I)</t>
  </si>
  <si>
    <t>Regulatory Asset (Account 182.3) or Regulatory Liability (Account 254) as of 12/31/22</t>
  </si>
  <si>
    <t>1i</t>
  </si>
  <si>
    <t>1j</t>
  </si>
  <si>
    <t>1k</t>
  </si>
  <si>
    <t>1l</t>
  </si>
  <si>
    <t>Asset Retirement Obligation Liability</t>
  </si>
  <si>
    <t>Charitable Cont Carryfwd State RTA Adj</t>
  </si>
  <si>
    <t>Charitable Contribution Carryforward</t>
  </si>
  <si>
    <t>Charitable Contribution State &amp; Local RTA</t>
  </si>
  <si>
    <t>Lease ROU Asset &amp; Liability</t>
  </si>
  <si>
    <t>Other Reg Liability Misc</t>
  </si>
  <si>
    <t>Pensions Expense</t>
  </si>
  <si>
    <t>PJM Payable</t>
  </si>
  <si>
    <t>PJM Receivable</t>
  </si>
  <si>
    <t>Post Retirement Benefits SFAS 106 Accrual</t>
  </si>
  <si>
    <t>1m</t>
  </si>
  <si>
    <t>N/A</t>
  </si>
  <si>
    <t>5e</t>
  </si>
  <si>
    <t>5f</t>
  </si>
  <si>
    <t>FE Service Tax Interest Allocation</t>
  </si>
  <si>
    <t>Pension EDCP-SERP Payments</t>
  </si>
  <si>
    <t>10b</t>
  </si>
  <si>
    <t>10c</t>
  </si>
  <si>
    <t>10d</t>
  </si>
  <si>
    <t>10e</t>
  </si>
  <si>
    <t>10f</t>
  </si>
  <si>
    <t>CIAC-PA-Norm</t>
  </si>
  <si>
    <t>CIAC-PA-Norm-Incurred-CWIP</t>
  </si>
  <si>
    <t>CIAC-PA-Norm-Reversal-CWIP</t>
  </si>
  <si>
    <t>Tax Interest Capitalized-PA-Norm</t>
  </si>
  <si>
    <t>Tax Interest Capitalized-PA-Norm-Incurred-CWIP</t>
  </si>
  <si>
    <t>Tax Interest Capitalized-PA-Norm-Reversal-CWIP</t>
  </si>
  <si>
    <t>12b</t>
  </si>
  <si>
    <t>12c</t>
  </si>
  <si>
    <t>12d</t>
  </si>
  <si>
    <t>12e</t>
  </si>
  <si>
    <t>12f</t>
  </si>
  <si>
    <t>12g</t>
  </si>
  <si>
    <t>12h</t>
  </si>
  <si>
    <t>12i</t>
  </si>
  <si>
    <t>12j</t>
  </si>
  <si>
    <t>12k</t>
  </si>
  <si>
    <t>12l</t>
  </si>
  <si>
    <t>12m</t>
  </si>
  <si>
    <t>12n</t>
  </si>
  <si>
    <t>12o</t>
  </si>
  <si>
    <t>12p</t>
  </si>
  <si>
    <t>12q</t>
  </si>
  <si>
    <t>12r</t>
  </si>
  <si>
    <t>12s</t>
  </si>
  <si>
    <t>12t</t>
  </si>
  <si>
    <t>12u</t>
  </si>
  <si>
    <t>12v</t>
  </si>
  <si>
    <t>12w</t>
  </si>
  <si>
    <t>12x</t>
  </si>
  <si>
    <t>12y</t>
  </si>
  <si>
    <t>12z</t>
  </si>
  <si>
    <t>12aa</t>
  </si>
  <si>
    <t>12bb</t>
  </si>
  <si>
    <t>12cc</t>
  </si>
  <si>
    <t>263A MSC-PA-Norm</t>
  </si>
  <si>
    <t>263A-PA-Norm</t>
  </si>
  <si>
    <t>Accelerated Tax Depr-PA-Norm</t>
  </si>
  <si>
    <t>AFUDC Debt-PA-Norm</t>
  </si>
  <si>
    <t>AFUDC Debt-PA-Norm-Incurred-CWIP</t>
  </si>
  <si>
    <t>AFUDC Debt-PA-Norm-Reversal-CWIP</t>
  </si>
  <si>
    <t>AFUDC Equity/FAS 43-PA-FT</t>
  </si>
  <si>
    <t>AFUDC Equity/FAS 43-PA-FT-Incurred-CWIP</t>
  </si>
  <si>
    <t>AFUDC Equity/FAS 43-PA-FT-Reversal-CWIP</t>
  </si>
  <si>
    <t>ARO-PA-Norm</t>
  </si>
  <si>
    <t>Cap Vertical Tree Trimming-PA-Norm</t>
  </si>
  <si>
    <t>Casualty Loss-PA-Norm</t>
  </si>
  <si>
    <t>Cost of Removal-PA-Norm</t>
  </si>
  <si>
    <t>FAS 123R - Performance Shares-PA-Norm</t>
  </si>
  <si>
    <t>FAS 123R - RSU Capital-PA-Norm</t>
  </si>
  <si>
    <t>G Overheads-PA-Norm</t>
  </si>
  <si>
    <t>Highway Reimbursements-PA-Norm</t>
  </si>
  <si>
    <t>ITC Basis Reduction-PA-Norm</t>
  </si>
  <si>
    <t>OPEBs-PA-Norm</t>
  </si>
  <si>
    <t>Other Basis Differences-PA-Norm</t>
  </si>
  <si>
    <t>Pensions-PA-Norm</t>
  </si>
  <si>
    <t>Pensions-PA-Norm-Incurred-CWIP</t>
  </si>
  <si>
    <t>Pensions-PA-Norm-Reversal-CWIP</t>
  </si>
  <si>
    <t>R&amp;D Cost-PA-Norm</t>
  </si>
  <si>
    <t>Tax Basis Step Up-PA-Norm</t>
  </si>
  <si>
    <t>Tax UoP Repair Disallow Loss-PA-Norm</t>
  </si>
  <si>
    <t>Tax UoP Repair Exp-PA-Norm</t>
  </si>
  <si>
    <t>Tax UoP Repair Exp-PA-Norm-Incurred-CWIP</t>
  </si>
  <si>
    <t>Tax UoP Repair Exp-PA-Norm-Reversal-CWIP</t>
  </si>
  <si>
    <t>Appendix G1, Line 40, Column H</t>
  </si>
  <si>
    <t>2022 Return-to-Accrual Adjustment (Recorded in 2023)</t>
  </si>
  <si>
    <t>12/31/2022 ADIT Balance
(Prior to 2023 PA State Tax)</t>
  </si>
  <si>
    <t>12/31/2022 ADIT Balance
(After 2023 PA State Tax)</t>
  </si>
  <si>
    <t>Change in ADIT due to 2023 PA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</si>
</sst>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87">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rgb="FFFF0000"/>
      <name val="Times New Roman"/>
      <family val="1"/>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b/>
      <u val="single"/>
      <sz val="11"/>
      <name val="Calibri"/>
      <family val="2"/>
      <scheme val="minor"/>
    </font>
  </fonts>
  <fills count="24">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165">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cellStyleXfs>
  <cellXfs count="705">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13" xfId="0" applyFont="1" applyBorder="1" applyAlignment="1">
      <alignment horizontal="center" wrapText="1"/>
    </xf>
    <xf numFmtId="174" fontId="33" fillId="0" borderId="14" xfId="0" applyFont="1" applyBorder="1"/>
    <xf numFmtId="174" fontId="33" fillId="0" borderId="14" xfId="0" applyFont="1" applyBorder="1" applyAlignment="1">
      <alignment horizontal="center" wrapText="1"/>
    </xf>
    <xf numFmtId="0" fontId="33" fillId="0" borderId="14"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13" xfId="0" applyNumberFormat="1" applyFont="1" applyBorder="1"/>
    <xf numFmtId="0" fontId="32" fillId="0" borderId="14" xfId="0" applyNumberFormat="1" applyFont="1" applyBorder="1"/>
    <xf numFmtId="0" fontId="32" fillId="0" borderId="14"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15" xfId="0" applyNumberFormat="1" applyFont="1" applyBorder="1"/>
    <xf numFmtId="0" fontId="32" fillId="0" borderId="10" xfId="0" applyNumberFormat="1" applyFont="1" applyBorder="1"/>
    <xf numFmtId="3" fontId="32" fillId="0" borderId="10" xfId="0" applyNumberFormat="1" applyFont="1" applyBorder="1"/>
    <xf numFmtId="174" fontId="32" fillId="0" borderId="15"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16" xfId="0" applyFont="1" applyBorder="1"/>
    <xf numFmtId="174" fontId="32" fillId="0" borderId="11" xfId="0" applyFont="1" applyBorder="1"/>
    <xf numFmtId="174" fontId="36" fillId="0" borderId="11" xfId="0" applyFont="1" applyBorder="1"/>
    <xf numFmtId="174" fontId="36" fillId="0" borderId="17"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14" xfId="0" applyFont="1" applyBorder="1" applyAlignment="1">
      <alignment horizontal="center"/>
    </xf>
    <xf numFmtId="174" fontId="32" fillId="0" borderId="15"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8" fillId="21" borderId="18" xfId="0" applyFont="1" applyFill="1" applyBorder="1" applyAlignment="1">
      <alignment vertical="center"/>
    </xf>
    <xf numFmtId="174" fontId="59" fillId="21" borderId="2" xfId="0" applyFont="1" applyFill="1" applyBorder="1" applyAlignment="1">
      <alignment vertical="center"/>
    </xf>
    <xf numFmtId="174" fontId="59" fillId="21" borderId="2" xfId="0" applyFont="1" applyFill="1" applyBorder="1" applyAlignment="1">
      <alignment horizontal="center" vertical="center"/>
    </xf>
    <xf numFmtId="174" fontId="59" fillId="21" borderId="19" xfId="0" applyFont="1" applyFill="1" applyBorder="1" applyAlignment="1">
      <alignment vertical="center"/>
    </xf>
    <xf numFmtId="174" fontId="52" fillId="0" borderId="15" xfId="0" applyFont="1" applyBorder="1" applyAlignment="1">
      <alignment vertical="center"/>
    </xf>
    <xf numFmtId="174" fontId="52" fillId="0" borderId="20" xfId="0" applyFont="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19" xfId="0" applyNumberFormat="1" applyFont="1" applyBorder="1"/>
    <xf numFmtId="0" fontId="32" fillId="0" borderId="15" xfId="0" applyNumberFormat="1" applyFont="1" applyBorder="1" applyAlignment="1">
      <alignment horizontal="center"/>
    </xf>
    <xf numFmtId="0" fontId="32" fillId="0" borderId="14" xfId="0" applyNumberFormat="1" applyFont="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Alignment="1">
      <alignment horizontal="right"/>
    </xf>
    <xf numFmtId="174" fontId="59" fillId="0" borderId="0" xfId="0" applyFont="1" applyAlignment="1">
      <alignment horizontal="center" vertical="center"/>
    </xf>
    <xf numFmtId="174" fontId="59" fillId="0" borderId="0" xfId="0" applyFont="1" applyAlignment="1">
      <alignment vertical="center"/>
    </xf>
    <xf numFmtId="174" fontId="57" fillId="0" borderId="0" xfId="0" applyFont="1" applyAlignment="1">
      <alignment horizontal="lef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60" fillId="0" borderId="0" xfId="0" applyFont="1" applyProtection="1">
      <protection locked="0"/>
    </xf>
    <xf numFmtId="174" fontId="12" fillId="0" borderId="0" xfId="0" applyFont="1" applyProtection="1">
      <protection locked="0"/>
    </xf>
    <xf numFmtId="174" fontId="60" fillId="0" borderId="22" xfId="0" applyFont="1" applyBorder="1" applyAlignment="1" applyProtection="1">
      <alignment horizontal="center" wrapText="1"/>
      <protection locked="0"/>
    </xf>
    <xf numFmtId="174" fontId="60" fillId="0" borderId="22" xfId="0" applyFont="1" applyBorder="1" applyProtection="1">
      <protection locked="0"/>
    </xf>
    <xf numFmtId="174" fontId="60" fillId="0" borderId="0" xfId="0" applyFont="1" applyAlignment="1" applyProtection="1">
      <alignment horizontal="center"/>
      <protection locked="0"/>
    </xf>
    <xf numFmtId="179" fontId="60" fillId="0" borderId="0" xfId="0" applyNumberFormat="1" applyFont="1" applyProtection="1">
      <protection locked="0"/>
    </xf>
    <xf numFmtId="174" fontId="61" fillId="0" borderId="0" xfId="0" applyFont="1" applyAlignment="1" applyProtection="1">
      <alignment horizontal="center"/>
      <protection locked="0"/>
    </xf>
    <xf numFmtId="179" fontId="60" fillId="0" borderId="6" xfId="0" applyNumberFormat="1" applyFont="1" applyBorder="1" applyProtection="1">
      <protection locked="0"/>
    </xf>
    <xf numFmtId="174" fontId="60" fillId="0" borderId="6" xfId="0" applyFont="1" applyBorder="1" applyAlignment="1" applyProtection="1">
      <alignment horizontal="center"/>
      <protection locked="0"/>
    </xf>
    <xf numFmtId="174" fontId="12" fillId="0" borderId="6" xfId="0" applyFont="1" applyBorder="1" applyProtection="1">
      <protection locked="0"/>
    </xf>
    <xf numFmtId="179" fontId="60" fillId="0" borderId="0" xfId="0" applyNumberFormat="1" applyFont="1" applyAlignment="1" applyProtection="1">
      <alignment horizontal="left"/>
      <protection locked="0"/>
    </xf>
    <xf numFmtId="0" fontId="61" fillId="0" borderId="0" xfId="0" applyNumberFormat="1" applyFont="1" applyAlignment="1" applyProtection="1">
      <alignment horizontal="left"/>
      <protection locked="0"/>
    </xf>
    <xf numFmtId="174" fontId="61" fillId="0" borderId="0" xfId="0" applyFont="1" applyAlignment="1" applyProtection="1">
      <alignment horizontal="center" wrapText="1"/>
      <protection locked="0"/>
    </xf>
    <xf numFmtId="179" fontId="61" fillId="0" borderId="0" xfId="0" applyNumberFormat="1" applyFont="1" applyAlignment="1" applyProtection="1">
      <alignment horizontal="center" wrapText="1"/>
      <protection locked="0"/>
    </xf>
    <xf numFmtId="183" fontId="60" fillId="0" borderId="0" xfId="15" applyNumberFormat="1" applyFont="1" applyFill="1" applyProtection="1">
      <protection locked="0"/>
    </xf>
    <xf numFmtId="179" fontId="60" fillId="0" borderId="0" xfId="0" applyNumberFormat="1" applyFont="1" applyAlignment="1" applyProtection="1">
      <alignment horizontal="center"/>
      <protection locked="0"/>
    </xf>
    <xf numFmtId="179" fontId="60" fillId="0" borderId="0" xfId="18" applyNumberFormat="1" applyFont="1" applyFill="1" applyProtection="1">
      <protection locked="0"/>
    </xf>
    <xf numFmtId="179" fontId="60" fillId="0" borderId="11" xfId="18" applyNumberFormat="1" applyFont="1" applyFill="1" applyBorder="1" applyProtection="1">
      <protection locked="0"/>
    </xf>
    <xf numFmtId="179" fontId="61" fillId="0" borderId="0" xfId="18" applyNumberFormat="1" applyFont="1" applyFill="1" applyProtection="1">
      <protection locked="0"/>
    </xf>
    <xf numFmtId="174" fontId="12" fillId="0" borderId="0" xfId="0" applyFont="1"/>
    <xf numFmtId="179" fontId="61" fillId="0" borderId="0" xfId="18" applyNumberFormat="1" applyFont="1" applyFill="1" applyAlignment="1" applyProtection="1">
      <alignment horizontal="center"/>
      <protection locked="0"/>
    </xf>
    <xf numFmtId="174" fontId="62"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60" fillId="0" borderId="23" xfId="0" applyFont="1" applyBorder="1" applyAlignment="1" applyProtection="1">
      <alignment horizontal="center" vertical="center" wrapText="1"/>
      <protection locked="0"/>
    </xf>
    <xf numFmtId="174" fontId="60" fillId="0" borderId="0" xfId="0" applyFont="1" applyAlignment="1" applyProtection="1">
      <alignment horizontal="center" vertical="center" wrapText="1"/>
      <protection locked="0"/>
    </xf>
    <xf numFmtId="174" fontId="62"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3" fillId="0" borderId="0" xfId="145" applyFont="1">
      <alignment/>
      <protection/>
    </xf>
    <xf numFmtId="0" fontId="64"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0" borderId="0" xfId="99" applyNumberFormat="1" applyFont="1" applyFill="1">
      <alignment/>
      <protection/>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5" fillId="0" borderId="0" xfId="0" applyFont="1" applyAlignment="1">
      <alignment vertical="center"/>
    </xf>
    <xf numFmtId="174" fontId="66"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7" fillId="0" borderId="0" xfId="18" applyNumberFormat="1" applyFont="1" applyAlignment="1">
      <alignment horizontal="center" vertical="center"/>
    </xf>
    <xf numFmtId="174" fontId="67"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Border="1" applyAlignment="1">
      <alignment horizontal="center" wrapText="1"/>
    </xf>
    <xf numFmtId="0" fontId="32" fillId="0" borderId="24"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3" fillId="0" borderId="0" xfId="149" applyFont="1">
      <alignment/>
      <protection/>
    </xf>
    <xf numFmtId="0" fontId="63"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174" fontId="69" fillId="0" borderId="0" xfId="0" applyFont="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0"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0"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0" borderId="0" xfId="0" applyNumberFormat="1" applyFont="1" applyFill="1" applyAlignment="1">
      <alignment vertical="top"/>
    </xf>
    <xf numFmtId="1" fontId="32" fillId="20"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70" fillId="0" borderId="0" xfId="0" applyFont="1"/>
    <xf numFmtId="0" fontId="70" fillId="0" borderId="0" xfId="0" applyNumberFormat="1" applyFont="1"/>
    <xf numFmtId="174" fontId="71" fillId="0" borderId="0" xfId="0" applyFont="1"/>
    <xf numFmtId="3" fontId="70" fillId="0" borderId="0" xfId="0" applyNumberFormat="1" applyFont="1"/>
    <xf numFmtId="0" fontId="70" fillId="0" borderId="10" xfId="0" applyNumberFormat="1" applyFont="1" applyBorder="1"/>
    <xf numFmtId="174" fontId="71" fillId="0" borderId="10" xfId="0" applyFont="1" applyBorder="1"/>
    <xf numFmtId="174" fontId="71" fillId="0" borderId="17" xfId="0" applyFont="1" applyBorder="1"/>
    <xf numFmtId="0" fontId="74" fillId="0" borderId="0" xfId="0" applyNumberFormat="1" applyFont="1"/>
    <xf numFmtId="165" fontId="74" fillId="0" borderId="0" xfId="0" applyNumberFormat="1" applyFont="1" applyAlignment="1">
      <alignment horizontal="right"/>
    </xf>
    <xf numFmtId="3" fontId="74" fillId="0" borderId="0" xfId="0" applyNumberFormat="1" applyFont="1"/>
    <xf numFmtId="166" fontId="74" fillId="0" borderId="0" xfId="0" applyNumberFormat="1" applyFont="1" applyAlignment="1">
      <alignment horizontal="right"/>
    </xf>
    <xf numFmtId="3" fontId="75" fillId="0" borderId="0" xfId="0" applyNumberFormat="1" applyFont="1"/>
    <xf numFmtId="174" fontId="75" fillId="0" borderId="0" xfId="0" applyFont="1"/>
    <xf numFmtId="174" fontId="76" fillId="0" borderId="0" xfId="0" applyFont="1"/>
    <xf numFmtId="3" fontId="76" fillId="0" borderId="0" xfId="0" applyNumberFormat="1" applyFont="1"/>
    <xf numFmtId="0" fontId="76" fillId="0" borderId="0" xfId="0" applyNumberFormat="1" applyFont="1"/>
    <xf numFmtId="174" fontId="77" fillId="0" borderId="0" xfId="0" applyFont="1"/>
    <xf numFmtId="174" fontId="78" fillId="0" borderId="0" xfId="0" applyFont="1"/>
    <xf numFmtId="174" fontId="76" fillId="0" borderId="0" xfId="0" applyFont="1" applyAlignment="1">
      <alignment horizontal="left" wrapText="1"/>
    </xf>
    <xf numFmtId="9" fontId="32" fillId="0" borderId="0" xfId="15" applyFont="1" applyFill="1" applyBorder="1" applyAlignment="1">
      <alignment/>
    </xf>
    <xf numFmtId="1" fontId="72" fillId="0" borderId="0" xfId="18" applyNumberFormat="1" applyFont="1" applyFill="1" applyBorder="1" applyAlignment="1">
      <alignment/>
    </xf>
    <xf numFmtId="44" fontId="32" fillId="0" borderId="10" xfId="16" applyFont="1" applyFill="1" applyBorder="1" applyAlignment="1">
      <alignment/>
    </xf>
    <xf numFmtId="174" fontId="70" fillId="0" borderId="0" xfId="0" applyFont="1" applyAlignment="1">
      <alignment horizontal="center" vertical="center"/>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60" fillId="20" borderId="23" xfId="0" applyFont="1" applyFill="1" applyBorder="1" applyAlignment="1" applyProtection="1">
      <alignment horizontal="center" vertical="center" wrapText="1"/>
      <protection locked="0"/>
    </xf>
    <xf numFmtId="170" fontId="60" fillId="20" borderId="28" xfId="0" applyNumberFormat="1" applyFont="1" applyFill="1" applyBorder="1" applyAlignment="1" applyProtection="1">
      <alignment horizontal="center"/>
      <protection locked="0"/>
    </xf>
    <xf numFmtId="183" fontId="60" fillId="20" borderId="0" xfId="15" applyNumberFormat="1" applyFont="1" applyFill="1" applyProtection="1">
      <protection locked="0"/>
    </xf>
    <xf numFmtId="0" fontId="61" fillId="20" borderId="0" xfId="0" applyNumberFormat="1" applyFont="1" applyFill="1" applyAlignment="1" applyProtection="1">
      <alignment horizontal="left"/>
      <protection locked="0"/>
    </xf>
    <xf numFmtId="174" fontId="60" fillId="20" borderId="0" xfId="0" applyFont="1" applyFill="1" applyAlignment="1" applyProtection="1">
      <alignment horizontal="center"/>
      <protection locked="0"/>
    </xf>
    <xf numFmtId="174" fontId="60" fillId="20" borderId="0" xfId="0" applyFont="1" applyFill="1" applyProtection="1">
      <protection locked="0"/>
    </xf>
    <xf numFmtId="179" fontId="80" fillId="20" borderId="0" xfId="154" applyNumberFormat="1" applyFont="1" applyFill="1" applyAlignment="1">
      <alignment vertical="center"/>
    </xf>
    <xf numFmtId="179" fontId="80" fillId="20" borderId="11" xfId="154" applyNumberFormat="1" applyFont="1" applyFill="1" applyBorder="1" applyAlignment="1">
      <alignment vertical="center"/>
    </xf>
    <xf numFmtId="179" fontId="80" fillId="20" borderId="0" xfId="154" applyNumberFormat="1" applyFont="1" applyFill="1" applyBorder="1" applyAlignment="1">
      <alignment vertical="center"/>
    </xf>
    <xf numFmtId="183" fontId="60" fillId="0" borderId="0" xfId="0" applyNumberFormat="1" applyFont="1" applyProtection="1">
      <protection locked="0"/>
    </xf>
    <xf numFmtId="0" fontId="60" fillId="0" borderId="0" xfId="0" applyNumberFormat="1" applyFont="1" applyProtection="1">
      <protection locked="0"/>
    </xf>
    <xf numFmtId="0" fontId="60" fillId="0" borderId="0" xfId="0" applyNumberFormat="1" applyFont="1"/>
    <xf numFmtId="179" fontId="61"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60" fillId="0" borderId="28" xfId="16" applyNumberFormat="1" applyFont="1" applyFill="1" applyBorder="1" applyAlignment="1" applyProtection="1">
      <alignment horizontal="center"/>
      <protection locked="0"/>
    </xf>
    <xf numFmtId="174" fontId="60" fillId="0" borderId="0" xfId="0" applyFont="1" applyAlignment="1" applyProtection="1">
      <alignment wrapText="1"/>
      <protection locked="0"/>
    </xf>
    <xf numFmtId="174" fontId="60" fillId="20" borderId="0" xfId="0" applyFont="1" applyFill="1" applyAlignment="1" applyProtection="1">
      <alignment vertical="center"/>
      <protection locked="0"/>
    </xf>
    <xf numFmtId="179" fontId="60" fillId="0" borderId="0" xfId="0" applyNumberFormat="1" applyFont="1" applyAlignment="1" applyProtection="1">
      <alignment vertical="center"/>
      <protection locked="0"/>
    </xf>
    <xf numFmtId="183" fontId="60" fillId="0" borderId="0" xfId="0" applyNumberFormat="1" applyFont="1" applyAlignment="1" applyProtection="1">
      <alignment vertical="center"/>
      <protection locked="0"/>
    </xf>
    <xf numFmtId="0" fontId="60" fillId="0" borderId="0" xfId="0" applyNumberFormat="1" applyFont="1" applyAlignment="1" applyProtection="1">
      <alignment vertical="center"/>
      <protection locked="0"/>
    </xf>
    <xf numFmtId="179" fontId="60" fillId="0" borderId="0" xfId="18" applyNumberFormat="1" applyFont="1" applyFill="1" applyAlignment="1" applyProtection="1">
      <alignment vertical="center"/>
      <protection locked="0"/>
    </xf>
    <xf numFmtId="179" fontId="61"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1" fillId="20" borderId="0" xfId="0" applyFont="1" applyFill="1" applyAlignment="1">
      <alignment horizontal="left"/>
    </xf>
    <xf numFmtId="174" fontId="32" fillId="20" borderId="0" xfId="0" applyFont="1" applyFill="1"/>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0" fontId="73"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14" xfId="0" applyNumberFormat="1" applyFont="1" applyBorder="1" applyAlignment="1">
      <alignment horizontal="center" wrapText="1"/>
    </xf>
    <xf numFmtId="3" fontId="32" fillId="0" borderId="14" xfId="0" applyNumberFormat="1" applyFont="1" applyBorder="1" applyAlignment="1">
      <alignment horizontal="center"/>
    </xf>
    <xf numFmtId="175" fontId="36" fillId="0" borderId="0" xfId="16" applyNumberFormat="1" applyFont="1" applyFill="1" applyBorder="1" applyAlignment="1">
      <alignment/>
    </xf>
    <xf numFmtId="175" fontId="74" fillId="0" borderId="0" xfId="16" applyNumberFormat="1" applyFont="1" applyFill="1" applyBorder="1" applyAlignment="1">
      <alignment/>
    </xf>
    <xf numFmtId="174" fontId="32" fillId="20" borderId="0" xfId="0" applyFont="1" applyFill="1" applyAlignment="1">
      <alignment horizontal="left"/>
    </xf>
    <xf numFmtId="174" fontId="33" fillId="0" borderId="0" xfId="0" applyFont="1" applyAlignment="1">
      <alignment vertical="center"/>
    </xf>
    <xf numFmtId="179" fontId="32" fillId="20" borderId="0" xfId="18" applyNumberFormat="1" applyFont="1" applyFill="1" applyAlignment="1">
      <alignment/>
    </xf>
    <xf numFmtId="179" fontId="32" fillId="0" borderId="0" xfId="15" applyNumberFormat="1" applyFont="1" applyAlignment="1">
      <alignment horizontal="right"/>
    </xf>
    <xf numFmtId="179" fontId="80" fillId="0" borderId="0" xfId="154" applyNumberFormat="1" applyFont="1" applyFill="1" applyAlignment="1">
      <alignment vertical="center"/>
    </xf>
    <xf numFmtId="179" fontId="80"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2" fillId="0" borderId="0" xfId="156" applyNumberFormat="1" applyFont="1" applyAlignment="1">
      <alignment horizontal="center" wrapText="1"/>
      <protection/>
    </xf>
    <xf numFmtId="0" fontId="79" fillId="0" borderId="29" xfId="155" applyFont="1" applyBorder="1" applyAlignment="1">
      <alignment horizontal="center"/>
      <protection/>
    </xf>
    <xf numFmtId="37" fontId="2" fillId="0" borderId="30" xfId="155" applyNumberFormat="1" applyBorder="1">
      <alignment/>
      <protection/>
    </xf>
    <xf numFmtId="0" fontId="2" fillId="0" borderId="31" xfId="155" applyBorder="1">
      <alignment/>
      <protection/>
    </xf>
    <xf numFmtId="0" fontId="2" fillId="0" borderId="26" xfId="155" applyBorder="1">
      <alignment/>
      <protection/>
    </xf>
    <xf numFmtId="0" fontId="2" fillId="0" borderId="32" xfId="155" applyBorder="1">
      <alignment/>
      <protection/>
    </xf>
    <xf numFmtId="0" fontId="79" fillId="0" borderId="33" xfId="155" applyFont="1" applyBorder="1" applyAlignment="1">
      <alignment wrapText="1"/>
      <protection/>
    </xf>
    <xf numFmtId="0" fontId="79" fillId="0" borderId="0" xfId="155" applyFont="1" applyAlignment="1">
      <alignment horizontal="left" indent="2"/>
      <protection/>
    </xf>
    <xf numFmtId="0" fontId="2" fillId="0" borderId="0" xfId="155" applyAlignment="1">
      <alignment horizontal="center" wrapText="1"/>
      <protection/>
    </xf>
    <xf numFmtId="0" fontId="79" fillId="0" borderId="0" xfId="155" applyFont="1" applyAlignment="1">
      <alignment horizontal="center" wrapText="1"/>
      <protection/>
    </xf>
    <xf numFmtId="0" fontId="79" fillId="0" borderId="27" xfId="155" applyFont="1" applyBorder="1" applyAlignment="1">
      <alignment horizontal="center" wrapText="1"/>
      <protection/>
    </xf>
    <xf numFmtId="37" fontId="2" fillId="0" borderId="27" xfId="155" applyNumberFormat="1" applyBorder="1">
      <alignment/>
      <protection/>
    </xf>
    <xf numFmtId="37" fontId="2" fillId="0" borderId="33" xfId="155" applyNumberFormat="1" applyBorder="1">
      <alignment/>
      <protection/>
    </xf>
    <xf numFmtId="37" fontId="79" fillId="0" borderId="33" xfId="155" applyNumberFormat="1" applyFont="1" applyBorder="1" applyAlignment="1">
      <alignment wrapText="1"/>
      <protection/>
    </xf>
    <xf numFmtId="37" fontId="79" fillId="0" borderId="0" xfId="155" applyNumberFormat="1" applyFont="1">
      <alignment/>
      <protection/>
    </xf>
    <xf numFmtId="37" fontId="79" fillId="0" borderId="33" xfId="155" applyNumberFormat="1" applyFont="1" applyBorder="1">
      <alignment/>
      <protection/>
    </xf>
    <xf numFmtId="0" fontId="2" fillId="0" borderId="20" xfId="155" applyBorder="1">
      <alignment/>
      <protection/>
    </xf>
    <xf numFmtId="37" fontId="79" fillId="0" borderId="34" xfId="155" applyNumberFormat="1" applyFont="1" applyBorder="1">
      <alignment/>
      <protection/>
    </xf>
    <xf numFmtId="37" fontId="2" fillId="0" borderId="6" xfId="155" applyNumberFormat="1" applyBorder="1">
      <alignment/>
      <protection/>
    </xf>
    <xf numFmtId="37" fontId="79" fillId="0" borderId="6" xfId="155" applyNumberFormat="1" applyFont="1" applyBorder="1">
      <alignment/>
      <protection/>
    </xf>
    <xf numFmtId="37" fontId="2" fillId="0" borderId="35" xfId="155" applyNumberFormat="1" applyBorder="1">
      <alignment/>
      <protection/>
    </xf>
    <xf numFmtId="0" fontId="79" fillId="0" borderId="0" xfId="155" applyFont="1" applyAlignment="1">
      <alignment wrapText="1"/>
      <protection/>
    </xf>
    <xf numFmtId="179" fontId="79"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80"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79" fillId="0" borderId="0" xfId="155" applyNumberFormat="1" applyFont="1">
      <alignment/>
      <protection/>
    </xf>
    <xf numFmtId="179" fontId="2" fillId="0" borderId="0" xfId="18" applyNumberFormat="1" applyFont="1"/>
    <xf numFmtId="0" fontId="79" fillId="0" borderId="0" xfId="155" applyFont="1">
      <alignment/>
      <protection/>
    </xf>
    <xf numFmtId="0" fontId="79" fillId="0" borderId="0" xfId="155" applyFont="1" applyAlignment="1">
      <alignment vertical="top"/>
      <protection/>
    </xf>
    <xf numFmtId="0" fontId="79"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0"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1" xfId="0" applyNumberFormat="1" applyFont="1" applyFill="1" applyBorder="1" applyAlignment="1">
      <alignment horizontal="left" vertical="center"/>
    </xf>
    <xf numFmtId="1" fontId="54" fillId="22" borderId="34" xfId="0" applyNumberFormat="1" applyFont="1" applyFill="1" applyBorder="1" applyAlignment="1">
      <alignment horizontal="left" vertical="center"/>
    </xf>
    <xf numFmtId="1" fontId="52" fillId="0" borderId="33"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4"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2"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5"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5"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80" fillId="0" borderId="0" xfId="0" applyFont="1"/>
    <xf numFmtId="174" fontId="83" fillId="0" borderId="0" xfId="0" applyFont="1"/>
    <xf numFmtId="1" fontId="83" fillId="0" borderId="0" xfId="0" applyNumberFormat="1" applyFont="1" applyAlignment="1">
      <alignment horizontal="center"/>
    </xf>
    <xf numFmtId="1" fontId="80" fillId="0" borderId="0" xfId="0" applyNumberFormat="1" applyFont="1" applyAlignment="1">
      <alignment horizontal="center"/>
    </xf>
    <xf numFmtId="174" fontId="80" fillId="20" borderId="0" xfId="0" applyFont="1" applyFill="1"/>
    <xf numFmtId="2" fontId="80" fillId="20" borderId="0" xfId="0" applyNumberFormat="1" applyFont="1" applyFill="1" applyAlignment="1">
      <alignment horizontal="center"/>
    </xf>
    <xf numFmtId="1" fontId="80" fillId="20" borderId="0" xfId="0" applyNumberFormat="1" applyFont="1" applyFill="1" applyAlignment="1">
      <alignment horizontal="center"/>
    </xf>
    <xf numFmtId="179" fontId="80" fillId="0" borderId="0" xfId="18" applyNumberFormat="1" applyFont="1" applyAlignment="1">
      <alignment/>
    </xf>
    <xf numFmtId="179" fontId="83" fillId="0" borderId="0" xfId="18" applyNumberFormat="1" applyFont="1" applyAlignment="1">
      <alignment horizontal="center" wrapText="1"/>
    </xf>
    <xf numFmtId="1" fontId="83" fillId="0" borderId="0" xfId="18" applyNumberFormat="1" applyFont="1" applyAlignment="1">
      <alignment horizontal="center"/>
    </xf>
    <xf numFmtId="174" fontId="80" fillId="0" borderId="0" xfId="0" applyFont="1" applyAlignment="1">
      <alignment horizontal="center"/>
    </xf>
    <xf numFmtId="179" fontId="80" fillId="0" borderId="0" xfId="18" applyNumberFormat="1" applyFont="1" applyAlignment="1">
      <alignment horizontal="center"/>
    </xf>
    <xf numFmtId="179" fontId="80" fillId="20" borderId="0" xfId="18" applyNumberFormat="1" applyFont="1" applyFill="1" applyAlignment="1">
      <alignment/>
    </xf>
    <xf numFmtId="179" fontId="80" fillId="20" borderId="11" xfId="18" applyNumberFormat="1" applyFont="1" applyFill="1" applyBorder="1" applyAlignment="1">
      <alignment/>
    </xf>
    <xf numFmtId="2" fontId="80" fillId="0" borderId="0" xfId="0" applyNumberFormat="1" applyFont="1" applyAlignment="1">
      <alignment horizontal="center"/>
    </xf>
    <xf numFmtId="179" fontId="2" fillId="0" borderId="0" xfId="18" applyNumberFormat="1" applyFont="1" applyFill="1"/>
    <xf numFmtId="179" fontId="80" fillId="0" borderId="11" xfId="18" applyNumberFormat="1" applyFont="1" applyBorder="1" applyAlignment="1">
      <alignment/>
    </xf>
    <xf numFmtId="0" fontId="2" fillId="0" borderId="0" xfId="155" applyFont="1">
      <alignment/>
      <protection/>
    </xf>
    <xf numFmtId="0" fontId="2" fillId="20" borderId="0" xfId="155" applyFill="1" applyAlignment="1">
      <alignment horizontal="center"/>
      <protection/>
    </xf>
    <xf numFmtId="1" fontId="80" fillId="0" borderId="0" xfId="0" applyNumberFormat="1" applyFont="1" applyAlignment="1">
      <alignment horizontal="center" vertical="top"/>
    </xf>
    <xf numFmtId="174" fontId="80" fillId="0" borderId="0" xfId="0" applyFont="1" applyAlignment="1">
      <alignment vertical="top"/>
    </xf>
    <xf numFmtId="0" fontId="32" fillId="20" borderId="0" xfId="0" applyNumberFormat="1" applyFont="1" applyFill="1" applyAlignment="1">
      <alignment horizontal="right"/>
    </xf>
    <xf numFmtId="49" fontId="84" fillId="0" borderId="0" xfId="18" applyNumberFormat="1" applyFont="1" applyFill="1" applyBorder="1" applyAlignment="1">
      <alignment horizontal="right" vertical="top"/>
    </xf>
    <xf numFmtId="179" fontId="72" fillId="0" borderId="0" xfId="18" applyNumberFormat="1" applyFont="1" applyFill="1" applyBorder="1" applyAlignment="1">
      <alignment vertical="top"/>
    </xf>
    <xf numFmtId="174" fontId="72" fillId="0" borderId="0" xfId="0" applyFont="1" applyAlignment="1">
      <alignment horizontal="right"/>
    </xf>
    <xf numFmtId="174" fontId="72" fillId="0" borderId="0" xfId="0" applyFont="1"/>
    <xf numFmtId="0" fontId="32" fillId="0" borderId="0" xfId="0" applyNumberFormat="1" applyFont="1" applyAlignment="1">
      <alignment horizontal="center" vertical="center"/>
    </xf>
    <xf numFmtId="179" fontId="32" fillId="0" borderId="0" xfId="15" applyNumberFormat="1" applyFont="1" applyFill="1" applyAlignment="1">
      <alignment horizontal="right"/>
    </xf>
    <xf numFmtId="179" fontId="52" fillId="20" borderId="0" xfId="18" applyNumberFormat="1" applyFont="1" applyFill="1" applyAlignment="1">
      <alignment vertical="center"/>
    </xf>
    <xf numFmtId="174" fontId="54" fillId="0" borderId="0" xfId="0" applyFont="1" applyAlignment="1">
      <alignment horizontal="left" vertical="center"/>
    </xf>
    <xf numFmtId="174" fontId="80" fillId="0" borderId="0" xfId="0" applyFont="1" applyAlignment="1">
      <alignment horizontal="left"/>
    </xf>
    <xf numFmtId="179" fontId="83" fillId="0" borderId="0" xfId="18" applyNumberFormat="1" applyFont="1" applyFill="1" applyAlignment="1">
      <alignment/>
    </xf>
    <xf numFmtId="179" fontId="80" fillId="0" borderId="0" xfId="18" applyNumberFormat="1" applyFont="1" applyFill="1" applyAlignment="1">
      <alignment/>
    </xf>
    <xf numFmtId="1" fontId="83" fillId="0" borderId="0" xfId="0" applyNumberFormat="1" applyFont="1" applyAlignment="1">
      <alignment horizontal="left" vertical="center"/>
    </xf>
    <xf numFmtId="1" fontId="83" fillId="0" borderId="0" xfId="0" applyNumberFormat="1" applyFont="1" applyAlignment="1">
      <alignment vertical="center"/>
    </xf>
    <xf numFmtId="0" fontId="80" fillId="0" borderId="0" xfId="0" applyNumberFormat="1" applyFont="1" applyAlignment="1">
      <alignment horizontal="right"/>
    </xf>
    <xf numFmtId="0" fontId="83" fillId="0" borderId="0" xfId="151" applyFont="1" applyAlignment="1">
      <alignment vertical="top"/>
      <protection/>
    </xf>
    <xf numFmtId="0" fontId="83" fillId="0" borderId="0" xfId="152" applyFont="1" applyAlignment="1">
      <alignment horizontal="center" vertical="center"/>
      <protection/>
    </xf>
    <xf numFmtId="0" fontId="80" fillId="0" borderId="0" xfId="152" applyFont="1" applyAlignment="1">
      <alignment horizontal="right"/>
      <protection/>
    </xf>
    <xf numFmtId="0" fontId="83" fillId="0" borderId="12" xfId="151" applyFont="1" applyBorder="1" applyAlignment="1">
      <alignment horizontal="center" vertical="center" wrapText="1"/>
      <protection/>
    </xf>
    <xf numFmtId="0" fontId="83" fillId="20" borderId="12" xfId="151" applyFont="1" applyFill="1" applyBorder="1" applyAlignment="1">
      <alignment horizontal="center" vertical="center" wrapText="1"/>
      <protection/>
    </xf>
    <xf numFmtId="0" fontId="83" fillId="0" borderId="0" xfId="151" applyFont="1" applyAlignment="1">
      <alignment horizontal="left" vertical="center" wrapText="1"/>
      <protection/>
    </xf>
    <xf numFmtId="0" fontId="83" fillId="0" borderId="0" xfId="151" applyFont="1" applyAlignment="1">
      <alignment vertical="center" wrapText="1"/>
      <protection/>
    </xf>
    <xf numFmtId="0" fontId="83" fillId="0" borderId="0" xfId="151" applyFont="1" applyAlignment="1">
      <alignment horizontal="center" vertical="center" wrapText="1"/>
      <protection/>
    </xf>
    <xf numFmtId="0" fontId="83" fillId="0" borderId="0" xfId="151" applyFont="1" applyAlignment="1">
      <alignment horizontal="left" wrapText="1"/>
      <protection/>
    </xf>
    <xf numFmtId="0" fontId="83" fillId="20" borderId="0" xfId="151" applyFont="1" applyFill="1">
      <alignment/>
      <protection/>
    </xf>
    <xf numFmtId="179" fontId="83" fillId="0" borderId="0" xfId="154" applyNumberFormat="1" applyFont="1" applyFill="1" applyBorder="1"/>
    <xf numFmtId="179" fontId="80" fillId="0" borderId="0" xfId="154" applyNumberFormat="1" applyFont="1"/>
    <xf numFmtId="0" fontId="83" fillId="0" borderId="0" xfId="151" applyFont="1">
      <alignment/>
      <protection/>
    </xf>
    <xf numFmtId="179" fontId="80" fillId="0" borderId="0" xfId="154" applyNumberFormat="1" applyFont="1" applyAlignment="1">
      <alignment horizontal="center"/>
    </xf>
    <xf numFmtId="179" fontId="83" fillId="0" borderId="0" xfId="151" applyNumberFormat="1" applyFont="1">
      <alignment/>
      <protection/>
    </xf>
    <xf numFmtId="179" fontId="83" fillId="0" borderId="0" xfId="154" applyNumberFormat="1" applyFont="1" applyFill="1"/>
    <xf numFmtId="179" fontId="83" fillId="20" borderId="0" xfId="154" applyNumberFormat="1" applyFont="1" applyFill="1"/>
    <xf numFmtId="179" fontId="80" fillId="0" borderId="0" xfId="154" applyNumberFormat="1" applyFont="1" applyFill="1" applyAlignment="1">
      <alignment vertical="top"/>
    </xf>
    <xf numFmtId="179" fontId="83" fillId="0" borderId="0" xfId="154" applyNumberFormat="1" applyFont="1" applyFill="1" applyBorder="1" applyAlignment="1">
      <alignment vertical="top"/>
    </xf>
    <xf numFmtId="179" fontId="80" fillId="0" borderId="0" xfId="154" applyNumberFormat="1" applyFont="1" applyFill="1"/>
    <xf numFmtId="43" fontId="83" fillId="0" borderId="0" xfId="151" applyNumberFormat="1" applyFont="1" applyAlignment="1">
      <alignment horizontal="center" vertical="center" wrapText="1"/>
      <protection/>
    </xf>
    <xf numFmtId="0" fontId="80" fillId="20" borderId="0" xfId="0" applyNumberFormat="1" applyFont="1" applyFill="1" applyAlignment="1">
      <alignment horizontal="right"/>
    </xf>
    <xf numFmtId="179" fontId="80" fillId="20" borderId="0" xfId="154" applyNumberFormat="1" applyFont="1" applyFill="1"/>
    <xf numFmtId="179" fontId="83" fillId="20" borderId="0" xfId="154" applyNumberFormat="1" applyFont="1" applyFill="1" applyBorder="1"/>
    <xf numFmtId="174" fontId="32" fillId="23" borderId="0" xfId="0" applyFont="1" applyFill="1" applyAlignment="1">
      <alignment horizontal="center" wrapText="1"/>
    </xf>
    <xf numFmtId="174" fontId="32" fillId="20" borderId="0" xfId="0" applyFont="1" applyFill="1" applyAlignment="1">
      <alignment horizontal="right" vertical="center"/>
    </xf>
    <xf numFmtId="0" fontId="80" fillId="0" borderId="0" xfId="151" applyFont="1" applyAlignment="1">
      <alignment vertical="center"/>
      <protection/>
    </xf>
    <xf numFmtId="0" fontId="80" fillId="20" borderId="0" xfId="151" applyFont="1" applyFill="1" applyAlignment="1">
      <alignment horizontal="left" wrapText="1"/>
      <protection/>
    </xf>
    <xf numFmtId="1" fontId="80" fillId="0" borderId="0" xfId="0" applyNumberFormat="1" applyFont="1" applyAlignment="1">
      <alignment horizontal="left" vertical="center"/>
    </xf>
    <xf numFmtId="0" fontId="80" fillId="0" borderId="12" xfId="151" applyFont="1" applyBorder="1" applyAlignment="1">
      <alignment horizontal="left" vertical="center" wrapText="1"/>
      <protection/>
    </xf>
    <xf numFmtId="0" fontId="80"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80" fillId="0" borderId="0" xfId="155" applyFont="1" applyAlignment="1">
      <alignment horizontal="left"/>
      <protection/>
    </xf>
    <xf numFmtId="0" fontId="80" fillId="0" borderId="0" xfId="155" applyFont="1" applyAlignment="1">
      <alignment horizontal="left" wrapText="1"/>
      <protection/>
    </xf>
    <xf numFmtId="0" fontId="80" fillId="0" borderId="0" xfId="155" applyFont="1">
      <alignment/>
      <protection/>
    </xf>
    <xf numFmtId="0" fontId="83" fillId="0" borderId="0" xfId="155" applyFont="1" applyAlignment="1">
      <alignment vertical="top"/>
      <protection/>
    </xf>
    <xf numFmtId="0" fontId="80" fillId="0" borderId="0" xfId="151" applyFont="1">
      <alignment/>
      <protection/>
    </xf>
    <xf numFmtId="0" fontId="80" fillId="0" borderId="0" xfId="159" applyFont="1">
      <alignment/>
      <protection/>
    </xf>
    <xf numFmtId="0" fontId="80" fillId="0" borderId="0" xfId="159" applyFont="1" applyAlignment="1">
      <alignment horizontal="center"/>
      <protection/>
    </xf>
    <xf numFmtId="0" fontId="85" fillId="0" borderId="0" xfId="153" applyFont="1" applyAlignment="1">
      <alignment horizontal="center"/>
      <protection/>
    </xf>
    <xf numFmtId="0" fontId="80" fillId="0" borderId="0" xfId="159" applyFont="1" applyAlignment="1">
      <alignment horizontal="left"/>
      <protection/>
    </xf>
    <xf numFmtId="0" fontId="83" fillId="0" borderId="0" xfId="159" applyFont="1">
      <alignment/>
      <protection/>
    </xf>
    <xf numFmtId="0" fontId="83" fillId="0" borderId="0" xfId="159" applyFont="1" applyAlignment="1">
      <alignment horizontal="right"/>
      <protection/>
    </xf>
    <xf numFmtId="0" fontId="80" fillId="0" borderId="0" xfId="159" applyFont="1" applyAlignment="1">
      <alignment horizontal="center" vertical="center"/>
      <protection/>
    </xf>
    <xf numFmtId="0" fontId="80" fillId="0" borderId="12" xfId="159" applyFont="1" applyBorder="1" applyAlignment="1">
      <alignment horizontal="center" vertical="center" wrapText="1"/>
      <protection/>
    </xf>
    <xf numFmtId="0" fontId="80" fillId="0" borderId="0" xfId="159" applyFont="1" applyAlignment="1">
      <alignment horizontal="left" vertical="center"/>
      <protection/>
    </xf>
    <xf numFmtId="0" fontId="80" fillId="20" borderId="17" xfId="159" applyFont="1" applyFill="1" applyBorder="1" applyAlignment="1">
      <alignment horizontal="center" vertical="center" wrapText="1"/>
      <protection/>
    </xf>
    <xf numFmtId="0" fontId="80" fillId="0" borderId="17" xfId="159" applyFont="1" applyBorder="1" applyAlignment="1">
      <alignment horizontal="center" vertical="center" wrapText="1"/>
      <protection/>
    </xf>
    <xf numFmtId="0" fontId="80" fillId="0" borderId="24" xfId="159" applyFont="1" applyBorder="1" applyAlignment="1">
      <alignment horizontal="center" vertical="center" wrapText="1"/>
      <protection/>
    </xf>
    <xf numFmtId="0" fontId="80" fillId="20" borderId="24" xfId="159" applyFont="1" applyFill="1" applyBorder="1" applyAlignment="1">
      <alignment horizontal="center" vertical="center" wrapText="1"/>
      <protection/>
    </xf>
    <xf numFmtId="0" fontId="80" fillId="0" borderId="0" xfId="159" applyFont="1" applyAlignment="1">
      <alignment horizontal="center" vertical="center" wrapText="1"/>
      <protection/>
    </xf>
    <xf numFmtId="0" fontId="83" fillId="0" borderId="0" xfId="151" applyFont="1" applyAlignment="1">
      <alignment horizontal="center" wrapText="1"/>
      <protection/>
    </xf>
    <xf numFmtId="0" fontId="80" fillId="20" borderId="0" xfId="151" applyFont="1" applyFill="1" applyAlignment="1">
      <alignment horizontal="left"/>
      <protection/>
    </xf>
    <xf numFmtId="179" fontId="80" fillId="0" borderId="0" xfId="159" applyNumberFormat="1" applyFont="1">
      <alignment/>
      <protection/>
    </xf>
    <xf numFmtId="174" fontId="0" fillId="0" borderId="0" xfId="0" applyFont="1"/>
    <xf numFmtId="0" fontId="80" fillId="0" borderId="0" xfId="151" applyFont="1" applyAlignment="1">
      <alignment horizontal="left"/>
      <protection/>
    </xf>
    <xf numFmtId="0" fontId="80" fillId="0" borderId="0" xfId="162" applyFont="1" applyAlignment="1">
      <alignment vertical="top" wrapText="1"/>
      <protection/>
    </xf>
    <xf numFmtId="0" fontId="83" fillId="0" borderId="12" xfId="151" applyFont="1" applyBorder="1" applyAlignment="1">
      <alignment horizontal="left" vertical="center" wrapText="1"/>
      <protection/>
    </xf>
    <xf numFmtId="179" fontId="80" fillId="0" borderId="0" xfId="154" applyNumberFormat="1" applyFont="1" applyFill="1" applyAlignment="1">
      <alignment horizontal="center"/>
    </xf>
    <xf numFmtId="0" fontId="83" fillId="0" borderId="0" xfId="151" applyFont="1" applyAlignment="1">
      <alignment horizontal="left"/>
      <protection/>
    </xf>
    <xf numFmtId="0" fontId="80" fillId="0" borderId="0" xfId="151" applyFont="1" applyAlignment="1">
      <alignment horizontal="center" vertical="center"/>
      <protection/>
    </xf>
    <xf numFmtId="0" fontId="80" fillId="20" borderId="0" xfId="151" applyFont="1" applyFill="1">
      <alignment/>
      <protection/>
    </xf>
    <xf numFmtId="179" fontId="80" fillId="0" borderId="0" xfId="151" applyNumberFormat="1" applyFont="1">
      <alignment/>
      <protection/>
    </xf>
    <xf numFmtId="0" fontId="80" fillId="20" borderId="0" xfId="151" applyFont="1" applyFill="1" applyAlignment="1">
      <alignment horizontal="center"/>
      <protection/>
    </xf>
    <xf numFmtId="0" fontId="80" fillId="0" borderId="0" xfId="151" applyFont="1" applyAlignment="1">
      <alignment horizontal="center"/>
      <protection/>
    </xf>
    <xf numFmtId="179" fontId="80" fillId="0" borderId="11" xfId="151" applyNumberFormat="1" applyFont="1" applyBorder="1">
      <alignment/>
      <protection/>
    </xf>
    <xf numFmtId="179" fontId="83" fillId="0" borderId="0" xfId="154" applyNumberFormat="1" applyFont="1" applyFill="1" applyBorder="1" applyAlignment="1">
      <alignment vertical="center"/>
    </xf>
    <xf numFmtId="0" fontId="80" fillId="0" borderId="0" xfId="151" applyFont="1" applyAlignment="1">
      <alignment horizontal="left" vertical="top"/>
      <protection/>
    </xf>
    <xf numFmtId="0" fontId="80" fillId="0" borderId="0" xfId="151" applyFont="1" applyAlignment="1">
      <alignment vertical="top"/>
      <protection/>
    </xf>
    <xf numFmtId="174" fontId="33" fillId="0" borderId="0" xfId="0" applyFont="1" applyAlignment="1">
      <alignment horizontal="left" vertical="center"/>
    </xf>
    <xf numFmtId="0" fontId="32" fillId="20"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36"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0" borderId="0" xfId="18" applyNumberFormat="1" applyFont="1" applyFill="1"/>
    <xf numFmtId="171" fontId="32" fillId="0" borderId="0" xfId="15" applyNumberFormat="1" applyFont="1" applyFill="1"/>
    <xf numFmtId="174" fontId="32" fillId="0" borderId="0" xfId="0" applyFont="1" applyAlignment="1">
      <alignment horizontal="left"/>
    </xf>
    <xf numFmtId="171" fontId="32" fillId="0" borderId="0" xfId="0" applyNumberFormat="1" applyFont="1"/>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0"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36"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36"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0" borderId="0" xfId="18" applyFont="1" applyFill="1" applyAlignment="1">
      <alignment/>
    </xf>
    <xf numFmtId="43" fontId="32" fillId="20"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0"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0" borderId="0" xfId="18" applyNumberFormat="1" applyFont="1" applyFill="1" applyBorder="1" applyProtection="1">
      <protection locked="0"/>
    </xf>
    <xf numFmtId="38" fontId="32" fillId="0" borderId="0" xfId="0" applyNumberFormat="1" applyFont="1" applyProtection="1">
      <protection/>
    </xf>
    <xf numFmtId="179" fontId="32" fillId="20"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0" borderId="0" xfId="18" applyNumberFormat="1" applyFont="1" applyFill="1" applyBorder="1" applyProtection="1">
      <protection/>
    </xf>
    <xf numFmtId="1" fontId="32" fillId="0" borderId="0" xfId="0" applyNumberFormat="1" applyFont="1" applyProtection="1">
      <protection/>
    </xf>
    <xf numFmtId="179" fontId="32" fillId="20" borderId="0" xfId="18" applyNumberFormat="1" applyFont="1" applyFill="1" applyBorder="1" applyAlignment="1" applyProtection="1">
      <alignment/>
      <protection locked="0"/>
    </xf>
    <xf numFmtId="3" fontId="32" fillId="0" borderId="0" xfId="0" applyNumberFormat="1" applyFont="1" applyProtection="1">
      <protection/>
    </xf>
    <xf numFmtId="170" fontId="32" fillId="0" borderId="0" xfId="0" applyNumberFormat="1" applyFont="1" applyProtection="1">
      <protection locked="0"/>
    </xf>
    <xf numFmtId="3" fontId="32" fillId="0" borderId="0" xfId="0" applyNumberFormat="1" applyFont="1" applyAlignment="1" applyProtection="1">
      <alignment horizontal="right"/>
      <protection locked="0"/>
    </xf>
    <xf numFmtId="170"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0" borderId="0" xfId="18" applyFont="1" applyFill="1" applyAlignment="1">
      <alignment vertical="top" wrapText="1"/>
    </xf>
    <xf numFmtId="0" fontId="32" fillId="0" borderId="0" xfId="0" applyNumberFormat="1" applyFont="1" applyAlignment="1">
      <alignment horizontal="left" indent="1"/>
    </xf>
    <xf numFmtId="1" fontId="83" fillId="20" borderId="0" xfId="18" applyNumberFormat="1" applyFont="1" applyFill="1" applyAlignment="1">
      <alignment horizontal="center"/>
    </xf>
    <xf numFmtId="0" fontId="2" fillId="20" borderId="0" xfId="151" applyFont="1" applyFill="1" applyAlignment="1">
      <alignment horizontal="center"/>
      <protection/>
    </xf>
    <xf numFmtId="0" fontId="2" fillId="0" borderId="0" xfId="151" applyFont="1" applyAlignment="1">
      <alignment horizontal="center"/>
      <protection/>
    </xf>
    <xf numFmtId="10" fontId="32" fillId="20" borderId="0" xfId="15" applyNumberFormat="1" applyFont="1" applyFill="1" applyAlignment="1">
      <alignment vertical="top" wrapText="1"/>
    </xf>
    <xf numFmtId="170" fontId="36" fillId="0" borderId="0" xfId="0" applyNumberFormat="1" applyFont="1"/>
    <xf numFmtId="179" fontId="36" fillId="0" borderId="0" xfId="18" applyNumberFormat="1" applyFont="1" applyFill="1" applyBorder="1" applyAlignment="1">
      <alignment/>
    </xf>
    <xf numFmtId="0" fontId="2" fillId="20" borderId="0" xfId="155" applyFont="1" applyFill="1" applyAlignment="1">
      <alignment horizontal="center"/>
      <protection/>
    </xf>
    <xf numFmtId="179" fontId="32" fillId="0" borderId="0" xfId="18" applyNumberFormat="1" applyFont="1"/>
    <xf numFmtId="175" fontId="32" fillId="0" borderId="0" xfId="18" applyNumberFormat="1" applyFont="1" applyBorder="1" applyAlignment="1">
      <alignment horizontal="right"/>
    </xf>
    <xf numFmtId="10" fontId="32" fillId="0" borderId="0" xfId="15" applyNumberFormat="1" applyFont="1" applyFill="1" applyAlignment="1">
      <alignment horizontal="right"/>
    </xf>
    <xf numFmtId="174" fontId="54" fillId="0" borderId="0" xfId="0" applyFont="1" applyAlignment="1">
      <alignment vertical="top"/>
    </xf>
    <xf numFmtId="179" fontId="53" fillId="0" borderId="0" xfId="18" applyNumberFormat="1" applyFont="1" applyFill="1" applyAlignment="1">
      <alignment vertical="center"/>
    </xf>
    <xf numFmtId="0" fontId="80" fillId="20" borderId="0" xfId="159" applyFont="1" applyFill="1" applyAlignment="1">
      <alignment vertical="center"/>
      <protection/>
    </xf>
    <xf numFmtId="179" fontId="80" fillId="20" borderId="0" xfId="160" applyNumberFormat="1" applyFont="1" applyFill="1" applyAlignment="1">
      <alignment vertical="center"/>
    </xf>
    <xf numFmtId="174" fontId="80" fillId="0" borderId="0" xfId="0" applyFont="1" applyAlignment="1">
      <alignment horizontal="left" vertical="center"/>
    </xf>
    <xf numFmtId="0" fontId="85" fillId="0" borderId="0" xfId="153" applyFont="1" applyAlignment="1">
      <alignment horizontal="center" vertical="center"/>
      <protection/>
    </xf>
    <xf numFmtId="174" fontId="80" fillId="0" borderId="0" xfId="0" applyFont="1" applyAlignment="1">
      <alignment vertical="center"/>
    </xf>
    <xf numFmtId="179" fontId="80" fillId="0" borderId="19" xfId="159" applyNumberFormat="1" applyFont="1" applyBorder="1" applyAlignment="1">
      <alignment horizontal="center" vertical="center"/>
      <protection/>
    </xf>
    <xf numFmtId="0" fontId="80" fillId="0" borderId="0" xfId="159" applyFont="1" applyAlignment="1">
      <alignment horizontal="left" vertical="center" wrapText="1"/>
      <protection/>
    </xf>
    <xf numFmtId="0" fontId="80" fillId="0" borderId="0" xfId="159" applyFont="1" applyAlignment="1">
      <alignment vertical="center"/>
      <protection/>
    </xf>
    <xf numFmtId="0" fontId="86" fillId="0" borderId="0" xfId="159" applyFont="1" applyAlignment="1">
      <alignment vertical="center"/>
      <protection/>
    </xf>
    <xf numFmtId="0" fontId="80" fillId="20" borderId="0" xfId="159" applyFont="1" applyFill="1" applyAlignment="1">
      <alignment horizontal="left" vertical="center"/>
      <protection/>
    </xf>
    <xf numFmtId="0" fontId="80" fillId="20" borderId="0" xfId="151" applyFont="1" applyFill="1" applyAlignment="1">
      <alignment horizontal="left" vertical="center"/>
      <protection/>
    </xf>
    <xf numFmtId="179" fontId="80" fillId="0" borderId="0" xfId="160" applyNumberFormat="1" applyFont="1" applyFill="1" applyAlignment="1">
      <alignment vertical="center"/>
    </xf>
    <xf numFmtId="0" fontId="80" fillId="20" borderId="0" xfId="159" applyFont="1" applyFill="1" applyAlignment="1">
      <alignment horizontal="center" vertical="center"/>
      <protection/>
    </xf>
    <xf numFmtId="179" fontId="80" fillId="20" borderId="0" xfId="159" applyNumberFormat="1" applyFont="1" applyFill="1" applyAlignment="1">
      <alignment horizontal="center" vertical="center"/>
      <protection/>
    </xf>
    <xf numFmtId="179" fontId="80" fillId="0" borderId="14" xfId="160" applyNumberFormat="1" applyFont="1" applyFill="1" applyBorder="1" applyAlignment="1">
      <alignment vertical="center"/>
    </xf>
    <xf numFmtId="0" fontId="83" fillId="0" borderId="0" xfId="159" applyFont="1" applyAlignment="1">
      <alignment vertical="center"/>
      <protection/>
    </xf>
    <xf numFmtId="179" fontId="80" fillId="0" borderId="0" xfId="160" applyNumberFormat="1" applyFont="1" applyFill="1" applyBorder="1" applyAlignment="1">
      <alignment vertical="center"/>
    </xf>
    <xf numFmtId="179" fontId="80" fillId="0" borderId="0" xfId="159" applyNumberFormat="1" applyFont="1" applyAlignment="1">
      <alignment vertical="center"/>
      <protection/>
    </xf>
    <xf numFmtId="179" fontId="80" fillId="20" borderId="0" xfId="160" applyNumberFormat="1" applyFont="1" applyFill="1" applyBorder="1" applyAlignment="1">
      <alignment vertical="center"/>
    </xf>
    <xf numFmtId="0" fontId="83" fillId="20" borderId="0" xfId="159" applyFont="1" applyFill="1" applyAlignment="1">
      <alignment horizontal="left" vertical="center"/>
      <protection/>
    </xf>
    <xf numFmtId="179" fontId="83" fillId="0" borderId="0" xfId="160" applyNumberFormat="1" applyFont="1" applyFill="1" applyBorder="1" applyAlignment="1">
      <alignment vertical="center"/>
    </xf>
    <xf numFmtId="179" fontId="83" fillId="0" borderId="25" xfId="160" applyNumberFormat="1" applyFont="1" applyFill="1" applyBorder="1" applyAlignment="1">
      <alignment vertical="center"/>
    </xf>
    <xf numFmtId="0" fontId="83" fillId="0" borderId="0" xfId="159" applyFont="1" applyAlignment="1">
      <alignment horizontal="center" vertical="center"/>
      <protection/>
    </xf>
    <xf numFmtId="174" fontId="0" fillId="0" borderId="0" xfId="0" applyFont="1" applyAlignment="1">
      <alignment vertical="center"/>
    </xf>
    <xf numFmtId="0" fontId="80" fillId="0" borderId="0" xfId="159" applyFont="1" applyAlignment="1">
      <alignment horizontal="right" vertical="center"/>
      <protection/>
    </xf>
    <xf numFmtId="179" fontId="83" fillId="0" borderId="0" xfId="160" applyNumberFormat="1" applyFont="1" applyFill="1" applyAlignment="1">
      <alignment vertical="center"/>
    </xf>
    <xf numFmtId="0" fontId="32" fillId="0" borderId="0" xfId="0" applyNumberFormat="1" applyFont="1" applyAlignment="1">
      <alignment horizontal="right" vertical="center"/>
    </xf>
    <xf numFmtId="0" fontId="83" fillId="0" borderId="0" xfId="159" applyFont="1" applyAlignment="1">
      <alignment horizontal="right" vertical="center"/>
      <protection/>
    </xf>
    <xf numFmtId="0" fontId="83" fillId="0" borderId="0" xfId="159" applyFont="1" applyAlignment="1">
      <alignment horizontal="left" vertical="center"/>
      <protection/>
    </xf>
    <xf numFmtId="0" fontId="80" fillId="0" borderId="0" xfId="162" applyFont="1" applyAlignment="1">
      <alignment horizontal="left" vertical="center"/>
      <protection/>
    </xf>
    <xf numFmtId="0" fontId="80" fillId="0" borderId="0" xfId="162" applyFont="1" applyAlignment="1">
      <alignment vertical="center"/>
      <protection/>
    </xf>
    <xf numFmtId="179" fontId="80" fillId="0" borderId="0" xfId="163" applyNumberFormat="1" applyFont="1" applyAlignment="1">
      <alignment vertical="center"/>
    </xf>
    <xf numFmtId="179" fontId="83" fillId="0" borderId="0" xfId="163" applyNumberFormat="1" applyFont="1" applyFill="1" applyBorder="1" applyAlignment="1">
      <alignment vertical="center"/>
    </xf>
    <xf numFmtId="179" fontId="80" fillId="0" borderId="0" xfId="162" applyNumberFormat="1" applyFont="1" applyAlignment="1">
      <alignment vertical="center"/>
      <protection/>
    </xf>
    <xf numFmtId="0" fontId="80" fillId="0" borderId="0" xfId="162" applyFont="1" applyAlignment="1">
      <alignment horizontal="center" vertical="center"/>
      <protection/>
    </xf>
    <xf numFmtId="179" fontId="80" fillId="0" borderId="0" xfId="163" applyNumberFormat="1" applyFont="1" applyFill="1" applyAlignment="1">
      <alignment vertical="center"/>
    </xf>
    <xf numFmtId="0" fontId="32" fillId="0" borderId="0" xfId="0" applyNumberFormat="1" applyFont="1" applyAlignment="1">
      <alignment vertical="top" wrapText="1"/>
    </xf>
    <xf numFmtId="168" fontId="32" fillId="0" borderId="0" xfId="0" applyNumberFormat="1" applyFont="1" applyAlignment="1">
      <alignment horizontal="center"/>
    </xf>
    <xf numFmtId="174" fontId="32" fillId="0" borderId="0" xfId="0" applyFont="1" applyAlignment="1">
      <alignment horizontal="center"/>
    </xf>
    <xf numFmtId="174" fontId="32" fillId="0" borderId="0" xfId="0" applyFont="1"/>
    <xf numFmtId="174" fontId="32" fillId="0" borderId="0" xfId="0" applyFont="1" applyAlignment="1">
      <alignment horizontal="left"/>
    </xf>
    <xf numFmtId="0" fontId="32" fillId="0" borderId="0" xfId="0" applyNumberFormat="1" applyFont="1" applyAlignment="1">
      <alignment horizontal="left" wrapText="1"/>
    </xf>
    <xf numFmtId="0" fontId="32" fillId="0" borderId="0" xfId="0" applyNumberFormat="1" applyFont="1" applyAlignment="1">
      <alignment horizontal="left"/>
    </xf>
    <xf numFmtId="0" fontId="32" fillId="0" borderId="0" xfId="0" applyNumberFormat="1" applyFont="1" applyAlignment="1">
      <alignment horizontal="left" vertical="top" wrapText="1"/>
    </xf>
    <xf numFmtId="0" fontId="76" fillId="0" borderId="0" xfId="0" applyNumberFormat="1" applyFont="1" applyAlignment="1">
      <alignment horizontal="center"/>
    </xf>
    <xf numFmtId="174" fontId="32" fillId="0" borderId="0" xfId="0" applyFont="1" applyAlignment="1">
      <alignment vertical="top" wrapText="1"/>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3" fontId="32" fillId="0" borderId="0" xfId="0" applyNumberFormat="1" applyFont="1" applyAlignment="1">
      <alignment horizontal="center"/>
    </xf>
    <xf numFmtId="174" fontId="32" fillId="0" borderId="0" xfId="0" applyFont="1" applyAlignment="1">
      <alignment horizontal="left" wrapText="1"/>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80" fillId="0" borderId="0" xfId="162" applyFont="1" applyAlignment="1">
      <alignment horizontal="left" vertical="top" wrapText="1"/>
      <protection/>
    </xf>
    <xf numFmtId="0" fontId="80" fillId="0" borderId="0" xfId="151" applyFont="1" applyAlignment="1">
      <alignment horizontal="left" vertical="top" wrapText="1"/>
      <protection/>
    </xf>
    <xf numFmtId="174" fontId="83" fillId="0" borderId="0" xfId="0" applyFont="1" applyAlignment="1">
      <alignment horizontal="center"/>
    </xf>
    <xf numFmtId="174" fontId="80" fillId="0" borderId="0" xfId="0" applyFont="1" applyAlignment="1">
      <alignment horizontal="center"/>
    </xf>
    <xf numFmtId="0" fontId="80" fillId="0" borderId="13" xfId="159" applyFont="1" applyBorder="1" applyAlignment="1">
      <alignment horizontal="center" vertical="center"/>
      <protection/>
    </xf>
    <xf numFmtId="0" fontId="80" fillId="0" borderId="14" xfId="159" applyFont="1" applyBorder="1" applyAlignment="1">
      <alignment horizontal="center" vertical="center"/>
      <protection/>
    </xf>
    <xf numFmtId="0" fontId="80" fillId="0" borderId="24" xfId="159" applyFont="1" applyBorder="1" applyAlignment="1">
      <alignment horizontal="center" vertical="center"/>
      <protection/>
    </xf>
    <xf numFmtId="0" fontId="80" fillId="0" borderId="13" xfId="159" applyFont="1" applyBorder="1" applyAlignment="1">
      <alignment horizontal="center" vertical="center" wrapText="1"/>
      <protection/>
    </xf>
    <xf numFmtId="0" fontId="80" fillId="0" borderId="14" xfId="159" applyFont="1" applyBorder="1" applyAlignment="1">
      <alignment horizontal="center" vertical="center" wrapText="1"/>
      <protection/>
    </xf>
    <xf numFmtId="0" fontId="80" fillId="0" borderId="24" xfId="159" applyFont="1" applyBorder="1" applyAlignment="1">
      <alignment horizontal="center" vertical="center" wrapText="1"/>
      <protection/>
    </xf>
    <xf numFmtId="0" fontId="80" fillId="0" borderId="0" xfId="162" applyFont="1" applyAlignment="1">
      <alignment horizontal="left" vertical="center"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1" fillId="0" borderId="0" xfId="0" applyNumberFormat="1" applyFont="1" applyAlignment="1" applyProtection="1">
      <alignment horizontal="center"/>
      <protection locked="0"/>
    </xf>
    <xf numFmtId="0" fontId="60" fillId="0" borderId="0" xfId="0" applyNumberFormat="1" applyFont="1" applyAlignment="1" applyProtection="1">
      <alignment horizontal="left" wrapText="1"/>
      <protection locked="0"/>
    </xf>
    <xf numFmtId="0" fontId="79" fillId="20" borderId="30" xfId="155" applyFont="1" applyFill="1" applyBorder="1" applyAlignment="1">
      <alignment horizontal="center"/>
      <protection/>
    </xf>
    <xf numFmtId="0" fontId="79" fillId="20" borderId="37" xfId="155" applyFont="1" applyFill="1" applyBorder="1" applyAlignment="1">
      <alignment horizontal="center"/>
      <protection/>
    </xf>
    <xf numFmtId="0" fontId="2" fillId="20" borderId="0" xfId="155" applyFill="1" applyAlignment="1">
      <alignment horizontal="center" wrapText="1"/>
      <protection/>
    </xf>
    <xf numFmtId="179" fontId="83" fillId="0" borderId="0" xfId="18" applyNumberFormat="1" applyFont="1" applyAlignment="1">
      <alignment horizontal="center"/>
    </xf>
    <xf numFmtId="174" fontId="80"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8" fillId="0" borderId="0" xfId="145" applyFont="1" applyAlignment="1">
      <alignment horizontal="left" vertical="top" wrapText="1"/>
      <protection/>
    </xf>
    <xf numFmtId="0" fontId="1" fillId="0" borderId="0" xfId="145" applyFont="1" applyAlignment="1">
      <alignment horizontal="left" vertical="center" wrapText="1"/>
      <protection/>
    </xf>
  </cellXfs>
  <cellStyles count="151">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U:\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file:///U:\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90" zoomScaleNormal="75" zoomScaleSheetLayoutView="90" workbookViewId="0" topLeftCell="A1">
      <selection pane="topLeft" activeCell="E29" sqref="E29"/>
    </sheetView>
  </sheetViews>
  <sheetFormatPr defaultColWidth="8.91714285714286" defaultRowHeight="15.5"/>
  <cols>
    <col min="1" max="1" width="5.85714285714286" style="1" bestFit="1" customWidth="1"/>
    <col min="2" max="2" width="31.9285714285714" style="1" customWidth="1"/>
    <col min="3" max="3" width="45.0714285714286" style="1" customWidth="1"/>
    <col min="4" max="4" width="13.4285714285714" style="1" customWidth="1"/>
    <col min="5" max="5" width="10.3571428571429" style="1" customWidth="1"/>
    <col min="6" max="6" width="11.5" style="1" customWidth="1"/>
    <col min="7" max="7" width="9.92857142857143" style="1" customWidth="1"/>
    <col min="8" max="8" width="4.07142857142857" style="1" customWidth="1"/>
    <col min="9" max="9" width="13.9285714285714" style="1" customWidth="1"/>
    <col min="10" max="10" width="13.4285714285714" style="1" customWidth="1"/>
    <col min="11" max="11" width="11.5" style="1" customWidth="1"/>
    <col min="12" max="12" width="15.5" style="475" customWidth="1"/>
    <col min="13" max="13" width="10.8571428571429" style="1" customWidth="1"/>
    <col min="14" max="14" width="10.4285714285714" style="1" customWidth="1"/>
    <col min="15" max="15" width="10.5" style="1" customWidth="1"/>
    <col min="16" max="16384" width="8.92857142857143" style="1"/>
  </cols>
  <sheetData>
    <row r="1" spans="2:14" ht="16.5" customHeight="1">
      <c r="B1" s="297"/>
      <c r="C1" s="297"/>
      <c r="D1" s="297"/>
      <c r="E1" s="297"/>
      <c r="F1" s="297"/>
      <c r="G1" s="297"/>
      <c r="H1" s="297"/>
      <c r="I1" s="297"/>
      <c r="K1" s="3" t="s">
        <v>305</v>
      </c>
      <c r="L1" s="302"/>
      <c r="M1" s="2"/>
      <c r="N1" s="2"/>
    </row>
    <row r="2" spans="2:14" ht="16.5" customHeight="1">
      <c r="B2" s="297"/>
      <c r="C2" s="297"/>
      <c r="D2" s="297"/>
      <c r="E2" s="297"/>
      <c r="F2" s="297"/>
      <c r="G2" s="297"/>
      <c r="H2" s="297"/>
      <c r="I2" s="297"/>
      <c r="J2" s="2"/>
      <c r="K2" s="3" t="s">
        <v>0</v>
      </c>
      <c r="L2" s="302"/>
      <c r="M2" s="2"/>
      <c r="N2" s="2"/>
    </row>
    <row r="3" spans="2:14" ht="16.5" customHeight="1">
      <c r="B3" s="2"/>
      <c r="C3" s="2"/>
      <c r="D3" s="302"/>
      <c r="E3" s="2"/>
      <c r="F3" s="2"/>
      <c r="G3" s="2"/>
      <c r="H3" s="2"/>
      <c r="I3" s="2"/>
      <c r="J3" s="2"/>
      <c r="K3" s="2"/>
      <c r="L3" s="302"/>
      <c r="M3" s="2"/>
      <c r="N3" s="2"/>
    </row>
    <row r="4" spans="2:14" ht="15.5">
      <c r="B4" s="2" t="s">
        <v>1</v>
      </c>
      <c r="C4" s="2"/>
      <c r="D4" s="302" t="s">
        <v>2</v>
      </c>
      <c r="E4" s="2"/>
      <c r="F4" s="2"/>
      <c r="G4" s="2"/>
      <c r="H4" s="514"/>
      <c r="I4" s="284"/>
      <c r="J4" s="514"/>
      <c r="K4" s="426" t="s">
        <v>908</v>
      </c>
      <c r="L4" s="302"/>
      <c r="M4" s="2"/>
      <c r="N4" s="2"/>
    </row>
    <row r="5" spans="2:14" ht="15.5">
      <c r="B5" s="2"/>
      <c r="C5" s="4" t="s">
        <v>3</v>
      </c>
      <c r="D5" s="4" t="s">
        <v>4</v>
      </c>
      <c r="E5" s="4"/>
      <c r="F5" s="4"/>
      <c r="G5" s="4"/>
      <c r="H5" s="2"/>
      <c r="I5" s="2"/>
      <c r="J5" s="2"/>
      <c r="K5" s="2"/>
      <c r="L5" s="302"/>
      <c r="M5" s="2"/>
      <c r="N5" s="2"/>
    </row>
    <row r="6" spans="2:14" ht="15.5">
      <c r="B6" s="2"/>
      <c r="C6" s="2"/>
      <c r="D6" s="2"/>
      <c r="E6" s="2"/>
      <c r="F6" s="2"/>
      <c r="G6" s="2"/>
      <c r="H6" s="2"/>
      <c r="I6" s="2"/>
      <c r="J6" s="2"/>
      <c r="K6" s="2"/>
      <c r="L6" s="302"/>
      <c r="M6" s="2"/>
      <c r="N6" s="2"/>
    </row>
    <row r="7" spans="1:14" ht="15.5">
      <c r="A7" s="5"/>
      <c r="B7" s="2"/>
      <c r="C7" s="2"/>
      <c r="D7" s="11" t="s">
        <v>221</v>
      </c>
      <c r="E7" s="2"/>
      <c r="F7" s="2"/>
      <c r="G7" s="2"/>
      <c r="H7" s="2"/>
      <c r="I7" s="2"/>
      <c r="J7" s="2"/>
      <c r="K7" s="2"/>
      <c r="L7" s="302"/>
      <c r="M7" s="2"/>
      <c r="N7" s="2"/>
    </row>
    <row r="8" spans="1:14" ht="15.5">
      <c r="A8" s="5"/>
      <c r="B8" s="2"/>
      <c r="C8" s="2"/>
      <c r="D8" s="11"/>
      <c r="E8" s="2"/>
      <c r="F8" s="2"/>
      <c r="G8" s="2"/>
      <c r="H8" s="2"/>
      <c r="I8" s="615"/>
      <c r="J8" s="534"/>
      <c r="K8" s="2"/>
      <c r="L8" s="302"/>
      <c r="M8" s="2"/>
      <c r="N8" s="2"/>
    </row>
    <row r="9" spans="1:14" ht="15.5">
      <c r="A9" s="5" t="s">
        <v>5</v>
      </c>
      <c r="B9" s="2"/>
      <c r="C9" s="2"/>
      <c r="D9" s="11"/>
      <c r="E9" s="2"/>
      <c r="F9" s="2"/>
      <c r="G9" s="2"/>
      <c r="H9" s="2"/>
      <c r="I9" s="5" t="s">
        <v>6</v>
      </c>
      <c r="J9" s="2"/>
      <c r="K9" s="2"/>
      <c r="L9" s="302"/>
      <c r="M9" s="2"/>
      <c r="N9" s="2"/>
    </row>
    <row r="10" spans="1:14" ht="16" thickBot="1">
      <c r="A10" s="515" t="s">
        <v>7</v>
      </c>
      <c r="B10" s="2"/>
      <c r="C10" s="2"/>
      <c r="D10" s="2"/>
      <c r="E10" s="2"/>
      <c r="F10" s="2"/>
      <c r="G10" s="5"/>
      <c r="H10" s="2"/>
      <c r="I10" s="515" t="s">
        <v>8</v>
      </c>
      <c r="J10" s="5"/>
      <c r="K10" s="5"/>
      <c r="L10" s="302"/>
      <c r="M10" s="2"/>
      <c r="N10" s="2"/>
    </row>
    <row r="11" spans="1:14" ht="15.5">
      <c r="A11" s="5">
        <v>1</v>
      </c>
      <c r="B11" s="2" t="s">
        <v>220</v>
      </c>
      <c r="C11" s="2"/>
      <c r="D11" s="4"/>
      <c r="E11" s="2"/>
      <c r="F11" s="2"/>
      <c r="G11" s="2"/>
      <c r="H11" s="2"/>
      <c r="I11" s="516">
        <f>I181</f>
        <v>944711209.52675676</v>
      </c>
      <c r="J11" s="517"/>
      <c r="K11" s="518"/>
      <c r="L11" s="302"/>
      <c r="M11" s="2"/>
      <c r="N11" s="2"/>
    </row>
    <row r="12" spans="1:14" ht="15.5">
      <c r="A12" s="5"/>
      <c r="B12" s="2"/>
      <c r="C12" s="2"/>
      <c r="D12" s="2"/>
      <c r="E12" s="2"/>
      <c r="F12" s="2"/>
      <c r="G12" s="519"/>
      <c r="H12" s="2"/>
      <c r="I12" s="4"/>
      <c r="J12" s="2"/>
      <c r="K12" s="520"/>
      <c r="L12" s="302"/>
      <c r="M12" s="2"/>
      <c r="N12" s="2"/>
    </row>
    <row r="13" spans="1:14" ht="15.5">
      <c r="A13" s="5"/>
      <c r="B13" s="2"/>
      <c r="C13" s="2"/>
      <c r="D13" s="2"/>
      <c r="E13" s="2"/>
      <c r="F13" s="2"/>
      <c r="G13" s="2"/>
      <c r="H13" s="2"/>
      <c r="I13" s="4"/>
      <c r="J13" s="2"/>
      <c r="K13" s="2"/>
      <c r="L13" s="302"/>
      <c r="M13" s="2"/>
      <c r="N13" s="302"/>
    </row>
    <row r="14" spans="1:14" ht="16" thickBot="1">
      <c r="A14" s="5" t="s">
        <v>3</v>
      </c>
      <c r="B14" s="2" t="s">
        <v>132</v>
      </c>
      <c r="C14" s="4" t="s">
        <v>10</v>
      </c>
      <c r="D14" s="515" t="s">
        <v>11</v>
      </c>
      <c r="E14" s="4"/>
      <c r="F14" s="521" t="s">
        <v>12</v>
      </c>
      <c r="G14" s="521"/>
      <c r="H14" s="2"/>
      <c r="I14" s="4"/>
      <c r="J14" s="2"/>
      <c r="K14" s="2"/>
      <c r="L14" s="302"/>
      <c r="M14" s="2"/>
      <c r="N14" s="2"/>
    </row>
    <row r="15" spans="1:14" ht="15.5">
      <c r="A15" s="5" t="s">
        <v>328</v>
      </c>
      <c r="B15" s="2" t="s">
        <v>515</v>
      </c>
      <c r="C15" s="4" t="s">
        <v>516</v>
      </c>
      <c r="D15" s="522">
        <f>I259</f>
        <v>303555</v>
      </c>
      <c r="E15" s="4"/>
      <c r="F15" s="302" t="s">
        <v>14</v>
      </c>
      <c r="G15" s="523">
        <f>I211</f>
        <v>1</v>
      </c>
      <c r="H15" s="2"/>
      <c r="I15" s="615">
        <f>D15*G15</f>
        <v>303555</v>
      </c>
      <c r="J15" s="2"/>
      <c r="K15" s="2"/>
      <c r="L15" s="302"/>
      <c r="M15" s="2"/>
      <c r="N15" s="2"/>
    </row>
    <row r="16" spans="1:14" ht="15.5">
      <c r="A16" s="5" t="s">
        <v>351</v>
      </c>
      <c r="B16" s="2" t="s">
        <v>13</v>
      </c>
      <c r="C16" s="4" t="s">
        <v>273</v>
      </c>
      <c r="D16" s="300">
        <f>I261</f>
        <v>16244334</v>
      </c>
      <c r="E16" s="4"/>
      <c r="F16" s="4" t="s">
        <v>14</v>
      </c>
      <c r="G16" s="312">
        <f>I211</f>
        <v>1</v>
      </c>
      <c r="H16" s="4"/>
      <c r="I16" s="525">
        <f t="shared" si="0" ref="I16:I23">+G16*D16</f>
        <v>16244334</v>
      </c>
      <c r="J16" s="526"/>
      <c r="K16" s="72"/>
      <c r="L16" s="302"/>
      <c r="M16" s="2"/>
      <c r="N16" s="2"/>
    </row>
    <row r="17" spans="1:14" ht="15.5">
      <c r="A17" s="5">
        <v>3</v>
      </c>
      <c r="B17" s="2" t="s">
        <v>298</v>
      </c>
      <c r="C17" s="4" t="s">
        <v>517</v>
      </c>
      <c r="D17" s="300">
        <f>I263</f>
        <v>12161525.070000002</v>
      </c>
      <c r="E17" s="4"/>
      <c r="F17" s="4" t="str">
        <f t="shared" si="1" ref="F17:G19">+F16</f>
        <v>TP</v>
      </c>
      <c r="G17" s="312">
        <f t="shared" si="1"/>
        <v>1</v>
      </c>
      <c r="H17" s="4"/>
      <c r="I17" s="525">
        <f t="shared" si="0"/>
        <v>12161525.070000002</v>
      </c>
      <c r="J17" s="301"/>
      <c r="K17" s="72"/>
      <c r="L17" s="302"/>
      <c r="M17" s="2"/>
      <c r="N17" s="2"/>
    </row>
    <row r="18" spans="1:14" ht="15.5">
      <c r="A18" s="5" t="s">
        <v>222</v>
      </c>
      <c r="B18" s="4" t="s">
        <v>15</v>
      </c>
      <c r="C18" s="4"/>
      <c r="D18" s="321"/>
      <c r="E18" s="4"/>
      <c r="F18" s="4" t="str">
        <f t="shared" si="1"/>
        <v>TP</v>
      </c>
      <c r="G18" s="312">
        <f t="shared" si="1"/>
        <v>1</v>
      </c>
      <c r="H18" s="4"/>
      <c r="I18" s="525">
        <f t="shared" si="0"/>
        <v>0</v>
      </c>
      <c r="J18" s="301"/>
      <c r="K18" s="72"/>
      <c r="L18" s="302"/>
      <c r="N18" s="2"/>
    </row>
    <row r="19" spans="1:14" ht="15.5">
      <c r="A19" s="5" t="s">
        <v>223</v>
      </c>
      <c r="B19" s="4" t="s">
        <v>16</v>
      </c>
      <c r="C19" s="4"/>
      <c r="D19" s="321"/>
      <c r="E19" s="4"/>
      <c r="F19" s="4" t="str">
        <f t="shared" si="1"/>
        <v>TP</v>
      </c>
      <c r="G19" s="312">
        <f t="shared" si="1"/>
        <v>1</v>
      </c>
      <c r="H19" s="4"/>
      <c r="I19" s="525">
        <f t="shared" si="0"/>
        <v>0</v>
      </c>
      <c r="J19" s="301"/>
      <c r="K19" s="72"/>
      <c r="L19" s="302"/>
      <c r="N19" s="2"/>
    </row>
    <row r="20" spans="1:14" ht="15.5">
      <c r="A20" s="5" t="s">
        <v>73</v>
      </c>
      <c r="B20" s="4" t="s">
        <v>730</v>
      </c>
      <c r="C20" s="4"/>
      <c r="D20" s="300">
        <f>'Appendix E-MTEP Credit'!N86</f>
        <v>289813.06021097337</v>
      </c>
      <c r="E20" s="4"/>
      <c r="F20" s="4" t="str">
        <f t="shared" si="2" ref="F20:G22">+F19</f>
        <v>TP</v>
      </c>
      <c r="G20" s="312">
        <f t="shared" si="2"/>
        <v>1</v>
      </c>
      <c r="H20" s="4"/>
      <c r="I20" s="525">
        <f t="shared" si="0"/>
        <v>289813.06021097337</v>
      </c>
      <c r="J20" s="301"/>
      <c r="K20" s="527"/>
      <c r="L20" s="302"/>
      <c r="N20" s="2"/>
    </row>
    <row r="21" spans="1:14" ht="15.5">
      <c r="A21" s="5" t="s">
        <v>217</v>
      </c>
      <c r="B21" s="4" t="s">
        <v>274</v>
      </c>
      <c r="C21" s="4"/>
      <c r="D21" s="300">
        <v>0</v>
      </c>
      <c r="E21" s="4"/>
      <c r="F21" s="4" t="str">
        <f t="shared" si="2"/>
        <v>TP</v>
      </c>
      <c r="G21" s="312">
        <f t="shared" si="2"/>
        <v>1</v>
      </c>
      <c r="H21" s="4"/>
      <c r="I21" s="525">
        <f t="shared" si="0"/>
        <v>0</v>
      </c>
      <c r="J21" s="301"/>
      <c r="K21" s="527"/>
      <c r="L21" s="302"/>
      <c r="N21" s="2"/>
    </row>
    <row r="22" spans="1:14" ht="15.5">
      <c r="A22" s="5" t="s">
        <v>226</v>
      </c>
      <c r="B22" s="4" t="s">
        <v>274</v>
      </c>
      <c r="C22" s="4"/>
      <c r="D22" s="300">
        <v>0</v>
      </c>
      <c r="E22" s="4"/>
      <c r="F22" s="4" t="str">
        <f t="shared" si="2"/>
        <v>TP</v>
      </c>
      <c r="G22" s="312">
        <f t="shared" si="2"/>
        <v>1</v>
      </c>
      <c r="H22" s="4"/>
      <c r="I22" s="525">
        <f t="shared" si="0"/>
        <v>0</v>
      </c>
      <c r="J22" s="301"/>
      <c r="K22" s="527"/>
      <c r="L22" s="302"/>
      <c r="N22" s="2"/>
    </row>
    <row r="23" spans="1:14" ht="16" thickBot="1">
      <c r="A23" s="5" t="s">
        <v>218</v>
      </c>
      <c r="B23" s="4" t="s">
        <v>731</v>
      </c>
      <c r="C23" s="4"/>
      <c r="D23" s="309">
        <f>'Appendix D-TEC'!L75</f>
        <v>31903048.660303026</v>
      </c>
      <c r="E23" s="4"/>
      <c r="F23" s="4" t="str">
        <f>+F20</f>
        <v>TP</v>
      </c>
      <c r="G23" s="312">
        <f>+G22</f>
        <v>1</v>
      </c>
      <c r="H23" s="4"/>
      <c r="I23" s="528">
        <f t="shared" si="0"/>
        <v>31903048.660303026</v>
      </c>
      <c r="J23" s="301"/>
      <c r="K23" s="527"/>
      <c r="L23" s="302"/>
      <c r="N23" s="2"/>
    </row>
    <row r="24" spans="1:14" ht="15.5">
      <c r="A24" s="5" t="s">
        <v>482</v>
      </c>
      <c r="B24" s="2" t="s">
        <v>563</v>
      </c>
      <c r="C24" s="2"/>
      <c r="D24" s="529">
        <f>SUM(D15:D23)</f>
        <v>60902275.790514</v>
      </c>
      <c r="E24" s="4"/>
      <c r="F24" s="4"/>
      <c r="G24" s="312"/>
      <c r="H24" s="4"/>
      <c r="I24" s="530">
        <f>SUM(I15:I23)</f>
        <v>60902275.790514</v>
      </c>
      <c r="J24" s="2"/>
      <c r="K24" s="531"/>
      <c r="L24" s="302"/>
      <c r="N24" s="2"/>
    </row>
    <row r="25" spans="1:14" ht="15.5">
      <c r="A25" s="5" t="s">
        <v>331</v>
      </c>
      <c r="B25" s="2" t="s">
        <v>475</v>
      </c>
      <c r="C25" s="2"/>
      <c r="D25" s="532"/>
      <c r="E25" s="4"/>
      <c r="F25" s="4"/>
      <c r="G25" s="312"/>
      <c r="H25" s="4"/>
      <c r="I25" s="533">
        <v>0</v>
      </c>
      <c r="J25" s="2"/>
      <c r="K25" s="531"/>
      <c r="L25" s="302"/>
      <c r="N25" s="2"/>
    </row>
    <row r="26" spans="1:14" ht="15.5">
      <c r="A26" s="5"/>
      <c r="B26" s="2"/>
      <c r="C26" s="2"/>
      <c r="F26" s="4"/>
      <c r="I26" s="534"/>
      <c r="J26" s="2"/>
      <c r="K26" s="2"/>
      <c r="L26" s="302"/>
      <c r="N26" s="2"/>
    </row>
    <row r="27" spans="1:14" ht="16" thickBot="1">
      <c r="A27" s="5">
        <v>7</v>
      </c>
      <c r="B27" s="2" t="s">
        <v>17</v>
      </c>
      <c r="C27" s="2" t="s">
        <v>483</v>
      </c>
      <c r="D27" s="535" t="s">
        <v>3</v>
      </c>
      <c r="E27" s="4"/>
      <c r="F27" s="4"/>
      <c r="G27" s="4"/>
      <c r="H27" s="4"/>
      <c r="I27" s="536">
        <f>I11-I24+I25</f>
        <v>883808933.73624277</v>
      </c>
      <c r="J27" s="616"/>
      <c r="K27" s="537"/>
      <c r="L27" s="302"/>
      <c r="N27" s="2"/>
    </row>
    <row r="28" spans="1:14" ht="16" thickTop="1">
      <c r="A28" s="5"/>
      <c r="B28" s="2"/>
      <c r="C28" s="2"/>
      <c r="D28" s="535"/>
      <c r="E28" s="4"/>
      <c r="F28" s="4"/>
      <c r="G28" s="4"/>
      <c r="H28" s="4"/>
      <c r="I28" s="538"/>
      <c r="J28" s="516"/>
      <c r="K28" s="538"/>
      <c r="L28" s="302"/>
      <c r="N28" s="2"/>
    </row>
    <row r="29" spans="1:14" ht="15.5">
      <c r="A29" s="5"/>
      <c r="B29" s="2"/>
      <c r="C29" s="2"/>
      <c r="D29" s="535"/>
      <c r="E29" s="4"/>
      <c r="F29" s="4"/>
      <c r="G29" s="4"/>
      <c r="H29" s="4"/>
      <c r="I29" s="538"/>
      <c r="J29" s="2"/>
      <c r="K29" s="538"/>
      <c r="L29" s="302"/>
      <c r="N29" s="2"/>
    </row>
    <row r="30" spans="1:14" ht="15.5">
      <c r="A30" s="5"/>
      <c r="C30" s="4"/>
      <c r="I30" s="4"/>
      <c r="J30" s="2"/>
      <c r="K30" s="2"/>
      <c r="L30" s="302"/>
      <c r="N30" s="2"/>
    </row>
    <row r="31" spans="1:14" ht="16" thickBot="1">
      <c r="A31" s="5"/>
      <c r="B31" s="2" t="s">
        <v>18</v>
      </c>
      <c r="C31" s="2"/>
      <c r="D31" s="4"/>
      <c r="E31" s="2"/>
      <c r="F31" s="2"/>
      <c r="G31" s="2"/>
      <c r="H31" s="2"/>
      <c r="I31" s="539" t="s">
        <v>11</v>
      </c>
      <c r="J31" s="5"/>
      <c r="K31" s="26"/>
      <c r="L31" s="302"/>
      <c r="N31" s="2"/>
    </row>
    <row r="32" spans="1:14" ht="15.5">
      <c r="A32" s="5">
        <v>8</v>
      </c>
      <c r="B32" s="2" t="s">
        <v>293</v>
      </c>
      <c r="D32" s="4"/>
      <c r="E32" s="2"/>
      <c r="F32" s="2"/>
      <c r="G32" s="2" t="s">
        <v>19</v>
      </c>
      <c r="H32" s="2"/>
      <c r="I32" s="540">
        <v>12604.200000000001</v>
      </c>
      <c r="J32" s="541"/>
      <c r="K32" s="72"/>
      <c r="L32" s="542"/>
      <c r="N32" s="2"/>
    </row>
    <row r="33" spans="1:14" ht="15.5">
      <c r="A33" s="5">
        <v>9</v>
      </c>
      <c r="B33" s="2" t="s">
        <v>294</v>
      </c>
      <c r="C33" s="4"/>
      <c r="D33" s="4"/>
      <c r="E33" s="4"/>
      <c r="F33" s="4"/>
      <c r="G33" s="2" t="s">
        <v>20</v>
      </c>
      <c r="H33" s="4"/>
      <c r="I33" s="540">
        <v>10180.6</v>
      </c>
      <c r="J33" s="543"/>
      <c r="K33" s="72"/>
      <c r="L33" s="542"/>
      <c r="M33" s="2"/>
      <c r="N33" s="2"/>
    </row>
    <row r="34" spans="1:14" ht="15.5">
      <c r="A34" s="5">
        <v>10</v>
      </c>
      <c r="B34" s="4" t="s">
        <v>274</v>
      </c>
      <c r="C34" s="232"/>
      <c r="D34" s="2"/>
      <c r="E34" s="2"/>
      <c r="G34" s="2"/>
      <c r="H34" s="2"/>
      <c r="I34" s="544">
        <v>0</v>
      </c>
      <c r="J34" s="544"/>
      <c r="K34" s="72"/>
      <c r="L34" s="542"/>
      <c r="M34" s="2"/>
      <c r="N34" s="2"/>
    </row>
    <row r="35" spans="1:14" ht="15.5">
      <c r="A35" s="5">
        <v>11</v>
      </c>
      <c r="B35" s="2" t="s">
        <v>274</v>
      </c>
      <c r="C35" s="2"/>
      <c r="D35" s="2"/>
      <c r="E35" s="2"/>
      <c r="G35" s="2"/>
      <c r="H35" s="2"/>
      <c r="I35" s="72">
        <v>0</v>
      </c>
      <c r="J35" s="544"/>
      <c r="K35" s="72"/>
      <c r="L35" s="542"/>
      <c r="M35" s="2"/>
      <c r="N35" s="2"/>
    </row>
    <row r="36" spans="1:14" ht="15.5">
      <c r="A36" s="5">
        <v>12</v>
      </c>
      <c r="B36" s="4" t="s">
        <v>274</v>
      </c>
      <c r="C36" s="2"/>
      <c r="D36" s="2"/>
      <c r="E36" s="2"/>
      <c r="F36" s="2"/>
      <c r="G36" s="2"/>
      <c r="H36" s="2"/>
      <c r="I36" s="72">
        <v>0</v>
      </c>
      <c r="J36" s="544"/>
      <c r="K36" s="72"/>
      <c r="L36" s="542"/>
      <c r="M36" s="2"/>
      <c r="N36" s="2"/>
    </row>
    <row r="37" spans="1:14" ht="15.5">
      <c r="A37" s="5">
        <v>13</v>
      </c>
      <c r="B37" s="4" t="s">
        <v>274</v>
      </c>
      <c r="C37" s="2"/>
      <c r="D37" s="2"/>
      <c r="E37" s="2"/>
      <c r="F37" s="2"/>
      <c r="G37" s="2"/>
      <c r="H37" s="2"/>
      <c r="I37" s="72">
        <v>0</v>
      </c>
      <c r="J37" s="544"/>
      <c r="K37" s="72"/>
      <c r="L37" s="542"/>
      <c r="M37" s="2"/>
      <c r="N37" s="2"/>
    </row>
    <row r="38" spans="1:14" ht="15.5">
      <c r="A38" s="5">
        <v>14</v>
      </c>
      <c r="B38" s="4" t="s">
        <v>274</v>
      </c>
      <c r="C38" s="2"/>
      <c r="D38" s="2"/>
      <c r="E38" s="2"/>
      <c r="F38" s="2"/>
      <c r="G38" s="2"/>
      <c r="H38" s="2"/>
      <c r="I38" s="72">
        <v>0</v>
      </c>
      <c r="J38" s="72"/>
      <c r="K38" s="72"/>
      <c r="L38" s="542"/>
      <c r="M38" s="2"/>
      <c r="N38" s="2"/>
    </row>
    <row r="39" spans="1:14" ht="16.5" customHeight="1">
      <c r="A39" s="5">
        <v>15</v>
      </c>
      <c r="B39" s="2" t="s">
        <v>274</v>
      </c>
      <c r="C39" s="2"/>
      <c r="D39" s="2"/>
      <c r="E39" s="2"/>
      <c r="F39" s="2"/>
      <c r="G39" s="2"/>
      <c r="H39" s="2"/>
      <c r="I39" s="4"/>
      <c r="J39" s="2"/>
      <c r="K39" s="4"/>
      <c r="L39" s="302"/>
      <c r="M39" s="2"/>
      <c r="N39" s="2"/>
    </row>
    <row r="40" spans="1:14" ht="16.5" customHeight="1">
      <c r="A40" s="5"/>
      <c r="B40" s="2"/>
      <c r="C40" s="2"/>
      <c r="D40" s="2"/>
      <c r="E40" s="2"/>
      <c r="F40" s="2"/>
      <c r="G40" s="2"/>
      <c r="H40" s="2"/>
      <c r="I40" s="4"/>
      <c r="J40" s="2"/>
      <c r="K40" s="4"/>
      <c r="L40" s="302"/>
      <c r="M40" s="2"/>
      <c r="N40" s="2"/>
    </row>
    <row r="41" spans="1:14" ht="16" thickBot="1">
      <c r="A41" s="5"/>
      <c r="B41" s="2"/>
      <c r="C41" s="2"/>
      <c r="D41" s="515" t="s">
        <v>11</v>
      </c>
      <c r="F41" s="2"/>
      <c r="G41" s="2"/>
      <c r="H41" s="2"/>
      <c r="I41" s="4"/>
      <c r="J41" s="2"/>
      <c r="K41" s="2"/>
      <c r="L41" s="302"/>
      <c r="M41" s="2"/>
      <c r="N41" s="2"/>
    </row>
    <row r="42" spans="1:14" ht="15.5">
      <c r="A42" s="5">
        <v>16</v>
      </c>
      <c r="B42" s="2" t="s">
        <v>289</v>
      </c>
      <c r="C42" s="2" t="s">
        <v>291</v>
      </c>
      <c r="D42" s="545">
        <f>IF(I32&gt;0,(I27/I32),0)</f>
        <v>70120.192771952425</v>
      </c>
      <c r="F42" s="546"/>
      <c r="G42" s="2"/>
      <c r="H42" s="2"/>
      <c r="J42" s="2"/>
      <c r="K42" s="2"/>
      <c r="L42" s="302"/>
      <c r="M42" s="2"/>
      <c r="N42" s="2"/>
    </row>
    <row r="43" spans="1:13" ht="15.5">
      <c r="A43" s="5"/>
      <c r="B43" s="2"/>
      <c r="C43" s="2"/>
      <c r="D43" s="547"/>
      <c r="F43" s="548"/>
      <c r="G43" s="2"/>
      <c r="H43" s="2"/>
      <c r="J43" s="2"/>
      <c r="K43" s="2"/>
      <c r="L43" s="302"/>
      <c r="M43" s="2"/>
    </row>
    <row r="44" spans="1:13" ht="15.5">
      <c r="A44" s="5"/>
      <c r="B44" s="2"/>
      <c r="C44" s="2"/>
      <c r="D44" s="548"/>
      <c r="E44" s="548"/>
      <c r="F44" s="549"/>
      <c r="G44" s="550"/>
      <c r="H44" s="2"/>
      <c r="J44" s="2"/>
      <c r="K44" s="2"/>
      <c r="L44" s="302"/>
      <c r="M44" s="2"/>
    </row>
    <row r="45" spans="1:13" ht="15.5">
      <c r="A45" s="5"/>
      <c r="B45" s="2"/>
      <c r="C45" s="2"/>
      <c r="D45" s="657" t="s">
        <v>23</v>
      </c>
      <c r="E45" s="657"/>
      <c r="F45" s="2"/>
      <c r="G45" s="2"/>
      <c r="H45" s="2"/>
      <c r="I45" s="658" t="s">
        <v>24</v>
      </c>
      <c r="J45" s="658"/>
      <c r="K45" s="2"/>
      <c r="L45" s="302"/>
      <c r="M45" s="2"/>
    </row>
    <row r="46" spans="1:13" ht="16" thickBot="1">
      <c r="A46" s="5"/>
      <c r="B46" s="2"/>
      <c r="C46" s="2"/>
      <c r="D46" s="551" t="str">
        <f>D41</f>
        <v>Total</v>
      </c>
      <c r="E46" s="5"/>
      <c r="F46" s="5"/>
      <c r="G46" s="5"/>
      <c r="H46" s="5"/>
      <c r="I46" s="552" t="str">
        <f>D46</f>
        <v>Total</v>
      </c>
      <c r="J46" s="2"/>
      <c r="K46" s="3"/>
      <c r="L46" s="302"/>
      <c r="M46" s="2"/>
    </row>
    <row r="47" spans="1:13" ht="15.5">
      <c r="A47" s="5">
        <v>17</v>
      </c>
      <c r="B47" s="2" t="s">
        <v>290</v>
      </c>
      <c r="C47" s="2" t="s">
        <v>292</v>
      </c>
      <c r="D47" s="553">
        <f>IF(I33&gt;0,(I27/I33),0)</f>
        <v>86813.049696112488</v>
      </c>
      <c r="E47" s="72"/>
      <c r="F47" s="554"/>
      <c r="G47" s="524"/>
      <c r="H47" s="524"/>
      <c r="I47" s="553">
        <f>IF(I33&gt;0,(I27/I33),0)</f>
        <v>86813.049696112488</v>
      </c>
      <c r="J47" s="546"/>
      <c r="K47" s="3"/>
      <c r="L47" s="302"/>
      <c r="M47" s="2"/>
    </row>
    <row r="48" spans="1:13" ht="15.5">
      <c r="A48" s="5">
        <v>18</v>
      </c>
      <c r="B48" s="2" t="s">
        <v>303</v>
      </c>
      <c r="C48" s="302" t="s">
        <v>441</v>
      </c>
      <c r="D48" s="524">
        <f>D47/12</f>
        <v>7234.420808009374</v>
      </c>
      <c r="E48" s="72"/>
      <c r="F48" s="524"/>
      <c r="G48" s="524"/>
      <c r="H48" s="524"/>
      <c r="I48" s="524">
        <f>I47/12</f>
        <v>7234.420808009374</v>
      </c>
      <c r="J48" s="546"/>
      <c r="K48" s="555"/>
      <c r="L48" s="302"/>
      <c r="M48" s="2"/>
    </row>
    <row r="49" spans="1:13" ht="15.5">
      <c r="A49" s="5">
        <v>19</v>
      </c>
      <c r="B49" s="2" t="s">
        <v>287</v>
      </c>
      <c r="C49" s="302" t="s">
        <v>442</v>
      </c>
      <c r="D49" s="524">
        <f>D47/52</f>
        <v>1669.4817249252401</v>
      </c>
      <c r="E49" s="72"/>
      <c r="F49" s="544"/>
      <c r="G49" s="556"/>
      <c r="H49" s="524"/>
      <c r="I49" s="524">
        <f>I47/52</f>
        <v>1669.4817249252401</v>
      </c>
      <c r="J49" s="546"/>
      <c r="K49" s="555"/>
      <c r="L49" s="302"/>
      <c r="M49" s="2"/>
    </row>
    <row r="50" spans="1:13" ht="15.5">
      <c r="A50" s="5">
        <v>20</v>
      </c>
      <c r="B50" s="2" t="s">
        <v>288</v>
      </c>
      <c r="C50" s="2" t="s">
        <v>304</v>
      </c>
      <c r="D50" s="524">
        <f>D49/5</f>
        <v>333.89634498504802</v>
      </c>
      <c r="E50" s="72"/>
      <c r="F50" s="544"/>
      <c r="G50" s="556"/>
      <c r="H50" s="524"/>
      <c r="I50" s="524">
        <f>I49/7</f>
        <v>238.49738927503429</v>
      </c>
      <c r="J50" s="546"/>
      <c r="K50" s="555"/>
      <c r="L50" s="302"/>
      <c r="M50" s="2"/>
    </row>
    <row r="51" spans="1:13" ht="15.5">
      <c r="A51" s="5">
        <v>21</v>
      </c>
      <c r="B51" s="2" t="s">
        <v>25</v>
      </c>
      <c r="C51" s="2" t="s">
        <v>443</v>
      </c>
      <c r="D51" s="524">
        <f>D47/4160</f>
        <v>20.868521561565501</v>
      </c>
      <c r="E51" s="72"/>
      <c r="F51" s="544"/>
      <c r="G51" s="556"/>
      <c r="H51" s="524"/>
      <c r="I51" s="545">
        <f>I47/8760</f>
        <v>9.9101654904238003</v>
      </c>
      <c r="J51" s="557"/>
      <c r="K51" s="2" t="s">
        <v>3</v>
      </c>
      <c r="L51" s="302"/>
      <c r="M51" s="2"/>
    </row>
    <row r="52" spans="1:13" ht="15.5">
      <c r="A52" s="5"/>
      <c r="B52" s="2"/>
      <c r="C52" s="2"/>
      <c r="D52" s="524"/>
      <c r="E52" s="524"/>
      <c r="F52" s="556"/>
      <c r="G52" s="544"/>
      <c r="H52" s="524"/>
      <c r="I52" s="545"/>
      <c r="J52" s="2"/>
      <c r="K52" s="2" t="s">
        <v>3</v>
      </c>
      <c r="L52" s="302"/>
      <c r="M52" s="2"/>
    </row>
    <row r="53" spans="2:13" ht="16.5" customHeight="1">
      <c r="B53" s="2"/>
      <c r="C53" s="2"/>
      <c r="D53" s="302"/>
      <c r="E53" s="2"/>
      <c r="F53" s="2"/>
      <c r="G53" s="2"/>
      <c r="H53" s="2"/>
      <c r="I53" s="2"/>
      <c r="K53" s="3" t="s">
        <v>305</v>
      </c>
      <c r="L53" s="302"/>
      <c r="M53" s="2"/>
    </row>
    <row r="54" spans="2:13" ht="16.5" customHeight="1">
      <c r="B54" s="2"/>
      <c r="C54" s="2"/>
      <c r="D54" s="302"/>
      <c r="E54" s="2"/>
      <c r="F54" s="2"/>
      <c r="G54" s="2"/>
      <c r="H54" s="2"/>
      <c r="I54" s="2"/>
      <c r="J54" s="2"/>
      <c r="K54" s="3" t="s">
        <v>26</v>
      </c>
      <c r="L54" s="302"/>
      <c r="M54" s="2"/>
    </row>
    <row r="55" spans="2:13" ht="16.5" customHeight="1">
      <c r="B55" s="2"/>
      <c r="C55" s="2"/>
      <c r="D55" s="302"/>
      <c r="E55" s="2"/>
      <c r="F55" s="2"/>
      <c r="G55" s="2"/>
      <c r="H55" s="2"/>
      <c r="I55" s="2"/>
      <c r="J55" s="2"/>
      <c r="K55" s="3"/>
      <c r="L55" s="302"/>
      <c r="M55" s="2"/>
    </row>
    <row r="56" spans="2:13" ht="15.5">
      <c r="B56" s="2" t="s">
        <v>1</v>
      </c>
      <c r="C56" s="2"/>
      <c r="D56" s="302" t="s">
        <v>2</v>
      </c>
      <c r="E56" s="2"/>
      <c r="F56" s="2"/>
      <c r="G56" s="2"/>
      <c r="H56" s="514"/>
      <c r="I56" s="284"/>
      <c r="J56" s="514"/>
      <c r="K56" s="426" t="str">
        <f>K4</f>
        <v>For the 12 months ended 12/31/2022</v>
      </c>
      <c r="L56" s="302"/>
      <c r="M56" s="2"/>
    </row>
    <row r="57" spans="2:13" ht="15.5">
      <c r="B57" s="2"/>
      <c r="C57" s="4" t="s">
        <v>3</v>
      </c>
      <c r="D57" s="4" t="s">
        <v>4</v>
      </c>
      <c r="E57" s="4"/>
      <c r="F57" s="4"/>
      <c r="G57" s="4"/>
      <c r="H57" s="2"/>
      <c r="I57" s="2"/>
      <c r="J57" s="2"/>
      <c r="K57" s="2"/>
      <c r="L57" s="302"/>
      <c r="M57" s="2"/>
    </row>
    <row r="58" spans="2:13" ht="15.5">
      <c r="B58" s="2"/>
      <c r="C58" s="4"/>
      <c r="D58" s="4"/>
      <c r="E58" s="4"/>
      <c r="F58" s="4"/>
      <c r="G58" s="4"/>
      <c r="H58" s="2"/>
      <c r="I58" s="2"/>
      <c r="J58" s="2"/>
      <c r="K58" s="2"/>
      <c r="L58" s="302"/>
      <c r="M58" s="2"/>
    </row>
    <row r="59" spans="2:13" ht="15.5">
      <c r="B59" s="2"/>
      <c r="C59" s="2"/>
      <c r="D59" s="4" t="str">
        <f>D7</f>
        <v>American Transmission Systems, Inc.</v>
      </c>
      <c r="E59" s="4"/>
      <c r="F59" s="4"/>
      <c r="G59" s="4"/>
      <c r="H59" s="4"/>
      <c r="I59" s="4"/>
      <c r="J59" s="4"/>
      <c r="K59" s="4"/>
      <c r="L59" s="308"/>
      <c r="M59" s="4"/>
    </row>
    <row r="60" spans="2:13" ht="15.5">
      <c r="B60" s="5" t="s">
        <v>27</v>
      </c>
      <c r="C60" s="5" t="s">
        <v>28</v>
      </c>
      <c r="D60" s="5" t="s">
        <v>29</v>
      </c>
      <c r="E60" s="4" t="s">
        <v>3</v>
      </c>
      <c r="F60" s="4"/>
      <c r="G60" s="6" t="s">
        <v>30</v>
      </c>
      <c r="H60" s="4"/>
      <c r="I60" s="7" t="s">
        <v>31</v>
      </c>
      <c r="J60" s="4"/>
      <c r="K60" s="7"/>
      <c r="L60" s="302"/>
      <c r="M60" s="4"/>
    </row>
    <row r="61" spans="2:13" ht="15.5">
      <c r="B61" s="2"/>
      <c r="C61" s="153" t="s">
        <v>444</v>
      </c>
      <c r="D61" s="4"/>
      <c r="E61" s="4"/>
      <c r="F61" s="4"/>
      <c r="G61" s="5"/>
      <c r="H61" s="4"/>
      <c r="I61" s="8" t="s">
        <v>33</v>
      </c>
      <c r="J61" s="4"/>
      <c r="K61" s="558"/>
      <c r="L61" s="302"/>
      <c r="M61" s="5"/>
    </row>
    <row r="62" spans="1:13" ht="15.5">
      <c r="A62" s="5" t="s">
        <v>5</v>
      </c>
      <c r="B62" s="2"/>
      <c r="C62" s="153" t="s">
        <v>445</v>
      </c>
      <c r="D62" s="8" t="s">
        <v>34</v>
      </c>
      <c r="E62" s="9"/>
      <c r="F62" s="8" t="s">
        <v>35</v>
      </c>
      <c r="H62" s="9"/>
      <c r="I62" s="5" t="s">
        <v>36</v>
      </c>
      <c r="J62" s="4"/>
      <c r="K62" s="559"/>
      <c r="L62" s="302"/>
      <c r="M62" s="5"/>
    </row>
    <row r="63" spans="1:13" ht="16" thickBot="1">
      <c r="A63" s="515" t="s">
        <v>7</v>
      </c>
      <c r="B63" s="18" t="s">
        <v>37</v>
      </c>
      <c r="C63" s="4"/>
      <c r="D63" s="4"/>
      <c r="E63" s="4"/>
      <c r="F63" s="4"/>
      <c r="G63" s="4"/>
      <c r="H63" s="4"/>
      <c r="I63" s="4"/>
      <c r="J63" s="4"/>
      <c r="K63" s="4"/>
      <c r="L63" s="308"/>
      <c r="M63" s="4"/>
    </row>
    <row r="64" spans="1:13" ht="15.5">
      <c r="A64" s="5"/>
      <c r="B64" s="2" t="s">
        <v>38</v>
      </c>
      <c r="C64" s="4"/>
      <c r="D64" s="4"/>
      <c r="E64" s="4"/>
      <c r="F64" s="4"/>
      <c r="G64" s="4"/>
      <c r="H64" s="4"/>
      <c r="I64" s="4"/>
      <c r="J64" s="4"/>
      <c r="L64" s="308"/>
      <c r="M64" s="4"/>
    </row>
    <row r="65" spans="1:13" ht="15.5">
      <c r="A65" s="5">
        <v>1</v>
      </c>
      <c r="B65" s="2" t="s">
        <v>39</v>
      </c>
      <c r="C65" s="4" t="s">
        <v>484</v>
      </c>
      <c r="D65" s="321">
        <f>'WP01 Plant'!E20</f>
        <v>0</v>
      </c>
      <c r="E65" s="4"/>
      <c r="F65" s="4" t="s">
        <v>40</v>
      </c>
      <c r="G65" s="303" t="s">
        <v>3</v>
      </c>
      <c r="H65" s="4"/>
      <c r="I65" s="4" t="s">
        <v>3</v>
      </c>
      <c r="J65" s="4"/>
      <c r="K65" s="107"/>
      <c r="L65" s="542"/>
      <c r="M65" s="4"/>
    </row>
    <row r="66" spans="1:13" ht="15.5">
      <c r="A66" s="5">
        <v>2</v>
      </c>
      <c r="B66" s="2" t="s">
        <v>41</v>
      </c>
      <c r="C66" s="4" t="s">
        <v>485</v>
      </c>
      <c r="D66" s="321">
        <f>'WP01 Plant'!F20-'WP01 Plant'!F41</f>
        <v>5369041876.7430782</v>
      </c>
      <c r="E66" s="4"/>
      <c r="F66" s="4" t="s">
        <v>14</v>
      </c>
      <c r="G66" s="303">
        <f>I211</f>
        <v>1</v>
      </c>
      <c r="H66" s="4"/>
      <c r="I66" s="282">
        <f>+G66*D66</f>
        <v>5369041876.7430782</v>
      </c>
      <c r="J66" s="4"/>
      <c r="K66" s="107"/>
      <c r="L66" s="542"/>
      <c r="M66" s="4"/>
    </row>
    <row r="67" spans="1:13" ht="15.5">
      <c r="A67" s="5">
        <v>3</v>
      </c>
      <c r="B67" s="2" t="s">
        <v>42</v>
      </c>
      <c r="C67" s="4" t="s">
        <v>486</v>
      </c>
      <c r="D67" s="321">
        <f>'WP01 Plant'!G20</f>
        <v>0</v>
      </c>
      <c r="E67" s="4"/>
      <c r="F67" s="4" t="s">
        <v>40</v>
      </c>
      <c r="G67" s="303" t="s">
        <v>3</v>
      </c>
      <c r="H67" s="4"/>
      <c r="I67" s="282" t="s">
        <v>3</v>
      </c>
      <c r="J67" s="4"/>
      <c r="K67" s="107"/>
      <c r="L67" s="542"/>
      <c r="M67" s="4"/>
    </row>
    <row r="68" spans="1:13" ht="15.5">
      <c r="A68" s="5">
        <v>4</v>
      </c>
      <c r="B68" s="2" t="s">
        <v>43</v>
      </c>
      <c r="C68" s="4" t="s">
        <v>487</v>
      </c>
      <c r="D68" s="321">
        <f>'WP01 Plant'!H20+'WP01 Plant'!I20</f>
        <v>322402761.58615375</v>
      </c>
      <c r="E68" s="4"/>
      <c r="F68" s="4" t="s">
        <v>44</v>
      </c>
      <c r="G68" s="303">
        <f>I228</f>
        <v>1</v>
      </c>
      <c r="H68" s="4"/>
      <c r="I68" s="282">
        <f>+G68*D68</f>
        <v>322402761.58615375</v>
      </c>
      <c r="J68" s="4"/>
      <c r="K68" s="107"/>
      <c r="L68" s="542"/>
      <c r="M68" s="5"/>
    </row>
    <row r="69" spans="1:13" ht="16" thickBot="1">
      <c r="A69" s="5">
        <v>5</v>
      </c>
      <c r="B69" s="2" t="s">
        <v>45</v>
      </c>
      <c r="C69" s="302" t="s">
        <v>488</v>
      </c>
      <c r="D69" s="560">
        <f>'WP01 Plant'!J20</f>
        <v>0</v>
      </c>
      <c r="E69" s="4"/>
      <c r="F69" s="4" t="s">
        <v>46</v>
      </c>
      <c r="G69" s="303">
        <f>K233</f>
        <v>1</v>
      </c>
      <c r="H69" s="4"/>
      <c r="I69" s="298">
        <f>+G69*D69</f>
        <v>0</v>
      </c>
      <c r="J69" s="4"/>
      <c r="K69" s="107"/>
      <c r="L69" s="542"/>
      <c r="M69" s="5"/>
    </row>
    <row r="70" spans="1:13" ht="15.5">
      <c r="A70" s="5">
        <v>6</v>
      </c>
      <c r="B70" s="2" t="s">
        <v>47</v>
      </c>
      <c r="C70" s="4"/>
      <c r="D70" s="282">
        <f>SUM(D65:D69)</f>
        <v>5691444638.3292322</v>
      </c>
      <c r="E70" s="4"/>
      <c r="F70" s="4" t="s">
        <v>48</v>
      </c>
      <c r="G70" s="10">
        <f>IF(I70&gt;0,I70/D70,0)</f>
        <v>1</v>
      </c>
      <c r="H70" s="4"/>
      <c r="I70" s="282">
        <f>SUM(I65:I69)</f>
        <v>5691444638.3292322</v>
      </c>
      <c r="J70" s="4"/>
      <c r="K70" s="561"/>
      <c r="L70" s="308"/>
      <c r="M70" s="4"/>
    </row>
    <row r="71" spans="2:13" ht="15.5">
      <c r="B71" s="2"/>
      <c r="C71" s="4"/>
      <c r="D71" s="282"/>
      <c r="E71" s="4"/>
      <c r="F71" s="4"/>
      <c r="G71" s="10"/>
      <c r="H71" s="4"/>
      <c r="I71" s="282"/>
      <c r="J71" s="4"/>
      <c r="K71" s="561"/>
      <c r="L71" s="308"/>
      <c r="M71" s="4"/>
    </row>
    <row r="72" spans="2:13" ht="15.5">
      <c r="B72" s="2" t="s">
        <v>49</v>
      </c>
      <c r="C72" s="4"/>
      <c r="D72" s="282"/>
      <c r="E72" s="4"/>
      <c r="F72" s="4"/>
      <c r="G72" s="4"/>
      <c r="H72" s="4"/>
      <c r="I72" s="282"/>
      <c r="J72" s="4"/>
      <c r="K72" s="107"/>
      <c r="L72" s="308"/>
      <c r="M72" s="4"/>
    </row>
    <row r="73" spans="1:13" ht="15.5">
      <c r="A73" s="5">
        <v>7</v>
      </c>
      <c r="B73" s="2" t="str">
        <f>+B65</f>
        <v xml:space="preserve">  Production</v>
      </c>
      <c r="C73" s="4" t="s">
        <v>489</v>
      </c>
      <c r="D73" s="321">
        <f>'WP02 Accum Depr'!E20</f>
        <v>0</v>
      </c>
      <c r="E73" s="4"/>
      <c r="F73" s="4" t="str">
        <f t="shared" si="3" ref="F73:G77">+F65</f>
        <v>NA</v>
      </c>
      <c r="G73" s="303" t="str">
        <f t="shared" si="3"/>
        <v xml:space="preserve"> </v>
      </c>
      <c r="H73" s="4"/>
      <c r="I73" s="282" t="s">
        <v>3</v>
      </c>
      <c r="J73" s="4"/>
      <c r="K73" s="107"/>
      <c r="L73" s="308"/>
      <c r="M73" s="4"/>
    </row>
    <row r="74" spans="1:13" ht="15.5">
      <c r="A74" s="5">
        <v>8</v>
      </c>
      <c r="B74" s="2" t="str">
        <f>+B66</f>
        <v xml:space="preserve">  Transmission</v>
      </c>
      <c r="C74" s="4" t="s">
        <v>490</v>
      </c>
      <c r="D74" s="321">
        <f>'WP02 Accum Depr'!F20-'WP02 Accum Depr'!F41</f>
        <v>1219259818.6239049</v>
      </c>
      <c r="E74" s="4"/>
      <c r="F74" s="4" t="str">
        <f t="shared" si="3"/>
        <v>TP</v>
      </c>
      <c r="G74" s="303">
        <f t="shared" si="3"/>
        <v>1</v>
      </c>
      <c r="H74" s="4"/>
      <c r="I74" s="282">
        <f>+G74*D74</f>
        <v>1219259818.6239049</v>
      </c>
      <c r="J74" s="4"/>
      <c r="K74" s="107"/>
      <c r="L74" s="308"/>
      <c r="M74" s="4"/>
    </row>
    <row r="75" spans="1:13" ht="15.5">
      <c r="A75" s="5">
        <v>9</v>
      </c>
      <c r="B75" s="2" t="str">
        <f>+B67</f>
        <v xml:space="preserve">  Distribution</v>
      </c>
      <c r="C75" s="4" t="s">
        <v>491</v>
      </c>
      <c r="D75" s="321">
        <f>'WP02 Accum Depr'!G20</f>
        <v>0</v>
      </c>
      <c r="E75" s="4"/>
      <c r="F75" s="4" t="str">
        <f t="shared" si="3"/>
        <v>NA</v>
      </c>
      <c r="G75" s="303" t="str">
        <f t="shared" si="3"/>
        <v xml:space="preserve"> </v>
      </c>
      <c r="H75" s="4"/>
      <c r="I75" s="282" t="s">
        <v>3</v>
      </c>
      <c r="J75" s="4"/>
      <c r="K75" s="107"/>
      <c r="L75" s="308"/>
      <c r="M75" s="4"/>
    </row>
    <row r="76" spans="1:13" ht="15.5">
      <c r="A76" s="5">
        <v>10</v>
      </c>
      <c r="B76" s="2" t="str">
        <f>+B68</f>
        <v xml:space="preserve">  General &amp; Intangible</v>
      </c>
      <c r="C76" s="4" t="s">
        <v>492</v>
      </c>
      <c r="D76" s="321">
        <f>'WP02 Accum Depr'!H20+'WP02 Accum Depr'!I20</f>
        <v>123494702.84615387</v>
      </c>
      <c r="E76" s="4"/>
      <c r="F76" s="4" t="str">
        <f t="shared" si="3"/>
        <v>W/S</v>
      </c>
      <c r="G76" s="303">
        <f t="shared" si="3"/>
        <v>1</v>
      </c>
      <c r="H76" s="4"/>
      <c r="I76" s="282">
        <f>+G76*D76</f>
        <v>123494702.84615387</v>
      </c>
      <c r="J76" s="4"/>
      <c r="K76" s="107"/>
      <c r="L76" s="308"/>
      <c r="M76" s="5"/>
    </row>
    <row r="77" spans="1:13" ht="16" thickBot="1">
      <c r="A77" s="5">
        <v>11</v>
      </c>
      <c r="B77" s="2" t="str">
        <f>+B69</f>
        <v xml:space="preserve">  Common</v>
      </c>
      <c r="C77" s="302" t="s">
        <v>488</v>
      </c>
      <c r="D77" s="560">
        <f>'WP02 Accum Depr'!J20</f>
        <v>0</v>
      </c>
      <c r="E77" s="4"/>
      <c r="F77" s="4" t="str">
        <f t="shared" si="3"/>
        <v>CE</v>
      </c>
      <c r="G77" s="303">
        <f t="shared" si="3"/>
        <v>1</v>
      </c>
      <c r="H77" s="4"/>
      <c r="I77" s="298">
        <f>+G77*D77</f>
        <v>0</v>
      </c>
      <c r="J77" s="4"/>
      <c r="K77" s="107"/>
      <c r="L77" s="308"/>
      <c r="M77" s="5"/>
    </row>
    <row r="78" spans="1:13" ht="15.5">
      <c r="A78" s="5">
        <v>12</v>
      </c>
      <c r="B78" s="2" t="s">
        <v>204</v>
      </c>
      <c r="C78" s="4"/>
      <c r="D78" s="282">
        <f>SUM(D73:D77)</f>
        <v>1342754521.4700589</v>
      </c>
      <c r="E78" s="4"/>
      <c r="F78" s="4"/>
      <c r="G78" s="4"/>
      <c r="H78" s="4"/>
      <c r="I78" s="282">
        <f>SUM(I73:I77)</f>
        <v>1342754521.4700589</v>
      </c>
      <c r="J78" s="4"/>
      <c r="K78" s="107"/>
      <c r="L78" s="302"/>
      <c r="M78" s="4"/>
    </row>
    <row r="79" spans="1:13" ht="15.5">
      <c r="A79" s="5"/>
      <c r="C79" s="4" t="s">
        <v>3</v>
      </c>
      <c r="E79" s="4"/>
      <c r="F79" s="4"/>
      <c r="G79" s="10"/>
      <c r="H79" s="4"/>
      <c r="I79" s="545"/>
      <c r="J79" s="4"/>
      <c r="K79" s="561"/>
      <c r="L79" s="308"/>
      <c r="M79" s="4"/>
    </row>
    <row r="80" spans="1:13" ht="15.5">
      <c r="A80" s="5"/>
      <c r="B80" s="2" t="s">
        <v>52</v>
      </c>
      <c r="C80" s="4"/>
      <c r="D80" s="4"/>
      <c r="E80" s="4"/>
      <c r="F80" s="4"/>
      <c r="G80" s="4"/>
      <c r="H80" s="4"/>
      <c r="I80" s="545"/>
      <c r="J80" s="4"/>
      <c r="K80" s="107"/>
      <c r="L80" s="308"/>
      <c r="M80" s="4"/>
    </row>
    <row r="81" spans="1:13" ht="15.5">
      <c r="A81" s="5">
        <v>13</v>
      </c>
      <c r="B81" s="2" t="str">
        <f>+B73</f>
        <v xml:space="preserve">  Production</v>
      </c>
      <c r="C81" s="4" t="s">
        <v>189</v>
      </c>
      <c r="D81" s="282">
        <f>D65-D73</f>
        <v>0</v>
      </c>
      <c r="E81" s="4"/>
      <c r="F81" s="4"/>
      <c r="G81" s="10"/>
      <c r="H81" s="4"/>
      <c r="I81" s="282" t="s">
        <v>3</v>
      </c>
      <c r="J81" s="4"/>
      <c r="K81" s="561"/>
      <c r="L81" s="308"/>
      <c r="M81" s="4"/>
    </row>
    <row r="82" spans="1:13" ht="15.5">
      <c r="A82" s="5">
        <v>14</v>
      </c>
      <c r="B82" s="2" t="str">
        <f>+B74</f>
        <v xml:space="preserve">  Transmission</v>
      </c>
      <c r="C82" s="4" t="s">
        <v>190</v>
      </c>
      <c r="D82" s="282">
        <f>D66-D74</f>
        <v>4149782058.119173</v>
      </c>
      <c r="E82" s="4"/>
      <c r="F82" s="4"/>
      <c r="G82" s="303"/>
      <c r="H82" s="4"/>
      <c r="I82" s="282">
        <f>I66-I74</f>
        <v>4149782058.119173</v>
      </c>
      <c r="J82" s="4"/>
      <c r="K82" s="107"/>
      <c r="L82" s="308"/>
      <c r="M82" s="4"/>
    </row>
    <row r="83" spans="1:13" ht="15.5">
      <c r="A83" s="5">
        <v>15</v>
      </c>
      <c r="B83" s="2" t="str">
        <f>+B75</f>
        <v xml:space="preserve">  Distribution</v>
      </c>
      <c r="C83" s="4" t="s">
        <v>191</v>
      </c>
      <c r="D83" s="282">
        <f>D67-D75</f>
        <v>0</v>
      </c>
      <c r="E83" s="4"/>
      <c r="F83" s="4"/>
      <c r="G83" s="10"/>
      <c r="H83" s="4"/>
      <c r="I83" s="282" t="s">
        <v>3</v>
      </c>
      <c r="J83" s="4"/>
      <c r="K83" s="562"/>
      <c r="L83" s="308"/>
      <c r="M83" s="4"/>
    </row>
    <row r="84" spans="1:13" ht="15.5">
      <c r="A84" s="5">
        <v>16</v>
      </c>
      <c r="B84" s="2" t="str">
        <f>+B76</f>
        <v xml:space="preserve">  General &amp; Intangible</v>
      </c>
      <c r="C84" s="4" t="s">
        <v>192</v>
      </c>
      <c r="D84" s="300">
        <f>D68-D76</f>
        <v>198908058.73999989</v>
      </c>
      <c r="E84" s="4"/>
      <c r="F84" s="4"/>
      <c r="G84" s="10"/>
      <c r="H84" s="4"/>
      <c r="I84" s="282">
        <f>I68-I76</f>
        <v>198908058.73999989</v>
      </c>
      <c r="J84" s="4"/>
      <c r="K84" s="10"/>
      <c r="L84" s="308"/>
      <c r="M84" s="5"/>
    </row>
    <row r="85" spans="1:13" ht="16" thickBot="1">
      <c r="A85" s="5">
        <v>17</v>
      </c>
      <c r="B85" s="2" t="str">
        <f>+B77</f>
        <v xml:space="preserve">  Common</v>
      </c>
      <c r="C85" s="4" t="s">
        <v>193</v>
      </c>
      <c r="D85" s="298">
        <f>D69-D77</f>
        <v>0</v>
      </c>
      <c r="E85" s="4"/>
      <c r="F85" s="4"/>
      <c r="G85" s="10"/>
      <c r="H85" s="4"/>
      <c r="I85" s="298">
        <f>I69-I77</f>
        <v>0</v>
      </c>
      <c r="J85" s="4"/>
      <c r="K85" s="10"/>
      <c r="L85" s="308"/>
      <c r="M85" s="5"/>
    </row>
    <row r="86" spans="1:13" ht="15.5">
      <c r="A86" s="5">
        <v>18</v>
      </c>
      <c r="B86" s="2" t="s">
        <v>53</v>
      </c>
      <c r="C86" s="4"/>
      <c r="D86" s="282">
        <f>SUM(D81:D85)</f>
        <v>4348690116.8591728</v>
      </c>
      <c r="E86" s="4"/>
      <c r="F86" s="4" t="s">
        <v>54</v>
      </c>
      <c r="G86" s="10">
        <f>IF(I86&gt;0,I86/D86,0)</f>
        <v>1</v>
      </c>
      <c r="H86" s="4"/>
      <c r="I86" s="282">
        <f>SUM(I81:I85)</f>
        <v>4348690116.8591728</v>
      </c>
      <c r="J86" s="4"/>
      <c r="K86" s="4"/>
      <c r="L86" s="308"/>
      <c r="M86" s="4"/>
    </row>
    <row r="87" spans="1:13" ht="15.5">
      <c r="A87" s="5"/>
      <c r="C87" s="4"/>
      <c r="D87" s="282"/>
      <c r="E87" s="4"/>
      <c r="H87" s="4"/>
      <c r="I87" s="282"/>
      <c r="J87" s="4"/>
      <c r="K87" s="10"/>
      <c r="L87" s="308"/>
      <c r="M87" s="4"/>
    </row>
    <row r="88" spans="1:13" ht="15.5">
      <c r="A88" s="5"/>
      <c r="B88" s="2" t="s">
        <v>904</v>
      </c>
      <c r="C88" s="4"/>
      <c r="D88" s="282"/>
      <c r="E88" s="4"/>
      <c r="F88" s="4"/>
      <c r="G88" s="4"/>
      <c r="H88" s="4"/>
      <c r="I88" s="282"/>
      <c r="J88" s="4"/>
      <c r="K88" s="4"/>
      <c r="L88" s="308" t="s">
        <v>3</v>
      </c>
      <c r="M88" s="4"/>
    </row>
    <row r="89" spans="1:13" ht="15.5">
      <c r="A89" s="5">
        <v>19</v>
      </c>
      <c r="B89" s="2" t="s">
        <v>55</v>
      </c>
      <c r="C89" s="4" t="s">
        <v>888</v>
      </c>
      <c r="D89" s="321">
        <f>'Appendix G(3) - ADIT'!E27</f>
        <v>0</v>
      </c>
      <c r="E89" s="4"/>
      <c r="F89" s="4" t="str">
        <f>+F73</f>
        <v>NA</v>
      </c>
      <c r="G89" s="233"/>
      <c r="H89" s="4"/>
      <c r="I89" s="282"/>
      <c r="J89" s="4"/>
      <c r="K89" s="10"/>
      <c r="L89" s="310"/>
      <c r="M89" s="5"/>
    </row>
    <row r="90" spans="1:13" ht="15.5">
      <c r="A90" s="5">
        <v>20</v>
      </c>
      <c r="B90" s="2" t="s">
        <v>57</v>
      </c>
      <c r="C90" s="4" t="s">
        <v>888</v>
      </c>
      <c r="D90" s="321">
        <f>'Appendix G(3) - ADIT'!F27</f>
        <v>-966077501.71349621</v>
      </c>
      <c r="E90" s="4"/>
      <c r="F90" s="4" t="s">
        <v>58</v>
      </c>
      <c r="G90" s="303">
        <f>+G86</f>
        <v>1</v>
      </c>
      <c r="H90" s="4"/>
      <c r="I90" s="282">
        <f>D90*G90</f>
        <v>-966077501.71349621</v>
      </c>
      <c r="J90" s="4"/>
      <c r="K90" s="10"/>
      <c r="L90" s="310"/>
      <c r="M90" s="5"/>
    </row>
    <row r="91" spans="1:13" ht="15.5">
      <c r="A91" s="5">
        <v>21</v>
      </c>
      <c r="B91" s="2" t="s">
        <v>59</v>
      </c>
      <c r="C91" s="4" t="s">
        <v>888</v>
      </c>
      <c r="D91" s="163">
        <f>'Appendix G(3) - ADIT'!G27</f>
        <v>-57860222.971144952</v>
      </c>
      <c r="E91" s="4"/>
      <c r="F91" s="4" t="s">
        <v>58</v>
      </c>
      <c r="G91" s="303">
        <f>+G90</f>
        <v>1</v>
      </c>
      <c r="H91" s="4"/>
      <c r="I91" s="282">
        <f>D91*G91</f>
        <v>-57860222.971144952</v>
      </c>
      <c r="J91" s="4"/>
      <c r="K91" s="10"/>
      <c r="L91" s="310"/>
      <c r="M91" s="5"/>
    </row>
    <row r="92" spans="1:13" ht="15.5">
      <c r="A92" s="5">
        <v>22</v>
      </c>
      <c r="B92" s="2" t="s">
        <v>60</v>
      </c>
      <c r="C92" s="4" t="s">
        <v>888</v>
      </c>
      <c r="D92" s="163">
        <f>'Appendix G(3) - ADIT'!H27</f>
        <v>155884921.86146665</v>
      </c>
      <c r="E92" s="4"/>
      <c r="F92" s="4" t="str">
        <f>+F91</f>
        <v>NP</v>
      </c>
      <c r="G92" s="303">
        <f>+G91</f>
        <v>1</v>
      </c>
      <c r="H92" s="4"/>
      <c r="I92" s="282">
        <f>D92*G92</f>
        <v>155884921.86146665</v>
      </c>
      <c r="J92" s="4"/>
      <c r="K92" s="10"/>
      <c r="L92" s="310"/>
      <c r="M92" s="5"/>
    </row>
    <row r="93" spans="1:13" ht="15.5">
      <c r="A93" s="5">
        <v>23</v>
      </c>
      <c r="B93" s="1" t="s">
        <v>61</v>
      </c>
      <c r="C93" s="4" t="s">
        <v>888</v>
      </c>
      <c r="D93" s="163">
        <f>'Appendix G(3) - ADIT'!I27</f>
        <v>0</v>
      </c>
      <c r="E93" s="4"/>
      <c r="F93" s="4" t="s">
        <v>58</v>
      </c>
      <c r="G93" s="303">
        <f>+G91</f>
        <v>1</v>
      </c>
      <c r="H93" s="4"/>
      <c r="I93" s="304">
        <f>D93*G93</f>
        <v>0</v>
      </c>
      <c r="J93" s="4"/>
      <c r="K93" s="10"/>
      <c r="L93" s="310"/>
      <c r="M93" s="5"/>
    </row>
    <row r="94" spans="1:13" ht="15.5">
      <c r="A94" s="5">
        <v>24</v>
      </c>
      <c r="B94" s="2" t="s">
        <v>813</v>
      </c>
      <c r="C94" s="4"/>
      <c r="D94" s="300">
        <f>SUM(D89:D93)</f>
        <v>-868052802.82317448</v>
      </c>
      <c r="E94" s="301"/>
      <c r="F94" s="301"/>
      <c r="G94" s="301"/>
      <c r="H94" s="301"/>
      <c r="I94" s="282">
        <f>SUM(I89:I93)</f>
        <v>-868052802.82317448</v>
      </c>
      <c r="J94" s="4"/>
      <c r="K94" s="4"/>
      <c r="L94" s="302"/>
      <c r="M94" s="4"/>
    </row>
    <row r="95" spans="1:13" ht="15.5">
      <c r="A95" s="5"/>
      <c r="C95" s="4"/>
      <c r="D95" s="282"/>
      <c r="E95" s="4"/>
      <c r="F95" s="4"/>
      <c r="G95" s="10"/>
      <c r="H95" s="4"/>
      <c r="I95" s="282"/>
      <c r="J95" s="4"/>
      <c r="K95" s="10"/>
      <c r="L95" s="308"/>
      <c r="M95" s="4"/>
    </row>
    <row r="96" spans="1:13" ht="15.5">
      <c r="A96" s="5">
        <v>25</v>
      </c>
      <c r="B96" s="2" t="s">
        <v>62</v>
      </c>
      <c r="C96" s="4" t="s">
        <v>493</v>
      </c>
      <c r="D96" s="321">
        <f>'WP04 Other RB'!E9</f>
        <v>0</v>
      </c>
      <c r="E96" s="4"/>
      <c r="F96" s="4" t="str">
        <f>+F74</f>
        <v>TP</v>
      </c>
      <c r="G96" s="303">
        <f>+G74</f>
        <v>1</v>
      </c>
      <c r="H96" s="4"/>
      <c r="I96" s="282">
        <f>+G96*D96</f>
        <v>0</v>
      </c>
      <c r="J96" s="4"/>
      <c r="K96" s="4"/>
      <c r="L96" s="308"/>
      <c r="M96" s="4"/>
    </row>
    <row r="97" spans="1:13" ht="15.5">
      <c r="A97" s="5"/>
      <c r="B97" s="2"/>
      <c r="C97" s="4"/>
      <c r="D97" s="545"/>
      <c r="E97" s="4"/>
      <c r="F97" s="4"/>
      <c r="G97" s="4"/>
      <c r="H97" s="4"/>
      <c r="I97" s="282"/>
      <c r="J97" s="4"/>
      <c r="K97" s="4"/>
      <c r="L97" s="308"/>
      <c r="M97" s="4"/>
    </row>
    <row r="98" spans="1:13" ht="15.5">
      <c r="A98" s="5"/>
      <c r="B98" s="2" t="s">
        <v>194</v>
      </c>
      <c r="C98" s="4" t="s">
        <v>3</v>
      </c>
      <c r="D98" s="545"/>
      <c r="E98" s="4"/>
      <c r="F98" s="4"/>
      <c r="G98" s="4"/>
      <c r="H98" s="4"/>
      <c r="I98" s="545"/>
      <c r="J98" s="4"/>
      <c r="K98" s="4"/>
      <c r="L98" s="308"/>
      <c r="M98" s="4"/>
    </row>
    <row r="99" spans="1:13" ht="15.5">
      <c r="A99" s="5">
        <v>26</v>
      </c>
      <c r="B99" s="2" t="s">
        <v>63</v>
      </c>
      <c r="C99" s="1" t="s">
        <v>64</v>
      </c>
      <c r="D99" s="282">
        <f>(D146-D144-7509422)/8</f>
        <v>27838223.75</v>
      </c>
      <c r="E99" s="4"/>
      <c r="F99" s="4"/>
      <c r="G99" s="10"/>
      <c r="H99" s="4"/>
      <c r="I99" s="282">
        <f>+(I146-I144-7509422)/8</f>
        <v>27116596.90963763</v>
      </c>
      <c r="J99" s="2"/>
      <c r="K99" s="10"/>
      <c r="L99" s="308"/>
      <c r="M99" s="5"/>
    </row>
    <row r="100" spans="1:13" ht="15.5">
      <c r="A100" s="5">
        <v>27</v>
      </c>
      <c r="B100" s="2" t="s">
        <v>195</v>
      </c>
      <c r="C100" s="4" t="s">
        <v>494</v>
      </c>
      <c r="D100" s="321">
        <f>'WP04 Other RB'!F9</f>
        <v>694830.5</v>
      </c>
      <c r="E100" s="4"/>
      <c r="F100" s="4" t="s">
        <v>65</v>
      </c>
      <c r="G100" s="303">
        <f>I220</f>
        <v>0.9530269847047208</v>
      </c>
      <c r="H100" s="4"/>
      <c r="I100" s="282">
        <f>+G100*D100</f>
        <v>662192.21629587351</v>
      </c>
      <c r="J100" s="4" t="s">
        <v>3</v>
      </c>
      <c r="K100" s="10"/>
      <c r="L100" s="308"/>
      <c r="M100" s="5"/>
    </row>
    <row r="101" spans="1:13" ht="15.5">
      <c r="A101" s="5" t="s">
        <v>518</v>
      </c>
      <c r="B101" s="2" t="s">
        <v>66</v>
      </c>
      <c r="C101" s="4" t="s">
        <v>521</v>
      </c>
      <c r="D101" s="163">
        <f>'WP04 Other RB'!G9</f>
        <v>2278477.6749999998</v>
      </c>
      <c r="E101" s="4"/>
      <c r="F101" s="4" t="s">
        <v>67</v>
      </c>
      <c r="G101" s="303">
        <f>+G70</f>
        <v>1</v>
      </c>
      <c r="H101" s="4"/>
      <c r="I101" s="304">
        <f>+G101*D101</f>
        <v>2278477.6749999998</v>
      </c>
      <c r="J101" s="4"/>
      <c r="K101" s="10"/>
      <c r="L101" s="308"/>
      <c r="M101" s="5"/>
    </row>
    <row r="102" spans="1:13" ht="15.5">
      <c r="A102" s="5" t="s">
        <v>519</v>
      </c>
      <c r="B102" s="2" t="s">
        <v>522</v>
      </c>
      <c r="C102" s="4"/>
      <c r="D102" s="163">
        <f>-'WP04 Other RB'!K17</f>
        <v>0</v>
      </c>
      <c r="E102" s="4"/>
      <c r="F102" s="4" t="s">
        <v>58</v>
      </c>
      <c r="G102" s="303">
        <f>G86</f>
        <v>1</v>
      </c>
      <c r="H102" s="4"/>
      <c r="I102" s="304">
        <f>D102*G102</f>
        <v>0</v>
      </c>
      <c r="J102" s="4"/>
      <c r="K102" s="10"/>
      <c r="L102" s="308"/>
      <c r="M102" s="5"/>
    </row>
    <row r="103" spans="1:13" ht="16" thickBot="1">
      <c r="A103" s="5" t="s">
        <v>520</v>
      </c>
      <c r="B103" s="2" t="s">
        <v>561</v>
      </c>
      <c r="C103" s="4"/>
      <c r="D103" s="560">
        <f>-'WP04 Other RB'!K25</f>
        <v>0</v>
      </c>
      <c r="E103" s="4"/>
      <c r="F103" s="4" t="s">
        <v>44</v>
      </c>
      <c r="G103" s="303">
        <f>I228</f>
        <v>1</v>
      </c>
      <c r="H103" s="4"/>
      <c r="I103" s="298">
        <f>D103*G103</f>
        <v>0</v>
      </c>
      <c r="J103" s="4"/>
      <c r="K103" s="10"/>
      <c r="L103" s="308"/>
      <c r="M103" s="5"/>
    </row>
    <row r="104" spans="1:13" ht="15.5">
      <c r="A104" s="5">
        <v>29</v>
      </c>
      <c r="B104" s="2" t="s">
        <v>564</v>
      </c>
      <c r="C104" s="2"/>
      <c r="D104" s="300">
        <f>SUM(D99:D103)</f>
        <v>30811531.925000001</v>
      </c>
      <c r="E104" s="2"/>
      <c r="F104" s="2"/>
      <c r="G104" s="2"/>
      <c r="H104" s="2"/>
      <c r="I104" s="282">
        <f>SUM(I99:I103)</f>
        <v>30057266.800933503</v>
      </c>
      <c r="J104" s="2"/>
      <c r="K104" s="2"/>
      <c r="L104" s="302"/>
      <c r="M104" s="4"/>
    </row>
    <row r="105" spans="3:13" ht="16" thickBot="1">
      <c r="C105" s="4"/>
      <c r="D105" s="298"/>
      <c r="E105" s="4"/>
      <c r="F105" s="4"/>
      <c r="G105" s="4"/>
      <c r="H105" s="4"/>
      <c r="I105" s="298"/>
      <c r="J105" s="4"/>
      <c r="K105" s="4"/>
      <c r="L105" s="308"/>
      <c r="M105" s="4"/>
    </row>
    <row r="106" spans="1:13" ht="16" thickBot="1">
      <c r="A106" s="5">
        <v>30</v>
      </c>
      <c r="B106" s="2" t="s">
        <v>68</v>
      </c>
      <c r="C106" s="4"/>
      <c r="D106" s="563">
        <f>+D104+D96+D94+D86</f>
        <v>3511448845.9609985</v>
      </c>
      <c r="E106" s="4"/>
      <c r="F106" s="4"/>
      <c r="G106" s="10"/>
      <c r="H106" s="4"/>
      <c r="I106" s="563">
        <f>+I104+I96+I94+I86</f>
        <v>3510694580.8369317</v>
      </c>
      <c r="J106" s="4"/>
      <c r="K106" s="10"/>
      <c r="L106" s="308"/>
      <c r="M106" s="4"/>
    </row>
    <row r="107" spans="1:13" ht="16" thickTop="1">
      <c r="A107" s="5"/>
      <c r="B107" s="2"/>
      <c r="C107" s="4"/>
      <c r="D107" s="564"/>
      <c r="E107" s="4"/>
      <c r="F107" s="4"/>
      <c r="G107" s="10"/>
      <c r="H107" s="4"/>
      <c r="I107" s="4"/>
      <c r="J107" s="4"/>
      <c r="K107" s="10"/>
      <c r="L107" s="308"/>
      <c r="M107" s="4"/>
    </row>
    <row r="108" spans="1:13" ht="15.5">
      <c r="A108" s="5"/>
      <c r="B108" s="2"/>
      <c r="C108" s="4"/>
      <c r="D108" s="564"/>
      <c r="E108" s="4"/>
      <c r="F108" s="4"/>
      <c r="G108" s="10"/>
      <c r="H108" s="4"/>
      <c r="I108" s="4"/>
      <c r="J108" s="4"/>
      <c r="K108" s="10"/>
      <c r="L108" s="308"/>
      <c r="M108" s="4"/>
    </row>
    <row r="109" spans="1:13" ht="15.5">
      <c r="A109" s="5"/>
      <c r="B109" s="2"/>
      <c r="C109" s="4"/>
      <c r="D109" s="564"/>
      <c r="E109" s="4"/>
      <c r="F109" s="4"/>
      <c r="G109" s="10"/>
      <c r="H109" s="4"/>
      <c r="I109" s="4"/>
      <c r="J109" s="4"/>
      <c r="K109" s="10"/>
      <c r="L109" s="308"/>
      <c r="M109" s="4"/>
    </row>
    <row r="110" spans="1:13" ht="15.5">
      <c r="A110" s="5"/>
      <c r="B110" s="2"/>
      <c r="C110" s="4"/>
      <c r="D110" s="4"/>
      <c r="E110" s="4"/>
      <c r="F110" s="4"/>
      <c r="G110" s="10"/>
      <c r="H110" s="4"/>
      <c r="I110" s="4"/>
      <c r="J110" s="4"/>
      <c r="K110" s="10"/>
      <c r="L110" s="308"/>
      <c r="M110" s="4"/>
    </row>
    <row r="111" spans="1:13" ht="15.5">
      <c r="A111" s="5"/>
      <c r="B111" s="2"/>
      <c r="C111" s="4"/>
      <c r="D111" s="4"/>
      <c r="E111" s="4"/>
      <c r="F111" s="4"/>
      <c r="G111" s="10"/>
      <c r="H111" s="4"/>
      <c r="I111" s="4"/>
      <c r="J111" s="4"/>
      <c r="K111" s="10"/>
      <c r="L111" s="308"/>
      <c r="M111" s="4"/>
    </row>
    <row r="112" spans="1:13" ht="15.5">
      <c r="A112" s="5"/>
      <c r="B112" s="2"/>
      <c r="C112" s="4"/>
      <c r="D112" s="4"/>
      <c r="E112" s="4"/>
      <c r="F112" s="4"/>
      <c r="G112" s="10"/>
      <c r="H112" s="4"/>
      <c r="I112" s="4"/>
      <c r="J112" s="4"/>
      <c r="K112" s="10"/>
      <c r="L112" s="308"/>
      <c r="M112" s="4"/>
    </row>
    <row r="113" spans="1:13" ht="15.5">
      <c r="A113" s="5"/>
      <c r="B113" s="2"/>
      <c r="C113" s="4"/>
      <c r="D113" s="4"/>
      <c r="E113" s="4"/>
      <c r="F113" s="4"/>
      <c r="G113" s="10"/>
      <c r="H113" s="4"/>
      <c r="I113" s="4"/>
      <c r="J113" s="4"/>
      <c r="K113" s="10"/>
      <c r="L113" s="308"/>
      <c r="M113" s="4"/>
    </row>
    <row r="114" spans="1:13" ht="15.5">
      <c r="A114" s="5"/>
      <c r="B114" s="2"/>
      <c r="C114" s="4"/>
      <c r="D114" s="4"/>
      <c r="F114" s="4"/>
      <c r="G114" s="10"/>
      <c r="H114" s="4"/>
      <c r="I114" s="4"/>
      <c r="J114" s="4"/>
      <c r="K114" s="10"/>
      <c r="L114" s="308"/>
      <c r="M114" s="4"/>
    </row>
    <row r="115" spans="1:13" ht="15.5">
      <c r="A115" s="5"/>
      <c r="B115" s="2"/>
      <c r="C115" s="4"/>
      <c r="D115" s="4"/>
      <c r="E115" s="4"/>
      <c r="F115" s="4"/>
      <c r="G115" s="10"/>
      <c r="H115" s="4"/>
      <c r="I115" s="4"/>
      <c r="J115" s="4"/>
      <c r="K115" s="10"/>
      <c r="L115" s="308"/>
      <c r="M115" s="4"/>
    </row>
    <row r="116" spans="1:13" ht="15.5">
      <c r="A116" s="5"/>
      <c r="B116" s="2"/>
      <c r="C116" s="4"/>
      <c r="D116" s="4"/>
      <c r="E116" s="4"/>
      <c r="F116" s="4"/>
      <c r="G116" s="10"/>
      <c r="H116" s="4"/>
      <c r="I116" s="4"/>
      <c r="J116" s="4"/>
      <c r="K116" s="10"/>
      <c r="L116" s="308"/>
      <c r="M116" s="4"/>
    </row>
    <row r="117" spans="1:13" ht="15.5">
      <c r="A117" s="5"/>
      <c r="B117" s="2"/>
      <c r="C117" s="4"/>
      <c r="D117" s="4"/>
      <c r="E117" s="4"/>
      <c r="F117" s="4"/>
      <c r="G117" s="10"/>
      <c r="H117" s="4"/>
      <c r="I117" s="4"/>
      <c r="J117" s="4"/>
      <c r="K117" s="10"/>
      <c r="L117" s="308"/>
      <c r="M117" s="4"/>
    </row>
    <row r="118" spans="1:13" ht="15.5">
      <c r="A118" s="5"/>
      <c r="B118" s="2"/>
      <c r="C118" s="4"/>
      <c r="D118" s="4"/>
      <c r="E118" s="4"/>
      <c r="F118" s="4"/>
      <c r="G118" s="10"/>
      <c r="H118" s="4"/>
      <c r="I118" s="4"/>
      <c r="J118" s="4"/>
      <c r="K118" s="10"/>
      <c r="L118" s="308"/>
      <c r="M118" s="4"/>
    </row>
    <row r="119" spans="1:13" ht="15.5">
      <c r="A119" s="5"/>
      <c r="B119" s="2"/>
      <c r="C119" s="4"/>
      <c r="D119" s="4"/>
      <c r="E119" s="4"/>
      <c r="F119" s="4"/>
      <c r="G119" s="10"/>
      <c r="H119" s="4"/>
      <c r="I119" s="4"/>
      <c r="J119" s="4"/>
      <c r="K119" s="10"/>
      <c r="L119" s="308"/>
      <c r="M119" s="4"/>
    </row>
    <row r="120" spans="1:12" ht="15.5">
      <c r="A120" s="565"/>
      <c r="B120" s="2"/>
      <c r="C120" s="4"/>
      <c r="D120" s="4"/>
      <c r="E120" s="4"/>
      <c r="F120" s="4"/>
      <c r="G120" s="10"/>
      <c r="H120" s="4"/>
      <c r="I120" s="4"/>
      <c r="J120" s="4"/>
      <c r="K120" s="559"/>
      <c r="L120" s="542"/>
    </row>
    <row r="121" spans="1:12" ht="15.5">
      <c r="A121" s="565"/>
      <c r="B121" s="2"/>
      <c r="C121" s="4"/>
      <c r="D121" s="4"/>
      <c r="E121" s="4"/>
      <c r="F121" s="4"/>
      <c r="G121" s="10"/>
      <c r="H121" s="4"/>
      <c r="I121" s="4"/>
      <c r="J121" s="4"/>
      <c r="K121" s="559"/>
      <c r="L121" s="542"/>
    </row>
    <row r="122" spans="2:13" ht="15.5">
      <c r="B122" s="2"/>
      <c r="C122" s="2"/>
      <c r="D122" s="302"/>
      <c r="E122" s="2"/>
      <c r="F122" s="2"/>
      <c r="G122" s="2"/>
      <c r="H122" s="2"/>
      <c r="I122" s="5"/>
      <c r="J122" s="5"/>
      <c r="K122" s="3"/>
      <c r="L122" s="302"/>
      <c r="M122" s="2"/>
    </row>
    <row r="123" spans="2:13" ht="15.5">
      <c r="B123" s="2"/>
      <c r="C123" s="2"/>
      <c r="D123" s="302"/>
      <c r="E123" s="2"/>
      <c r="F123" s="2"/>
      <c r="G123" s="2"/>
      <c r="H123" s="2"/>
      <c r="I123" s="3"/>
      <c r="J123" s="3"/>
      <c r="K123" s="3"/>
      <c r="L123" s="302"/>
      <c r="M123" s="2"/>
    </row>
    <row r="124" spans="2:13" ht="16.5" customHeight="1">
      <c r="B124" s="2"/>
      <c r="C124" s="2"/>
      <c r="D124" s="302"/>
      <c r="E124" s="2"/>
      <c r="F124" s="2"/>
      <c r="G124" s="2"/>
      <c r="H124" s="2"/>
      <c r="I124" s="2"/>
      <c r="K124" s="3" t="s">
        <v>305</v>
      </c>
      <c r="L124" s="302"/>
      <c r="M124" s="2"/>
    </row>
    <row r="125" spans="2:13" ht="16.5" customHeight="1">
      <c r="B125" s="2"/>
      <c r="C125" s="2"/>
      <c r="D125" s="302"/>
      <c r="E125" s="2"/>
      <c r="F125" s="2"/>
      <c r="G125" s="2"/>
      <c r="H125" s="2"/>
      <c r="I125" s="2"/>
      <c r="J125" s="2"/>
      <c r="K125" s="3" t="s">
        <v>182</v>
      </c>
      <c r="L125" s="302"/>
      <c r="M125" s="2"/>
    </row>
    <row r="126" spans="2:13" ht="16.5" customHeight="1">
      <c r="B126" s="2"/>
      <c r="C126" s="2"/>
      <c r="D126" s="302"/>
      <c r="E126" s="2"/>
      <c r="F126" s="2"/>
      <c r="G126" s="2"/>
      <c r="H126" s="2"/>
      <c r="I126" s="2"/>
      <c r="J126" s="2"/>
      <c r="K126" s="3"/>
      <c r="L126" s="302"/>
      <c r="M126" s="2"/>
    </row>
    <row r="127" spans="2:13" ht="15.5">
      <c r="B127" s="2" t="s">
        <v>1</v>
      </c>
      <c r="C127" s="2"/>
      <c r="D127" s="302" t="s">
        <v>2</v>
      </c>
      <c r="E127" s="2"/>
      <c r="F127" s="2"/>
      <c r="G127" s="2"/>
      <c r="H127" s="514"/>
      <c r="I127" s="284"/>
      <c r="J127" s="514"/>
      <c r="K127" s="426" t="str">
        <f>K4</f>
        <v>For the 12 months ended 12/31/2022</v>
      </c>
      <c r="L127" s="302"/>
      <c r="M127" s="2"/>
    </row>
    <row r="128" spans="2:13" ht="15.5">
      <c r="B128" s="2"/>
      <c r="C128" s="4" t="s">
        <v>3</v>
      </c>
      <c r="D128" s="4" t="s">
        <v>4</v>
      </c>
      <c r="E128" s="4"/>
      <c r="F128" s="4"/>
      <c r="G128" s="4"/>
      <c r="H128" s="2"/>
      <c r="I128" s="2"/>
      <c r="J128" s="2"/>
      <c r="K128" s="2"/>
      <c r="L128" s="302"/>
      <c r="M128" s="2"/>
    </row>
    <row r="129" spans="2:13" ht="15.5">
      <c r="B129" s="2"/>
      <c r="C129" s="4"/>
      <c r="D129" s="4"/>
      <c r="E129" s="4"/>
      <c r="F129" s="4"/>
      <c r="G129" s="4"/>
      <c r="H129" s="2"/>
      <c r="I129" s="2"/>
      <c r="J129" s="2"/>
      <c r="K129" s="2"/>
      <c r="L129" s="302"/>
      <c r="M129" s="2"/>
    </row>
    <row r="130" spans="1:13" ht="15.5">
      <c r="A130" s="5"/>
      <c r="D130" s="1" t="str">
        <f>D7</f>
        <v>American Transmission Systems, Inc.</v>
      </c>
      <c r="J130" s="4"/>
      <c r="K130" s="4"/>
      <c r="L130" s="308"/>
      <c r="M130" s="4"/>
    </row>
    <row r="131" spans="1:13" ht="15.5">
      <c r="A131" s="5"/>
      <c r="B131" s="5" t="s">
        <v>27</v>
      </c>
      <c r="C131" s="5" t="s">
        <v>28</v>
      </c>
      <c r="D131" s="5" t="s">
        <v>29</v>
      </c>
      <c r="E131" s="4" t="s">
        <v>3</v>
      </c>
      <c r="F131" s="4"/>
      <c r="G131" s="6" t="s">
        <v>30</v>
      </c>
      <c r="H131" s="4"/>
      <c r="I131" s="7" t="s">
        <v>31</v>
      </c>
      <c r="J131" s="4"/>
      <c r="K131" s="4"/>
      <c r="L131" s="302"/>
      <c r="M131" s="4"/>
    </row>
    <row r="132" spans="1:13" ht="15.5">
      <c r="A132" s="5" t="s">
        <v>5</v>
      </c>
      <c r="B132" s="2"/>
      <c r="C132" s="153" t="s">
        <v>444</v>
      </c>
      <c r="D132" s="4"/>
      <c r="E132" s="4"/>
      <c r="F132" s="4"/>
      <c r="G132" s="5"/>
      <c r="H132" s="4"/>
      <c r="I132" s="8" t="s">
        <v>33</v>
      </c>
      <c r="J132" s="4"/>
      <c r="K132" s="8"/>
      <c r="L132" s="302"/>
      <c r="M132" s="4"/>
    </row>
    <row r="133" spans="1:13" ht="16" thickBot="1">
      <c r="A133" s="515" t="s">
        <v>7</v>
      </c>
      <c r="B133" s="2"/>
      <c r="C133" s="153" t="s">
        <v>445</v>
      </c>
      <c r="D133" s="8" t="s">
        <v>34</v>
      </c>
      <c r="E133" s="9"/>
      <c r="F133" s="8" t="s">
        <v>35</v>
      </c>
      <c r="H133" s="9"/>
      <c r="I133" s="5" t="s">
        <v>36</v>
      </c>
      <c r="J133" s="4"/>
      <c r="K133" s="8"/>
      <c r="L133" s="566"/>
      <c r="M133" s="4"/>
    </row>
    <row r="134" spans="1:13" ht="15.5">
      <c r="A134" s="5"/>
      <c r="B134" s="2" t="s">
        <v>523</v>
      </c>
      <c r="C134" s="4"/>
      <c r="D134" s="4"/>
      <c r="E134" s="4"/>
      <c r="F134" s="4"/>
      <c r="G134" s="4"/>
      <c r="H134" s="4"/>
      <c r="I134" s="4"/>
      <c r="J134" s="4"/>
      <c r="K134" s="4"/>
      <c r="L134" s="308"/>
      <c r="M134" s="4"/>
    </row>
    <row r="135" spans="1:13" ht="15.5">
      <c r="A135" s="5">
        <v>1</v>
      </c>
      <c r="B135" s="2" t="s">
        <v>69</v>
      </c>
      <c r="C135" s="4" t="s">
        <v>173</v>
      </c>
      <c r="D135" s="321">
        <v>122876868</v>
      </c>
      <c r="E135" s="4"/>
      <c r="F135" s="4" t="s">
        <v>65</v>
      </c>
      <c r="G135" s="303">
        <f>I220</f>
        <v>0.9530269847047208</v>
      </c>
      <c r="H135" s="4"/>
      <c r="I135" s="282">
        <f>+G135*D135</f>
        <v>117104971</v>
      </c>
      <c r="J135" s="2"/>
      <c r="K135" s="4"/>
      <c r="L135" s="308"/>
      <c r="M135" s="5"/>
    </row>
    <row r="136" spans="1:13" ht="15.5">
      <c r="A136" s="5" t="s">
        <v>9</v>
      </c>
      <c r="B136" s="2" t="s">
        <v>446</v>
      </c>
      <c r="C136" s="4"/>
      <c r="D136" s="321"/>
      <c r="E136" s="4"/>
      <c r="F136" s="234"/>
      <c r="G136" s="303">
        <v>1</v>
      </c>
      <c r="H136" s="4"/>
      <c r="I136" s="282">
        <f>+G136*D136</f>
        <v>0</v>
      </c>
      <c r="J136" s="2"/>
      <c r="K136" s="4"/>
      <c r="L136" s="308"/>
      <c r="M136" s="5"/>
    </row>
    <row r="137" spans="1:13" ht="15.5">
      <c r="A137" s="5">
        <v>2</v>
      </c>
      <c r="B137" s="2" t="s">
        <v>70</v>
      </c>
      <c r="C137" s="4" t="s">
        <v>174</v>
      </c>
      <c r="D137" s="321"/>
      <c r="E137" s="4"/>
      <c r="F137" s="4" t="s">
        <v>3</v>
      </c>
      <c r="G137" s="303">
        <v>1</v>
      </c>
      <c r="H137" s="4"/>
      <c r="I137" s="282">
        <f t="shared" si="4" ref="I137:I145">+G137*D137</f>
        <v>0</v>
      </c>
      <c r="J137" s="2"/>
      <c r="K137" s="4"/>
      <c r="L137" s="308"/>
      <c r="M137" s="5"/>
    </row>
    <row r="138" spans="1:13" ht="15.5">
      <c r="A138" s="5" t="s">
        <v>328</v>
      </c>
      <c r="B138" s="2" t="s">
        <v>329</v>
      </c>
      <c r="C138" s="4" t="s">
        <v>21</v>
      </c>
      <c r="D138" s="321"/>
      <c r="E138" s="4"/>
      <c r="F138" s="4" t="s">
        <v>65</v>
      </c>
      <c r="G138" s="303">
        <f>I220</f>
        <v>0.9530269847047208</v>
      </c>
      <c r="H138" s="4"/>
      <c r="I138" s="282">
        <f>+G138*D138</f>
        <v>0</v>
      </c>
      <c r="J138" s="2"/>
      <c r="K138" s="4"/>
      <c r="L138" s="308"/>
      <c r="M138" s="302"/>
    </row>
    <row r="139" spans="1:13" ht="15.5">
      <c r="A139" s="5">
        <v>3</v>
      </c>
      <c r="B139" s="2" t="s">
        <v>71</v>
      </c>
      <c r="C139" s="4" t="s">
        <v>524</v>
      </c>
      <c r="D139" s="321">
        <v>107345344</v>
      </c>
      <c r="E139" s="4"/>
      <c r="F139" s="4" t="s">
        <v>44</v>
      </c>
      <c r="G139" s="303">
        <f>+G76</f>
        <v>1</v>
      </c>
      <c r="H139" s="4"/>
      <c r="I139" s="282">
        <f t="shared" si="4"/>
        <v>107345344</v>
      </c>
      <c r="J139" s="4"/>
      <c r="K139" s="4" t="s">
        <v>3</v>
      </c>
      <c r="L139" s="308"/>
      <c r="M139" s="5"/>
    </row>
    <row r="140" spans="1:13" ht="15.5">
      <c r="A140" s="5">
        <v>4</v>
      </c>
      <c r="B140" s="2" t="s">
        <v>72</v>
      </c>
      <c r="C140" s="4"/>
      <c r="D140" s="321"/>
      <c r="E140" s="4"/>
      <c r="F140" s="4" t="str">
        <f>+F139</f>
        <v>W/S</v>
      </c>
      <c r="G140" s="303">
        <f>+G139</f>
        <v>1</v>
      </c>
      <c r="H140" s="4"/>
      <c r="I140" s="282">
        <f t="shared" si="4"/>
        <v>0</v>
      </c>
      <c r="J140" s="4"/>
      <c r="K140" s="4"/>
      <c r="L140" s="308"/>
      <c r="M140" s="5"/>
    </row>
    <row r="141" spans="1:13" ht="15.5">
      <c r="A141" s="5">
        <v>5</v>
      </c>
      <c r="B141" s="2" t="s">
        <v>447</v>
      </c>
      <c r="C141" s="4"/>
      <c r="D141" s="321">
        <v>30795</v>
      </c>
      <c r="E141" s="4"/>
      <c r="F141" s="4" t="str">
        <f>+F140</f>
        <v>W/S</v>
      </c>
      <c r="G141" s="303">
        <f>+G140</f>
        <v>1</v>
      </c>
      <c r="H141" s="4"/>
      <c r="I141" s="282">
        <f t="shared" si="4"/>
        <v>30795</v>
      </c>
      <c r="J141" s="4"/>
      <c r="K141" s="4"/>
      <c r="L141" s="308"/>
      <c r="M141" s="5"/>
    </row>
    <row r="142" spans="1:13" ht="15.5">
      <c r="A142" s="5" t="s">
        <v>73</v>
      </c>
      <c r="B142" s="2" t="s">
        <v>448</v>
      </c>
      <c r="C142" s="4"/>
      <c r="D142" s="321">
        <v>23795</v>
      </c>
      <c r="E142" s="4"/>
      <c r="F142" s="567" t="str">
        <f>+F135</f>
        <v>TE</v>
      </c>
      <c r="G142" s="303">
        <f>+G135</f>
        <v>0.9530269847047208</v>
      </c>
      <c r="H142" s="4"/>
      <c r="I142" s="282">
        <f t="shared" si="4"/>
        <v>22677.277101048832</v>
      </c>
      <c r="J142" s="4"/>
      <c r="K142" s="4"/>
      <c r="L142" s="308"/>
      <c r="M142" s="5"/>
    </row>
    <row r="143" spans="1:13" ht="15.5">
      <c r="A143" s="5">
        <v>6</v>
      </c>
      <c r="B143" s="2" t="s">
        <v>45</v>
      </c>
      <c r="C143" s="302">
        <v>356.10000000000002</v>
      </c>
      <c r="D143" s="321"/>
      <c r="E143" s="4"/>
      <c r="F143" s="4" t="s">
        <v>46</v>
      </c>
      <c r="G143" s="303">
        <f>+G77</f>
        <v>1</v>
      </c>
      <c r="H143" s="4"/>
      <c r="I143" s="282">
        <f t="shared" si="4"/>
        <v>0</v>
      </c>
      <c r="J143" s="4"/>
      <c r="K143" s="4"/>
      <c r="L143" s="308"/>
      <c r="M143" s="5"/>
    </row>
    <row r="144" spans="1:13" ht="15.5">
      <c r="A144" s="5" t="s">
        <v>482</v>
      </c>
      <c r="B144" s="302" t="s">
        <v>620</v>
      </c>
      <c r="C144" s="4" t="s">
        <v>680</v>
      </c>
      <c r="D144" s="163">
        <f>'Appendix B-Veg'!H24+'Appendix C-RRCA'!H24+'Appendix F-MTEP Debit'!H24</f>
        <v>5231790.5999999959</v>
      </c>
      <c r="E144" s="4"/>
      <c r="F144" s="4" t="s">
        <v>634</v>
      </c>
      <c r="G144" s="303">
        <v>1</v>
      </c>
      <c r="H144" s="4"/>
      <c r="I144" s="304">
        <f>D144*G144</f>
        <v>5231790.5999999959</v>
      </c>
      <c r="J144" s="4"/>
      <c r="K144" s="10"/>
      <c r="L144" s="299"/>
      <c r="M144" s="5"/>
    </row>
    <row r="145" spans="1:13" ht="16" thickBot="1">
      <c r="A145" s="5">
        <v>7</v>
      </c>
      <c r="B145" s="2" t="s">
        <v>74</v>
      </c>
      <c r="C145" s="4"/>
      <c r="D145" s="560"/>
      <c r="E145" s="4"/>
      <c r="F145" s="4" t="s">
        <v>3</v>
      </c>
      <c r="G145" s="303">
        <v>1</v>
      </c>
      <c r="H145" s="4"/>
      <c r="I145" s="298">
        <f t="shared" si="4"/>
        <v>0</v>
      </c>
      <c r="J145" s="4"/>
      <c r="K145" s="4"/>
      <c r="L145" s="308"/>
      <c r="M145" s="5"/>
    </row>
    <row r="146" spans="1:13" ht="15.5">
      <c r="A146" s="5">
        <v>8</v>
      </c>
      <c r="B146" s="2" t="s">
        <v>736</v>
      </c>
      <c r="C146" s="4"/>
      <c r="D146" s="300">
        <f>SUM(D135+D139+D142+D143+D145-D136-D137-D140-D141-D138+D144)</f>
        <v>235447002.59999999</v>
      </c>
      <c r="E146" s="4"/>
      <c r="F146" s="4"/>
      <c r="G146" s="4"/>
      <c r="H146" s="4"/>
      <c r="I146" s="300">
        <f>SUM(I135+I139+I142+I143+I145-I136-I137-I140-I141-I138+I144)</f>
        <v>229673987.87710103</v>
      </c>
      <c r="J146" s="4"/>
      <c r="K146" s="4"/>
      <c r="L146" s="302"/>
      <c r="M146" s="4"/>
    </row>
    <row r="147" spans="1:13" ht="15.5">
      <c r="A147" s="5"/>
      <c r="C147" s="4"/>
      <c r="D147" s="282"/>
      <c r="E147" s="4"/>
      <c r="F147" s="4"/>
      <c r="G147" s="4"/>
      <c r="H147" s="4"/>
      <c r="I147" s="282"/>
      <c r="J147" s="4"/>
      <c r="K147" s="4"/>
      <c r="L147" s="308"/>
      <c r="M147" s="4"/>
    </row>
    <row r="148" spans="1:13" ht="15.5">
      <c r="A148" s="5"/>
      <c r="B148" s="2" t="s">
        <v>330</v>
      </c>
      <c r="C148" s="4"/>
      <c r="D148" s="282"/>
      <c r="E148" s="4"/>
      <c r="F148" s="4"/>
      <c r="G148" s="4"/>
      <c r="H148" s="4"/>
      <c r="I148" s="282"/>
      <c r="J148" s="4"/>
      <c r="K148" s="4"/>
      <c r="L148" s="308"/>
      <c r="M148" s="4"/>
    </row>
    <row r="149" spans="1:13" ht="15.5">
      <c r="A149" s="5">
        <v>9</v>
      </c>
      <c r="B149" s="2" t="str">
        <f>+B135</f>
        <v xml:space="preserve">  Transmission </v>
      </c>
      <c r="C149" s="4" t="s">
        <v>495</v>
      </c>
      <c r="D149" s="321">
        <v>123275051</v>
      </c>
      <c r="E149" s="4"/>
      <c r="F149" s="4" t="s">
        <v>14</v>
      </c>
      <c r="G149" s="303">
        <f>+G96</f>
        <v>1</v>
      </c>
      <c r="H149" s="4"/>
      <c r="I149" s="282">
        <f>+G149*D149</f>
        <v>123275051</v>
      </c>
      <c r="J149" s="4"/>
      <c r="K149" s="10"/>
      <c r="L149" s="308"/>
      <c r="M149" s="5"/>
    </row>
    <row r="150" spans="1:13" ht="15.5">
      <c r="A150" s="5">
        <v>10</v>
      </c>
      <c r="B150" s="302" t="s">
        <v>43</v>
      </c>
      <c r="C150" s="4" t="s">
        <v>496</v>
      </c>
      <c r="D150" s="321">
        <v>27369334</v>
      </c>
      <c r="E150" s="4"/>
      <c r="F150" s="4" t="s">
        <v>44</v>
      </c>
      <c r="G150" s="303">
        <f>+G139</f>
        <v>1</v>
      </c>
      <c r="H150" s="4"/>
      <c r="I150" s="282">
        <f>+G150*D150</f>
        <v>27369334</v>
      </c>
      <c r="J150" s="4"/>
      <c r="K150" s="10"/>
      <c r="L150" s="308"/>
      <c r="M150" s="5"/>
    </row>
    <row r="151" spans="1:13" ht="16" thickBot="1">
      <c r="A151" s="5">
        <v>11</v>
      </c>
      <c r="B151" s="2" t="str">
        <f>+B143</f>
        <v xml:space="preserve">  Common</v>
      </c>
      <c r="C151" s="4" t="s">
        <v>497</v>
      </c>
      <c r="D151" s="560"/>
      <c r="E151" s="4"/>
      <c r="F151" s="4" t="s">
        <v>46</v>
      </c>
      <c r="G151" s="303">
        <f>+G143</f>
        <v>1</v>
      </c>
      <c r="H151" s="4"/>
      <c r="I151" s="298">
        <f>+G151*D151</f>
        <v>0</v>
      </c>
      <c r="J151" s="4"/>
      <c r="K151" s="10"/>
      <c r="L151" s="308"/>
      <c r="M151" s="5"/>
    </row>
    <row r="152" spans="1:13" ht="15.5">
      <c r="A152" s="5">
        <v>12</v>
      </c>
      <c r="B152" s="2" t="s">
        <v>693</v>
      </c>
      <c r="C152" s="4"/>
      <c r="D152" s="282">
        <f>SUM(D149:D151)</f>
        <v>150644385</v>
      </c>
      <c r="E152" s="4"/>
      <c r="F152" s="4"/>
      <c r="G152" s="4"/>
      <c r="H152" s="4"/>
      <c r="I152" s="282">
        <f>SUM(I149:I151)</f>
        <v>150644385</v>
      </c>
      <c r="J152" s="4"/>
      <c r="K152" s="4"/>
      <c r="L152" s="302"/>
      <c r="M152" s="4"/>
    </row>
    <row r="153" spans="1:13" ht="15.5">
      <c r="A153" s="5"/>
      <c r="B153" s="2"/>
      <c r="C153" s="4"/>
      <c r="D153" s="282"/>
      <c r="E153" s="4"/>
      <c r="F153" s="4"/>
      <c r="G153" s="4"/>
      <c r="H153" s="4"/>
      <c r="I153" s="282"/>
      <c r="J153" s="4"/>
      <c r="K153" s="4"/>
      <c r="L153" s="308"/>
      <c r="M153" s="4"/>
    </row>
    <row r="154" spans="1:13" ht="15.5">
      <c r="A154" s="5" t="s">
        <v>3</v>
      </c>
      <c r="B154" s="2" t="s">
        <v>196</v>
      </c>
      <c r="D154" s="282"/>
      <c r="E154" s="4"/>
      <c r="F154" s="4"/>
      <c r="G154" s="4"/>
      <c r="H154" s="4"/>
      <c r="I154" s="282"/>
      <c r="J154" s="4"/>
      <c r="K154" s="4"/>
      <c r="L154" s="308"/>
      <c r="M154" s="4"/>
    </row>
    <row r="155" spans="1:13" ht="15.5">
      <c r="A155" s="5"/>
      <c r="B155" s="2" t="s">
        <v>75</v>
      </c>
      <c r="D155" s="282"/>
      <c r="E155" s="4"/>
      <c r="F155" s="4"/>
      <c r="H155" s="4"/>
      <c r="I155" s="282"/>
      <c r="J155" s="4"/>
      <c r="K155" s="10"/>
      <c r="L155" s="308"/>
      <c r="M155" s="5"/>
    </row>
    <row r="156" spans="1:13" ht="15.5">
      <c r="A156" s="5">
        <v>13</v>
      </c>
      <c r="B156" s="2" t="s">
        <v>76</v>
      </c>
      <c r="C156" s="4" t="s">
        <v>77</v>
      </c>
      <c r="D156" s="321">
        <f>'WP05 Other Tax'!D8</f>
        <v>881631</v>
      </c>
      <c r="E156" s="4"/>
      <c r="F156" s="4" t="s">
        <v>44</v>
      </c>
      <c r="G156" s="312">
        <f>+G150</f>
        <v>1</v>
      </c>
      <c r="H156" s="4"/>
      <c r="I156" s="282">
        <f>+G156*D156</f>
        <v>881631</v>
      </c>
      <c r="J156" s="4"/>
      <c r="K156" s="10"/>
      <c r="L156" s="308"/>
      <c r="M156" s="5"/>
    </row>
    <row r="157" spans="1:13" ht="15.5">
      <c r="A157" s="5">
        <v>14</v>
      </c>
      <c r="B157" s="2" t="s">
        <v>78</v>
      </c>
      <c r="C157" s="4" t="s">
        <v>77</v>
      </c>
      <c r="D157" s="321">
        <f>'WP05 Other Tax'!D12</f>
        <v>5907</v>
      </c>
      <c r="E157" s="4"/>
      <c r="F157" s="4" t="str">
        <f>+F156</f>
        <v>W/S</v>
      </c>
      <c r="G157" s="312">
        <f>+G156</f>
        <v>1</v>
      </c>
      <c r="H157" s="4"/>
      <c r="I157" s="282">
        <f>+G157*D157</f>
        <v>5907</v>
      </c>
      <c r="J157" s="4"/>
      <c r="K157" s="10"/>
      <c r="L157" s="308"/>
      <c r="M157" s="5"/>
    </row>
    <row r="158" spans="1:13" ht="15.5">
      <c r="A158" s="5">
        <v>15</v>
      </c>
      <c r="B158" s="2" t="s">
        <v>79</v>
      </c>
      <c r="C158" s="4" t="s">
        <v>3</v>
      </c>
      <c r="D158" s="282"/>
      <c r="E158" s="4"/>
      <c r="F158" s="4"/>
      <c r="H158" s="4"/>
      <c r="I158" s="282"/>
      <c r="J158" s="4"/>
      <c r="K158" s="10"/>
      <c r="L158" s="308"/>
      <c r="M158" s="5"/>
    </row>
    <row r="159" spans="1:13" ht="15.5">
      <c r="A159" s="5">
        <v>16</v>
      </c>
      <c r="B159" s="2" t="s">
        <v>80</v>
      </c>
      <c r="C159" s="4" t="s">
        <v>77</v>
      </c>
      <c r="D159" s="321">
        <f>'WP05 Other Tax'!D18</f>
        <v>232588534</v>
      </c>
      <c r="E159" s="4"/>
      <c r="F159" s="4" t="s">
        <v>67</v>
      </c>
      <c r="G159" s="312">
        <f>+G70</f>
        <v>1</v>
      </c>
      <c r="H159" s="4"/>
      <c r="I159" s="282">
        <f>+G159*D159</f>
        <v>232588534</v>
      </c>
      <c r="J159" s="4"/>
      <c r="K159" s="10"/>
      <c r="L159" s="308"/>
      <c r="M159" s="302"/>
    </row>
    <row r="160" spans="1:13" ht="15.5">
      <c r="A160" s="5">
        <v>17</v>
      </c>
      <c r="B160" s="2" t="s">
        <v>81</v>
      </c>
      <c r="C160" s="4" t="s">
        <v>77</v>
      </c>
      <c r="D160" s="321">
        <f>'WP05 Other Tax'!D22</f>
        <v>254282</v>
      </c>
      <c r="E160" s="4"/>
      <c r="F160" s="4" t="str">
        <f>+F89</f>
        <v>NA</v>
      </c>
      <c r="G160" s="235"/>
      <c r="H160" s="4"/>
      <c r="I160" s="282">
        <v>0</v>
      </c>
      <c r="J160" s="4"/>
      <c r="K160" s="10"/>
      <c r="L160" s="308"/>
      <c r="M160" s="5"/>
    </row>
    <row r="161" spans="1:13" ht="15.5">
      <c r="A161" s="5">
        <v>18</v>
      </c>
      <c r="B161" s="2" t="s">
        <v>82</v>
      </c>
      <c r="C161" s="4" t="s">
        <v>77</v>
      </c>
      <c r="D161" s="321">
        <f>'WP05 Other Tax'!D28</f>
        <v>-27832</v>
      </c>
      <c r="E161" s="4"/>
      <c r="F161" s="4" t="str">
        <f>+F159</f>
        <v>GP</v>
      </c>
      <c r="G161" s="312">
        <f>+G159</f>
        <v>1</v>
      </c>
      <c r="H161" s="4"/>
      <c r="I161" s="282">
        <f>+G161*D161</f>
        <v>-27832</v>
      </c>
      <c r="J161" s="4"/>
      <c r="K161" s="10"/>
      <c r="L161" s="308"/>
      <c r="M161" s="5"/>
    </row>
    <row r="162" spans="1:13" ht="16" thickBot="1">
      <c r="A162" s="5">
        <v>19</v>
      </c>
      <c r="B162" s="2" t="s">
        <v>83</v>
      </c>
      <c r="C162" s="4"/>
      <c r="D162" s="560">
        <f>'WP05 Other Tax'!D30</f>
        <v>0</v>
      </c>
      <c r="E162" s="4"/>
      <c r="F162" s="4" t="s">
        <v>67</v>
      </c>
      <c r="G162" s="312">
        <f>+G159</f>
        <v>1</v>
      </c>
      <c r="H162" s="4"/>
      <c r="I162" s="298">
        <f>+G162*D162</f>
        <v>0</v>
      </c>
      <c r="J162" s="4"/>
      <c r="K162" s="10"/>
      <c r="L162" s="308"/>
      <c r="M162" s="5"/>
    </row>
    <row r="163" spans="1:13" ht="15.5">
      <c r="A163" s="5">
        <v>20</v>
      </c>
      <c r="B163" s="2" t="s">
        <v>84</v>
      </c>
      <c r="C163" s="4"/>
      <c r="D163" s="300">
        <f>SUM(D156:D162)</f>
        <v>233702522</v>
      </c>
      <c r="E163" s="4"/>
      <c r="F163" s="4"/>
      <c r="G163" s="312"/>
      <c r="H163" s="4"/>
      <c r="I163" s="282">
        <f>SUM(I156:I162)</f>
        <v>233448240</v>
      </c>
      <c r="J163" s="4"/>
      <c r="K163" s="4"/>
      <c r="L163" s="302"/>
      <c r="M163" s="4"/>
    </row>
    <row r="164" spans="1:13" ht="15.5">
      <c r="A164" s="5"/>
      <c r="B164" s="2"/>
      <c r="C164" s="4"/>
      <c r="D164" s="4"/>
      <c r="E164" s="4"/>
      <c r="F164" s="4"/>
      <c r="G164" s="312"/>
      <c r="H164" s="4"/>
      <c r="I164" s="545"/>
      <c r="J164" s="4"/>
      <c r="K164" s="4"/>
      <c r="L164" s="302"/>
      <c r="M164" s="4"/>
    </row>
    <row r="165" spans="1:13" ht="15.5">
      <c r="A165" s="5" t="s">
        <v>3</v>
      </c>
      <c r="B165" s="2" t="s">
        <v>85</v>
      </c>
      <c r="C165" s="4" t="s">
        <v>187</v>
      </c>
      <c r="D165" s="9"/>
      <c r="E165" s="4"/>
      <c r="G165" s="568"/>
      <c r="H165" s="4"/>
      <c r="I165" s="545"/>
      <c r="J165" s="4"/>
      <c r="L165" s="308"/>
      <c r="M165" s="5"/>
    </row>
    <row r="166" spans="1:13" ht="15.5">
      <c r="A166" s="5">
        <v>21</v>
      </c>
      <c r="B166" s="310" t="s">
        <v>86</v>
      </c>
      <c r="C166" s="4"/>
      <c r="D166" s="569">
        <f>IF(D298&gt;0,1-(((1-D299)*(1-D298))/(1-D299*D298*D300)),0)</f>
        <v>0.22293076131990719</v>
      </c>
      <c r="E166" s="9"/>
      <c r="G166" s="568"/>
      <c r="H166" s="4"/>
      <c r="I166" s="545"/>
      <c r="J166" s="4"/>
      <c r="L166" s="570"/>
      <c r="M166" s="5"/>
    </row>
    <row r="167" spans="1:13" ht="15.5">
      <c r="A167" s="5">
        <v>22</v>
      </c>
      <c r="B167" s="1" t="s">
        <v>733</v>
      </c>
      <c r="C167" s="4"/>
      <c r="D167" s="569">
        <f>IF(I251&gt;0,(D166/(1-D166))*(1-I248/I251),0)</f>
        <v>0.22840077007691323</v>
      </c>
      <c r="E167" s="4"/>
      <c r="G167" s="568"/>
      <c r="H167" s="4"/>
      <c r="I167" s="545"/>
      <c r="J167" s="4"/>
      <c r="K167" s="252"/>
      <c r="L167" s="570"/>
      <c r="M167" s="5"/>
    </row>
    <row r="168" spans="1:13" ht="15.5">
      <c r="A168" s="5"/>
      <c r="B168" s="2" t="s">
        <v>87</v>
      </c>
      <c r="C168" s="4"/>
      <c r="D168" s="4"/>
      <c r="E168" s="4"/>
      <c r="G168" s="568"/>
      <c r="H168" s="4"/>
      <c r="I168" s="545"/>
      <c r="J168" s="4"/>
      <c r="K168" s="252"/>
      <c r="L168" s="571"/>
      <c r="M168" s="5"/>
    </row>
    <row r="169" spans="1:13" ht="15.5">
      <c r="A169" s="5"/>
      <c r="B169" s="2" t="s">
        <v>88</v>
      </c>
      <c r="C169" s="4"/>
      <c r="D169" s="4"/>
      <c r="E169" s="4"/>
      <c r="G169" s="568"/>
      <c r="H169" s="4"/>
      <c r="I169" s="545"/>
      <c r="J169" s="4"/>
      <c r="K169" s="252"/>
      <c r="L169" s="570"/>
      <c r="M169" s="5"/>
    </row>
    <row r="170" spans="1:13" ht="15.5">
      <c r="A170" s="5">
        <v>23</v>
      </c>
      <c r="B170" s="310" t="s">
        <v>89</v>
      </c>
      <c r="C170" s="4"/>
      <c r="D170" s="572">
        <f>IF(D166&gt;0,1/(1-D166),0)</f>
        <v>1.2868866121873141</v>
      </c>
      <c r="E170" s="4"/>
      <c r="G170" s="568"/>
      <c r="H170" s="4"/>
      <c r="I170" s="282"/>
      <c r="J170" s="4"/>
      <c r="K170" s="252"/>
      <c r="L170" s="573"/>
      <c r="M170" s="5"/>
    </row>
    <row r="171" spans="1:13" ht="15.5">
      <c r="A171" s="5">
        <v>24</v>
      </c>
      <c r="B171" s="2" t="s">
        <v>449</v>
      </c>
      <c r="C171" s="4"/>
      <c r="D171" s="321">
        <v>-422737</v>
      </c>
      <c r="E171" s="4"/>
      <c r="G171" s="568"/>
      <c r="H171" s="4"/>
      <c r="I171" s="282"/>
      <c r="J171" s="4"/>
      <c r="K171" s="252"/>
      <c r="L171" s="308"/>
      <c r="M171" s="5"/>
    </row>
    <row r="172" spans="1:13" ht="15.5">
      <c r="A172" s="5">
        <v>25</v>
      </c>
      <c r="B172" s="310" t="s">
        <v>90</v>
      </c>
      <c r="C172" s="305"/>
      <c r="D172" s="282">
        <f>D167*D178</f>
        <v>62378662.03339453</v>
      </c>
      <c r="E172" s="4"/>
      <c r="F172" s="4" t="s">
        <v>40</v>
      </c>
      <c r="G172" s="312"/>
      <c r="H172" s="4"/>
      <c r="I172" s="282">
        <f>D167*I178</f>
        <v>62365262.99176763</v>
      </c>
      <c r="J172" s="4"/>
      <c r="K172" s="570"/>
      <c r="L172" s="308"/>
      <c r="M172" s="4"/>
    </row>
    <row r="173" spans="1:13" ht="15.5">
      <c r="A173" s="5">
        <v>26</v>
      </c>
      <c r="B173" s="1" t="s">
        <v>91</v>
      </c>
      <c r="C173" s="305"/>
      <c r="D173" s="149">
        <f>D170*D171</f>
        <v>-544014.58577622857</v>
      </c>
      <c r="E173" s="306"/>
      <c r="F173" s="306" t="s">
        <v>58</v>
      </c>
      <c r="G173" s="307">
        <f>G86</f>
        <v>1</v>
      </c>
      <c r="H173" s="306"/>
      <c r="I173" s="304">
        <f>G173*D173</f>
        <v>-544014.58577622857</v>
      </c>
      <c r="J173" s="4"/>
      <c r="K173" s="308"/>
      <c r="L173" s="308"/>
      <c r="M173" s="4"/>
    </row>
    <row r="174" spans="1:13" ht="15.5">
      <c r="A174" s="5" t="s">
        <v>632</v>
      </c>
      <c r="B174" s="1" t="s">
        <v>638</v>
      </c>
      <c r="C174" s="305"/>
      <c r="D174" s="149">
        <f>'Appendix G-Inc Tax Adj'!G14</f>
        <v>818242.61699364078</v>
      </c>
      <c r="E174" s="306"/>
      <c r="F174" s="306" t="s">
        <v>634</v>
      </c>
      <c r="G174" s="307">
        <v>1</v>
      </c>
      <c r="H174" s="306"/>
      <c r="I174" s="304">
        <f>D174*G174</f>
        <v>818242.61699364078</v>
      </c>
      <c r="J174" s="4"/>
      <c r="K174" s="308"/>
      <c r="L174" s="299"/>
      <c r="M174" s="4"/>
    </row>
    <row r="175" spans="1:13" ht="16" thickBot="1">
      <c r="A175" s="5" t="s">
        <v>633</v>
      </c>
      <c r="B175" s="1" t="s">
        <v>688</v>
      </c>
      <c r="C175" s="305"/>
      <c r="D175" s="309">
        <f>'Appendix G-Inc Tax Adj'!E18+'Appendix G-Inc Tax Adj'!E19</f>
        <v>-4746788.9477929743</v>
      </c>
      <c r="E175" s="306"/>
      <c r="F175" s="306" t="s">
        <v>634</v>
      </c>
      <c r="G175" s="307">
        <v>1</v>
      </c>
      <c r="H175" s="306"/>
      <c r="I175" s="298">
        <f>D175*G175</f>
        <v>-4746788.9477929743</v>
      </c>
      <c r="J175" s="4"/>
      <c r="K175" s="308"/>
      <c r="L175" s="299"/>
      <c r="M175" s="4"/>
    </row>
    <row r="176" spans="1:13" ht="15.5">
      <c r="A176" s="5">
        <v>27</v>
      </c>
      <c r="B176" s="310" t="s">
        <v>92</v>
      </c>
      <c r="C176" s="1" t="s">
        <v>732</v>
      </c>
      <c r="D176" s="311">
        <f>SUM(D172:D175)</f>
        <v>57906101.116818964</v>
      </c>
      <c r="E176" s="4"/>
      <c r="F176" s="4" t="s">
        <v>3</v>
      </c>
      <c r="G176" s="312" t="s">
        <v>3</v>
      </c>
      <c r="H176" s="4"/>
      <c r="I176" s="311">
        <f>SUM(I172:I175)</f>
        <v>57892702.075192064</v>
      </c>
      <c r="J176" s="4"/>
      <c r="K176" s="4"/>
      <c r="L176" s="302"/>
      <c r="M176" s="4"/>
    </row>
    <row r="177" spans="1:13" ht="15.5">
      <c r="A177" s="5" t="s">
        <v>3</v>
      </c>
      <c r="C177" s="574"/>
      <c r="D177" s="282"/>
      <c r="E177" s="4"/>
      <c r="F177" s="4"/>
      <c r="G177" s="312"/>
      <c r="H177" s="4"/>
      <c r="I177" s="282"/>
      <c r="J177" s="4"/>
      <c r="K177" s="4"/>
      <c r="L177" s="308"/>
      <c r="M177" s="4"/>
    </row>
    <row r="178" spans="1:13" ht="15.5">
      <c r="A178" s="5">
        <v>28</v>
      </c>
      <c r="B178" s="2" t="s">
        <v>93</v>
      </c>
      <c r="C178" s="10"/>
      <c r="D178" s="282">
        <f>+$I251*D106</f>
        <v>273110559.18239117</v>
      </c>
      <c r="E178" s="4"/>
      <c r="F178" s="4" t="s">
        <v>40</v>
      </c>
      <c r="G178" s="568"/>
      <c r="H178" s="4"/>
      <c r="I178" s="282">
        <f>+$I251*I106</f>
        <v>273051894.57446367</v>
      </c>
      <c r="J178" s="4"/>
      <c r="L178" s="308"/>
      <c r="M178" s="5"/>
    </row>
    <row r="179" spans="1:13" ht="15.5">
      <c r="A179" s="5"/>
      <c r="B179" s="310" t="s">
        <v>184</v>
      </c>
      <c r="D179" s="282"/>
      <c r="E179" s="4"/>
      <c r="F179" s="4"/>
      <c r="G179" s="568"/>
      <c r="H179" s="4"/>
      <c r="I179" s="282"/>
      <c r="J179" s="4"/>
      <c r="K179" s="10"/>
      <c r="L179" s="308"/>
      <c r="M179" s="5"/>
    </row>
    <row r="180" spans="1:13" ht="16" thickBot="1">
      <c r="A180" s="5"/>
      <c r="B180" s="2"/>
      <c r="D180" s="298"/>
      <c r="E180" s="4"/>
      <c r="F180" s="4"/>
      <c r="G180" s="568"/>
      <c r="H180" s="4"/>
      <c r="I180" s="298"/>
      <c r="J180" s="4"/>
      <c r="K180" s="10"/>
      <c r="L180" s="308"/>
      <c r="M180" s="5"/>
    </row>
    <row r="181" spans="1:13" ht="16" thickBot="1">
      <c r="A181" s="5">
        <v>29</v>
      </c>
      <c r="B181" s="2" t="s">
        <v>216</v>
      </c>
      <c r="C181" s="4"/>
      <c r="D181" s="575">
        <f>+D146+D152+D163+D176+D178</f>
        <v>950810569.89921021</v>
      </c>
      <c r="E181" s="4"/>
      <c r="F181" s="4"/>
      <c r="G181" s="4"/>
      <c r="H181" s="4"/>
      <c r="I181" s="575">
        <f>+I146+I152+I163+I176+I178</f>
        <v>944711209.52675676</v>
      </c>
      <c r="J181" s="2"/>
      <c r="K181" s="2"/>
      <c r="L181" s="302"/>
      <c r="M181" s="2"/>
    </row>
    <row r="182" spans="1:13" ht="16" thickTop="1">
      <c r="A182" s="5"/>
      <c r="B182" s="310" t="s">
        <v>219</v>
      </c>
      <c r="C182" s="4"/>
      <c r="D182" s="4"/>
      <c r="E182" s="4"/>
      <c r="F182" s="4"/>
      <c r="G182" s="4"/>
      <c r="H182" s="4"/>
      <c r="I182" s="4"/>
      <c r="J182" s="2"/>
      <c r="K182" s="2"/>
      <c r="L182" s="302"/>
      <c r="M182" s="2"/>
    </row>
    <row r="183" spans="1:13" ht="15.5">
      <c r="A183" s="5"/>
      <c r="C183" s="4"/>
      <c r="J183" s="2"/>
      <c r="K183" s="2"/>
      <c r="L183" s="302"/>
      <c r="M183" s="2"/>
    </row>
    <row r="184" spans="1:13" ht="15.5">
      <c r="A184" s="5"/>
      <c r="B184" s="310"/>
      <c r="C184" s="4"/>
      <c r="D184" s="4"/>
      <c r="E184" s="4"/>
      <c r="F184" s="4"/>
      <c r="G184" s="4"/>
      <c r="H184" s="4"/>
      <c r="I184" s="4"/>
      <c r="J184" s="2"/>
      <c r="K184" s="2"/>
      <c r="L184" s="302"/>
      <c r="M184" s="2"/>
    </row>
    <row r="185" spans="1:13" ht="15.5">
      <c r="A185" s="5"/>
      <c r="B185" s="310"/>
      <c r="C185" s="4"/>
      <c r="D185" s="4"/>
      <c r="E185" s="4"/>
      <c r="F185" s="4"/>
      <c r="G185" s="4"/>
      <c r="H185" s="4"/>
      <c r="I185" s="4"/>
      <c r="J185" s="2"/>
      <c r="K185" s="2"/>
      <c r="L185" s="302"/>
      <c r="M185" s="2"/>
    </row>
    <row r="186" spans="1:13" ht="15.5">
      <c r="A186" s="5"/>
      <c r="B186" s="310"/>
      <c r="C186" s="4"/>
      <c r="D186" s="4"/>
      <c r="E186" s="4"/>
      <c r="F186" s="4"/>
      <c r="G186" s="4"/>
      <c r="H186" s="4"/>
      <c r="I186" s="4"/>
      <c r="J186" s="2"/>
      <c r="K186" s="2"/>
      <c r="L186" s="302"/>
      <c r="M186" s="2"/>
    </row>
    <row r="187" spans="1:13" ht="15.5">
      <c r="A187" s="5"/>
      <c r="B187" s="310"/>
      <c r="C187" s="4"/>
      <c r="D187" s="4"/>
      <c r="E187" s="4"/>
      <c r="F187" s="4"/>
      <c r="G187" s="4"/>
      <c r="H187" s="4"/>
      <c r="I187" s="4"/>
      <c r="J187" s="2"/>
      <c r="K187" s="2"/>
      <c r="L187" s="302"/>
      <c r="M187" s="2"/>
    </row>
    <row r="188" spans="1:13" ht="15.5">
      <c r="A188" s="5"/>
      <c r="B188" s="310"/>
      <c r="C188" s="4"/>
      <c r="D188" s="4"/>
      <c r="E188" s="4"/>
      <c r="F188" s="4"/>
      <c r="G188" s="4"/>
      <c r="H188" s="4"/>
      <c r="I188" s="4"/>
      <c r="J188" s="2"/>
      <c r="K188" s="2"/>
      <c r="L188" s="302"/>
      <c r="M188" s="2"/>
    </row>
    <row r="189" spans="1:13" ht="15.5">
      <c r="A189" s="5"/>
      <c r="B189" s="310"/>
      <c r="C189" s="4"/>
      <c r="D189" s="4"/>
      <c r="E189" s="4"/>
      <c r="F189" s="4"/>
      <c r="G189" s="4"/>
      <c r="H189" s="4"/>
      <c r="I189" s="4"/>
      <c r="J189" s="2"/>
      <c r="K189" s="2"/>
      <c r="L189" s="302"/>
      <c r="M189" s="2"/>
    </row>
    <row r="190" spans="1:13" ht="15.5">
      <c r="A190" s="5"/>
      <c r="B190" s="310"/>
      <c r="C190" s="4"/>
      <c r="D190" s="4"/>
      <c r="E190" s="4"/>
      <c r="F190" s="4"/>
      <c r="G190" s="4"/>
      <c r="H190" s="4"/>
      <c r="I190" s="4"/>
      <c r="J190" s="2"/>
      <c r="K190" s="2"/>
      <c r="L190" s="302"/>
      <c r="M190" s="2"/>
    </row>
    <row r="191" spans="1:13" ht="15.5">
      <c r="A191" s="5"/>
      <c r="B191" s="310"/>
      <c r="C191" s="4"/>
      <c r="D191" s="4"/>
      <c r="E191" s="4"/>
      <c r="F191" s="4"/>
      <c r="G191" s="4"/>
      <c r="H191" s="4"/>
      <c r="I191" s="4"/>
      <c r="J191" s="2"/>
      <c r="K191" s="2"/>
      <c r="L191" s="302"/>
      <c r="M191" s="2"/>
    </row>
    <row r="192" spans="1:13" ht="15.5">
      <c r="A192" s="5"/>
      <c r="B192" s="310"/>
      <c r="C192" s="4"/>
      <c r="D192" s="4"/>
      <c r="E192" s="4"/>
      <c r="F192" s="4"/>
      <c r="G192" s="4"/>
      <c r="H192" s="4"/>
      <c r="I192" s="4"/>
      <c r="J192" s="2"/>
      <c r="K192" s="2"/>
      <c r="L192" s="302"/>
      <c r="M192" s="2"/>
    </row>
    <row r="193" spans="1:12" ht="15.5">
      <c r="A193" s="565"/>
      <c r="B193" s="2"/>
      <c r="C193" s="4"/>
      <c r="D193" s="4"/>
      <c r="E193" s="4"/>
      <c r="F193" s="4"/>
      <c r="G193" s="10"/>
      <c r="H193" s="4"/>
      <c r="I193" s="4"/>
      <c r="J193" s="4"/>
      <c r="K193" s="559"/>
      <c r="L193" s="542"/>
    </row>
    <row r="194" spans="1:12" ht="15.5">
      <c r="A194" s="565"/>
      <c r="B194" s="2"/>
      <c r="C194" s="4"/>
      <c r="D194" s="4"/>
      <c r="E194" s="4"/>
      <c r="F194" s="4"/>
      <c r="G194" s="10"/>
      <c r="H194" s="4"/>
      <c r="I194" s="4"/>
      <c r="J194" s="4"/>
      <c r="K194" s="559"/>
      <c r="L194" s="542"/>
    </row>
    <row r="195" spans="2:13" ht="15.5">
      <c r="B195" s="2"/>
      <c r="C195" s="2"/>
      <c r="D195" s="302"/>
      <c r="E195" s="2"/>
      <c r="F195" s="2"/>
      <c r="G195" s="2"/>
      <c r="H195" s="2"/>
      <c r="I195" s="5"/>
      <c r="J195" s="5"/>
      <c r="K195" s="3"/>
      <c r="L195" s="302"/>
      <c r="M195" s="2"/>
    </row>
    <row r="196" spans="2:13" ht="15.5">
      <c r="B196" s="2"/>
      <c r="C196" s="2"/>
      <c r="D196" s="302"/>
      <c r="E196" s="2"/>
      <c r="F196" s="2"/>
      <c r="G196" s="2"/>
      <c r="H196" s="2"/>
      <c r="I196" s="3"/>
      <c r="J196" s="3"/>
      <c r="K196" s="3"/>
      <c r="L196" s="302"/>
      <c r="M196" s="2"/>
    </row>
    <row r="197" spans="2:13" ht="16.5" customHeight="1">
      <c r="B197" s="2"/>
      <c r="C197" s="2"/>
      <c r="D197" s="302"/>
      <c r="E197" s="2"/>
      <c r="F197" s="2"/>
      <c r="G197" s="2"/>
      <c r="H197" s="2"/>
      <c r="I197" s="2"/>
      <c r="K197" s="3" t="s">
        <v>305</v>
      </c>
      <c r="L197" s="302"/>
      <c r="M197" s="2"/>
    </row>
    <row r="198" spans="2:13" ht="16.5" customHeight="1">
      <c r="B198" s="2"/>
      <c r="C198" s="2"/>
      <c r="D198" s="302"/>
      <c r="E198" s="2"/>
      <c r="F198" s="2"/>
      <c r="G198" s="2"/>
      <c r="H198" s="2"/>
      <c r="I198" s="2"/>
      <c r="J198" s="2"/>
      <c r="K198" s="3" t="s">
        <v>183</v>
      </c>
      <c r="L198" s="302"/>
      <c r="M198" s="2"/>
    </row>
    <row r="199" spans="2:13" ht="16.5" customHeight="1">
      <c r="B199" s="2"/>
      <c r="C199" s="2"/>
      <c r="D199" s="302"/>
      <c r="E199" s="2"/>
      <c r="F199" s="2"/>
      <c r="G199" s="2"/>
      <c r="H199" s="2"/>
      <c r="I199" s="2"/>
      <c r="J199" s="2"/>
      <c r="K199" s="3"/>
      <c r="L199" s="302"/>
      <c r="M199" s="2"/>
    </row>
    <row r="200" spans="2:13" ht="15.5">
      <c r="B200" s="2" t="s">
        <v>1</v>
      </c>
      <c r="C200" s="2"/>
      <c r="D200" s="302" t="s">
        <v>2</v>
      </c>
      <c r="E200" s="2"/>
      <c r="F200" s="2"/>
      <c r="G200" s="2"/>
      <c r="H200" s="514"/>
      <c r="I200" s="514"/>
      <c r="J200" s="514"/>
      <c r="K200" s="426" t="str">
        <f>K4</f>
        <v>For the 12 months ended 12/31/2022</v>
      </c>
      <c r="L200" s="302"/>
      <c r="M200" s="2"/>
    </row>
    <row r="201" spans="2:13" ht="15.5">
      <c r="B201" s="2"/>
      <c r="C201" s="4" t="s">
        <v>3</v>
      </c>
      <c r="D201" s="4" t="s">
        <v>4</v>
      </c>
      <c r="E201" s="4"/>
      <c r="F201" s="4"/>
      <c r="G201" s="4"/>
      <c r="H201" s="2"/>
      <c r="I201" s="2"/>
      <c r="J201" s="2"/>
      <c r="K201" s="2"/>
      <c r="L201" s="302"/>
      <c r="M201" s="2"/>
    </row>
    <row r="202" spans="1:13" ht="9.75" customHeight="1">
      <c r="A202" s="5"/>
      <c r="J202" s="4"/>
      <c r="K202" s="4"/>
      <c r="L202" s="308"/>
      <c r="M202" s="4"/>
    </row>
    <row r="203" spans="1:13" ht="15.5">
      <c r="A203" s="5"/>
      <c r="D203" s="1" t="str">
        <f>D7</f>
        <v>American Transmission Systems, Inc.</v>
      </c>
      <c r="J203" s="4"/>
      <c r="K203" s="4"/>
      <c r="L203" s="308"/>
      <c r="M203" s="4"/>
    </row>
    <row r="204" spans="1:13" ht="15.5">
      <c r="A204" s="5"/>
      <c r="C204" s="18" t="s">
        <v>94</v>
      </c>
      <c r="E204" s="2"/>
      <c r="F204" s="2"/>
      <c r="G204" s="2"/>
      <c r="H204" s="2"/>
      <c r="I204" s="2"/>
      <c r="J204" s="4"/>
      <c r="K204" s="4"/>
      <c r="L204" s="302"/>
      <c r="M204" s="4"/>
    </row>
    <row r="205" spans="1:13" ht="15.5">
      <c r="A205" s="5" t="s">
        <v>5</v>
      </c>
      <c r="B205" s="5" t="s">
        <v>27</v>
      </c>
      <c r="C205" s="5" t="s">
        <v>28</v>
      </c>
      <c r="D205" s="5" t="s">
        <v>29</v>
      </c>
      <c r="E205" s="7" t="s">
        <v>30</v>
      </c>
      <c r="F205" s="4"/>
      <c r="G205" s="7" t="s">
        <v>31</v>
      </c>
      <c r="H205" s="4"/>
      <c r="I205" s="7" t="s">
        <v>32</v>
      </c>
      <c r="J205" s="4"/>
      <c r="L205" s="302"/>
      <c r="M205" s="4"/>
    </row>
    <row r="206" spans="1:13" ht="16" thickBot="1">
      <c r="A206" s="515" t="s">
        <v>7</v>
      </c>
      <c r="B206" s="2" t="s">
        <v>95</v>
      </c>
      <c r="C206" s="2"/>
      <c r="D206" s="2"/>
      <c r="E206" s="2"/>
      <c r="F206" s="2"/>
      <c r="G206" s="2"/>
      <c r="J206" s="4"/>
      <c r="K206" s="4"/>
      <c r="L206" s="302"/>
      <c r="M206" s="4"/>
    </row>
    <row r="207" spans="1:13" ht="15.5">
      <c r="A207" s="5">
        <v>1</v>
      </c>
      <c r="B207" s="2" t="s">
        <v>202</v>
      </c>
      <c r="C207" s="2"/>
      <c r="D207" s="4"/>
      <c r="E207" s="4"/>
      <c r="F207" s="4"/>
      <c r="G207" s="4"/>
      <c r="H207" s="4"/>
      <c r="I207" s="300">
        <f>D66</f>
        <v>5369041876.7430782</v>
      </c>
      <c r="J207" s="4"/>
      <c r="K207" s="4"/>
      <c r="L207" s="302"/>
      <c r="M207" s="4"/>
    </row>
    <row r="208" spans="1:13" ht="15.5">
      <c r="A208" s="5">
        <v>2</v>
      </c>
      <c r="B208" s="2" t="s">
        <v>450</v>
      </c>
      <c r="I208" s="321">
        <v>0</v>
      </c>
      <c r="J208" s="4"/>
      <c r="K208" s="4"/>
      <c r="L208" s="302"/>
      <c r="M208" s="4"/>
    </row>
    <row r="209" spans="1:13" ht="16" thickBot="1">
      <c r="A209" s="5">
        <v>3</v>
      </c>
      <c r="B209" s="576" t="s">
        <v>451</v>
      </c>
      <c r="C209" s="576"/>
      <c r="D209" s="4"/>
      <c r="E209" s="4"/>
      <c r="F209" s="4"/>
      <c r="G209" s="152"/>
      <c r="H209" s="4"/>
      <c r="I209" s="560">
        <v>0</v>
      </c>
      <c r="J209" s="4"/>
      <c r="K209" s="4"/>
      <c r="L209" s="302"/>
      <c r="M209" s="4"/>
    </row>
    <row r="210" spans="1:13" ht="15.5">
      <c r="A210" s="5">
        <v>4</v>
      </c>
      <c r="B210" s="2" t="s">
        <v>96</v>
      </c>
      <c r="C210" s="2"/>
      <c r="D210" s="4"/>
      <c r="E210" s="4"/>
      <c r="F210" s="4"/>
      <c r="G210" s="152"/>
      <c r="H210" s="4"/>
      <c r="I210" s="300">
        <f>I207-I208-I209</f>
        <v>5369041876.7430782</v>
      </c>
      <c r="J210" s="4"/>
      <c r="K210" s="4"/>
      <c r="L210" s="302"/>
      <c r="M210" s="4"/>
    </row>
    <row r="211" spans="1:13" ht="15.5">
      <c r="A211" s="5">
        <v>5</v>
      </c>
      <c r="B211" s="2" t="s">
        <v>206</v>
      </c>
      <c r="C211" s="11"/>
      <c r="D211" s="11"/>
      <c r="E211" s="11"/>
      <c r="F211" s="11"/>
      <c r="G211" s="7"/>
      <c r="H211" s="4" t="s">
        <v>97</v>
      </c>
      <c r="I211" s="523">
        <f>IF(I207&gt;0,I210/I207,0)</f>
        <v>1</v>
      </c>
      <c r="J211" s="4"/>
      <c r="K211" s="4"/>
      <c r="L211" s="302"/>
      <c r="M211" s="4"/>
    </row>
    <row r="212" spans="1:13" ht="9.75" customHeight="1">
      <c r="A212" s="5"/>
      <c r="B212" s="2"/>
      <c r="C212" s="11"/>
      <c r="D212" s="11"/>
      <c r="E212" s="11"/>
      <c r="F212" s="11"/>
      <c r="G212" s="7"/>
      <c r="H212" s="4"/>
      <c r="I212" s="523"/>
      <c r="J212" s="4"/>
      <c r="K212" s="4"/>
      <c r="L212" s="302"/>
      <c r="M212" s="4"/>
    </row>
    <row r="213" spans="1:13" ht="15.5">
      <c r="A213" s="5"/>
      <c r="B213" s="2" t="s">
        <v>98</v>
      </c>
      <c r="J213" s="4"/>
      <c r="K213" s="4"/>
      <c r="L213" s="302"/>
      <c r="M213" s="4"/>
    </row>
    <row r="214" spans="1:13" ht="9.75" customHeight="1">
      <c r="A214" s="5"/>
      <c r="J214" s="4"/>
      <c r="K214" s="4"/>
      <c r="L214" s="302"/>
      <c r="M214" s="4"/>
    </row>
    <row r="215" spans="1:13" ht="15.5">
      <c r="A215" s="5">
        <v>6</v>
      </c>
      <c r="B215" s="1" t="s">
        <v>203</v>
      </c>
      <c r="D215" s="2"/>
      <c r="E215" s="2"/>
      <c r="F215" s="2"/>
      <c r="G215" s="5"/>
      <c r="H215" s="2"/>
      <c r="I215" s="300">
        <f>D135</f>
        <v>122876868</v>
      </c>
      <c r="J215" s="4"/>
      <c r="K215" s="4"/>
      <c r="L215" s="308"/>
      <c r="M215" s="4"/>
    </row>
    <row r="216" spans="1:13" ht="16" thickBot="1">
      <c r="A216" s="5">
        <v>7</v>
      </c>
      <c r="B216" s="576" t="s">
        <v>452</v>
      </c>
      <c r="C216" s="576"/>
      <c r="D216" s="4"/>
      <c r="E216" s="4"/>
      <c r="F216" s="4"/>
      <c r="G216" s="4"/>
      <c r="H216" s="4"/>
      <c r="I216" s="560">
        <v>5771897</v>
      </c>
      <c r="J216" s="4"/>
      <c r="K216" s="4"/>
      <c r="L216" s="308"/>
      <c r="M216" s="4"/>
    </row>
    <row r="217" spans="1:13" ht="15.5">
      <c r="A217" s="5">
        <v>8</v>
      </c>
      <c r="B217" s="2" t="s">
        <v>198</v>
      </c>
      <c r="C217" s="11"/>
      <c r="D217" s="11"/>
      <c r="E217" s="11"/>
      <c r="F217" s="11"/>
      <c r="G217" s="7"/>
      <c r="H217" s="11"/>
      <c r="I217" s="300">
        <f>SUM(I215-I216)</f>
        <v>117104971</v>
      </c>
      <c r="L217" s="308"/>
      <c r="M217" s="4"/>
    </row>
    <row r="218" spans="1:13" ht="15.5">
      <c r="A218" s="5">
        <v>9</v>
      </c>
      <c r="B218" s="2" t="s">
        <v>199</v>
      </c>
      <c r="C218" s="2"/>
      <c r="D218" s="4"/>
      <c r="E218" s="4"/>
      <c r="F218" s="4"/>
      <c r="G218" s="4"/>
      <c r="H218" s="4"/>
      <c r="I218" s="303">
        <f>IF(I215&gt;0,I217/I215,0)</f>
        <v>0.9530269847047208</v>
      </c>
      <c r="L218" s="308"/>
      <c r="M218" s="4"/>
    </row>
    <row r="219" spans="1:13" ht="15.5">
      <c r="A219" s="5">
        <v>10</v>
      </c>
      <c r="B219" s="2" t="s">
        <v>200</v>
      </c>
      <c r="C219" s="2"/>
      <c r="D219" s="4"/>
      <c r="E219" s="4"/>
      <c r="F219" s="4"/>
      <c r="G219" s="4"/>
      <c r="H219" s="2" t="s">
        <v>14</v>
      </c>
      <c r="I219" s="303">
        <f>I211</f>
        <v>1</v>
      </c>
      <c r="L219" s="308"/>
      <c r="M219" s="4"/>
    </row>
    <row r="220" spans="1:13" ht="15.5">
      <c r="A220" s="5">
        <v>11</v>
      </c>
      <c r="B220" s="2" t="s">
        <v>201</v>
      </c>
      <c r="C220" s="2"/>
      <c r="D220" s="2"/>
      <c r="E220" s="2"/>
      <c r="F220" s="2"/>
      <c r="G220" s="2"/>
      <c r="H220" s="2" t="s">
        <v>99</v>
      </c>
      <c r="I220" s="312">
        <f>+I219*I218</f>
        <v>0.9530269847047208</v>
      </c>
      <c r="L220" s="308"/>
      <c r="M220" s="4"/>
    </row>
    <row r="221" spans="1:13" ht="9.75" customHeight="1">
      <c r="A221" s="5"/>
      <c r="C221" s="2"/>
      <c r="D221" s="4"/>
      <c r="E221" s="4"/>
      <c r="F221" s="4"/>
      <c r="G221" s="152"/>
      <c r="H221" s="4"/>
      <c r="L221" s="308"/>
      <c r="M221" s="4"/>
    </row>
    <row r="222" spans="1:13" ht="15.5">
      <c r="A222" s="5" t="s">
        <v>3</v>
      </c>
      <c r="B222" s="2" t="s">
        <v>100</v>
      </c>
      <c r="C222" s="4"/>
      <c r="D222" s="4"/>
      <c r="E222" s="4"/>
      <c r="F222" s="4"/>
      <c r="G222" s="4"/>
      <c r="H222" s="4"/>
      <c r="I222" s="4"/>
      <c r="J222" s="4"/>
      <c r="K222" s="4"/>
      <c r="L222" s="308"/>
      <c r="M222" s="4"/>
    </row>
    <row r="223" spans="1:13" ht="16" thickBot="1">
      <c r="A223" s="5" t="s">
        <v>3</v>
      </c>
      <c r="B223" s="2"/>
      <c r="C223" s="577" t="s">
        <v>101</v>
      </c>
      <c r="D223" s="539" t="s">
        <v>102</v>
      </c>
      <c r="E223" s="539" t="s">
        <v>14</v>
      </c>
      <c r="F223" s="4"/>
      <c r="G223" s="539" t="s">
        <v>103</v>
      </c>
      <c r="H223" s="4"/>
      <c r="I223" s="4"/>
      <c r="J223" s="4"/>
      <c r="K223" s="4"/>
      <c r="L223" s="308"/>
      <c r="M223" s="4"/>
    </row>
    <row r="224" spans="1:13" ht="15.5">
      <c r="A224" s="5">
        <v>12</v>
      </c>
      <c r="B224" s="2" t="s">
        <v>39</v>
      </c>
      <c r="C224" s="4" t="s">
        <v>175</v>
      </c>
      <c r="D224" s="321">
        <v>0</v>
      </c>
      <c r="E224" s="578">
        <v>0</v>
      </c>
      <c r="F224" s="578"/>
      <c r="G224" s="282">
        <f>D224*E224</f>
        <v>0</v>
      </c>
      <c r="H224" s="4"/>
      <c r="I224" s="4"/>
      <c r="J224" s="4"/>
      <c r="K224" s="4"/>
      <c r="L224" s="308"/>
      <c r="M224" s="4"/>
    </row>
    <row r="225" spans="1:13" ht="15.5">
      <c r="A225" s="5">
        <v>13</v>
      </c>
      <c r="B225" s="2" t="s">
        <v>41</v>
      </c>
      <c r="C225" s="4" t="s">
        <v>176</v>
      </c>
      <c r="D225" s="321">
        <v>0</v>
      </c>
      <c r="E225" s="578">
        <f>+I211</f>
        <v>1</v>
      </c>
      <c r="F225" s="578"/>
      <c r="G225" s="282">
        <f>D225*E225</f>
        <v>0</v>
      </c>
      <c r="H225" s="4"/>
      <c r="I225" s="4"/>
      <c r="J225" s="4"/>
      <c r="K225" s="4"/>
      <c r="L225" s="308"/>
      <c r="M225" s="4"/>
    </row>
    <row r="226" spans="1:13" ht="15.5">
      <c r="A226" s="5">
        <v>14</v>
      </c>
      <c r="B226" s="2" t="s">
        <v>42</v>
      </c>
      <c r="C226" s="4" t="s">
        <v>177</v>
      </c>
      <c r="D226" s="321">
        <v>0</v>
      </c>
      <c r="E226" s="578">
        <v>0</v>
      </c>
      <c r="F226" s="578"/>
      <c r="G226" s="282">
        <f>D226*E226</f>
        <v>0</v>
      </c>
      <c r="H226" s="4"/>
      <c r="I226" s="152" t="s">
        <v>104</v>
      </c>
      <c r="J226" s="4"/>
      <c r="K226" s="4"/>
      <c r="L226" s="308"/>
      <c r="M226" s="4"/>
    </row>
    <row r="227" spans="1:13" ht="16" thickBot="1">
      <c r="A227" s="5">
        <v>15</v>
      </c>
      <c r="B227" s="2" t="s">
        <v>105</v>
      </c>
      <c r="C227" s="4" t="s">
        <v>178</v>
      </c>
      <c r="D227" s="560">
        <v>0</v>
      </c>
      <c r="E227" s="578">
        <v>0</v>
      </c>
      <c r="F227" s="578"/>
      <c r="G227" s="298">
        <f>D227*E227</f>
        <v>0</v>
      </c>
      <c r="H227" s="4"/>
      <c r="I227" s="515" t="s">
        <v>106</v>
      </c>
      <c r="J227" s="4"/>
      <c r="K227" s="4"/>
      <c r="L227" s="308"/>
      <c r="M227" s="4"/>
    </row>
    <row r="228" spans="1:13" ht="15.5">
      <c r="A228" s="5">
        <v>16</v>
      </c>
      <c r="B228" s="2" t="s">
        <v>107</v>
      </c>
      <c r="C228" s="4"/>
      <c r="D228" s="300">
        <f>SUM(D224:D227)</f>
        <v>0</v>
      </c>
      <c r="E228" s="4"/>
      <c r="F228" s="4"/>
      <c r="G228" s="282">
        <f>SUM(G224:G227)</f>
        <v>0</v>
      </c>
      <c r="H228" s="5" t="s">
        <v>108</v>
      </c>
      <c r="I228" s="303">
        <f>IF(G228&gt;0,G228/D228,1)</f>
        <v>1</v>
      </c>
      <c r="J228" s="579" t="s">
        <v>205</v>
      </c>
      <c r="K228" s="4"/>
      <c r="L228" s="308"/>
      <c r="M228" s="4"/>
    </row>
    <row r="229" spans="1:13" ht="9.75" customHeight="1">
      <c r="A229" s="5"/>
      <c r="B229" s="2"/>
      <c r="C229" s="4"/>
      <c r="D229" s="4"/>
      <c r="E229" s="4"/>
      <c r="F229" s="4"/>
      <c r="G229" s="4"/>
      <c r="H229" s="4"/>
      <c r="I229" s="4"/>
      <c r="J229" s="4"/>
      <c r="K229" s="4"/>
      <c r="L229" s="308"/>
      <c r="M229" s="4"/>
    </row>
    <row r="230" spans="1:13" ht="15.5">
      <c r="A230" s="5"/>
      <c r="B230" s="2" t="s">
        <v>197</v>
      </c>
      <c r="C230" s="4"/>
      <c r="D230" s="4"/>
      <c r="E230" s="4"/>
      <c r="F230" s="4"/>
      <c r="G230" s="4"/>
      <c r="H230" s="4"/>
      <c r="I230" s="4"/>
      <c r="J230" s="4"/>
      <c r="K230" s="4"/>
      <c r="L230" s="308"/>
      <c r="M230" s="4"/>
    </row>
    <row r="231" spans="1:13" ht="15.5">
      <c r="A231" s="5"/>
      <c r="B231" s="2"/>
      <c r="C231" s="4"/>
      <c r="D231" s="17" t="s">
        <v>102</v>
      </c>
      <c r="E231" s="4"/>
      <c r="F231" s="4"/>
      <c r="G231" s="152" t="s">
        <v>109</v>
      </c>
      <c r="H231" s="568" t="s">
        <v>3</v>
      </c>
      <c r="I231" s="10" t="str">
        <f>+I226</f>
        <v>W&amp;S Allocator</v>
      </c>
      <c r="L231" s="308"/>
      <c r="M231" s="4"/>
    </row>
    <row r="232" spans="1:13" ht="15.5">
      <c r="A232" s="5">
        <v>17</v>
      </c>
      <c r="B232" s="2" t="s">
        <v>110</v>
      </c>
      <c r="C232" s="4" t="s">
        <v>111</v>
      </c>
      <c r="D232" s="321">
        <v>5532641114</v>
      </c>
      <c r="E232" s="4"/>
      <c r="G232" s="5" t="s">
        <v>112</v>
      </c>
      <c r="H232" s="568"/>
      <c r="I232" s="5" t="s">
        <v>113</v>
      </c>
      <c r="J232" s="4"/>
      <c r="K232" s="5" t="s">
        <v>46</v>
      </c>
      <c r="L232" s="308"/>
      <c r="M232" s="4"/>
    </row>
    <row r="233" spans="1:18" ht="15.5">
      <c r="A233" s="5">
        <v>18</v>
      </c>
      <c r="B233" s="2" t="s">
        <v>114</v>
      </c>
      <c r="C233" s="4" t="s">
        <v>115</v>
      </c>
      <c r="D233" s="580">
        <v>0</v>
      </c>
      <c r="E233" s="4"/>
      <c r="G233" s="312">
        <f>IF(D235&gt;0,D232/D235,1)</f>
        <v>1</v>
      </c>
      <c r="H233" s="152" t="s">
        <v>116</v>
      </c>
      <c r="I233" s="312">
        <f>I228</f>
        <v>1</v>
      </c>
      <c r="J233" s="568" t="s">
        <v>108</v>
      </c>
      <c r="K233" s="312">
        <f>G233*I233</f>
        <v>1</v>
      </c>
      <c r="L233" s="308"/>
      <c r="M233" s="236"/>
      <c r="N233" s="236"/>
      <c r="O233" s="237"/>
      <c r="P233" s="52"/>
      <c r="Q233" s="52"/>
      <c r="R233" s="52"/>
    </row>
    <row r="234" spans="1:18" ht="16" thickBot="1">
      <c r="A234" s="5">
        <v>19</v>
      </c>
      <c r="B234" s="576" t="s">
        <v>117</v>
      </c>
      <c r="C234" s="577" t="s">
        <v>118</v>
      </c>
      <c r="D234" s="581">
        <v>0</v>
      </c>
      <c r="E234" s="4"/>
      <c r="F234" s="4"/>
      <c r="G234" s="4" t="s">
        <v>3</v>
      </c>
      <c r="H234" s="4"/>
      <c r="I234" s="4"/>
      <c r="J234" s="4"/>
      <c r="K234" s="4"/>
      <c r="L234" s="308"/>
      <c r="M234" s="582"/>
      <c r="N234" s="582"/>
      <c r="O234" s="52"/>
      <c r="P234" s="52"/>
      <c r="Q234" s="52"/>
      <c r="R234" s="52"/>
    </row>
    <row r="235" spans="1:18" ht="15.5">
      <c r="A235" s="5">
        <v>20</v>
      </c>
      <c r="B235" s="2" t="s">
        <v>119</v>
      </c>
      <c r="C235" s="4"/>
      <c r="D235" s="300">
        <f>SUM(D232:D234)</f>
        <v>5532641114</v>
      </c>
      <c r="E235" s="4"/>
      <c r="F235" s="4"/>
      <c r="G235" s="4"/>
      <c r="H235" s="4"/>
      <c r="I235" s="4"/>
      <c r="J235" s="4"/>
      <c r="K235" s="4"/>
      <c r="L235" s="308"/>
      <c r="N235" s="238"/>
      <c r="O235" s="239"/>
      <c r="P235" s="240"/>
      <c r="Q235" s="238"/>
      <c r="R235" s="238"/>
    </row>
    <row r="236" spans="1:18" ht="15.5">
      <c r="A236" s="5"/>
      <c r="B236" s="2"/>
      <c r="C236" s="4"/>
      <c r="E236" s="4"/>
      <c r="F236" s="4"/>
      <c r="G236" s="4"/>
      <c r="H236" s="4"/>
      <c r="I236" s="4"/>
      <c r="J236" s="4"/>
      <c r="K236" s="4"/>
      <c r="L236" s="308"/>
      <c r="M236" s="664"/>
      <c r="N236" s="664"/>
      <c r="O236" s="664"/>
      <c r="P236" s="664"/>
      <c r="Q236" s="664"/>
      <c r="R236" s="664"/>
    </row>
    <row r="237" spans="1:18" ht="16" thickBot="1">
      <c r="A237" s="5"/>
      <c r="B237" s="2" t="s">
        <v>120</v>
      </c>
      <c r="C237" s="4"/>
      <c r="D237" s="4"/>
      <c r="E237" s="4"/>
      <c r="F237" s="4"/>
      <c r="G237" s="4"/>
      <c r="H237" s="4"/>
      <c r="I237" s="539" t="s">
        <v>102</v>
      </c>
      <c r="J237" s="4"/>
      <c r="K237" s="4"/>
      <c r="L237" s="308"/>
      <c r="M237" s="238"/>
      <c r="N237" s="238"/>
      <c r="O237" s="239"/>
      <c r="P237" s="240"/>
      <c r="Q237" s="238"/>
      <c r="R237" s="238"/>
    </row>
    <row r="238" spans="1:18" ht="15.5">
      <c r="A238" s="5">
        <v>21</v>
      </c>
      <c r="B238" s="2"/>
      <c r="C238" s="4" t="s">
        <v>525</v>
      </c>
      <c r="D238" s="4"/>
      <c r="E238" s="4"/>
      <c r="F238" s="4"/>
      <c r="G238" s="4"/>
      <c r="H238" s="4"/>
      <c r="I238" s="321">
        <v>58950445</v>
      </c>
      <c r="J238" s="4"/>
      <c r="K238" s="4"/>
      <c r="L238" s="308"/>
      <c r="M238" s="239"/>
      <c r="N238" s="239"/>
      <c r="O238" s="239"/>
      <c r="P238" s="240"/>
      <c r="Q238" s="238"/>
      <c r="R238" s="238"/>
    </row>
    <row r="239" spans="1:18" ht="15.5">
      <c r="A239" s="5">
        <v>22</v>
      </c>
      <c r="B239" s="2"/>
      <c r="C239" s="4" t="s">
        <v>207</v>
      </c>
      <c r="D239" s="4"/>
      <c r="E239" s="4"/>
      <c r="F239" s="4"/>
      <c r="G239" s="4"/>
      <c r="H239" s="4"/>
      <c r="I239" s="321">
        <v>0</v>
      </c>
      <c r="J239" s="4"/>
      <c r="K239" s="4"/>
      <c r="L239" s="308"/>
      <c r="M239" s="239"/>
      <c r="N239" s="238"/>
      <c r="O239" s="241"/>
      <c r="P239" s="241"/>
      <c r="Q239" s="238"/>
      <c r="R239" s="238"/>
    </row>
    <row r="240" spans="1:18" ht="15.5">
      <c r="A240" s="5"/>
      <c r="B240" s="2"/>
      <c r="C240" s="4"/>
      <c r="D240" s="4"/>
      <c r="E240" s="4"/>
      <c r="F240" s="4"/>
      <c r="G240" s="4"/>
      <c r="H240" s="4"/>
      <c r="I240" s="282"/>
      <c r="J240" s="4"/>
      <c r="K240" s="4"/>
      <c r="L240" s="308"/>
      <c r="M240" s="239"/>
      <c r="N240" s="238"/>
      <c r="O240" s="238"/>
      <c r="P240" s="238"/>
      <c r="Q240" s="238"/>
      <c r="R240" s="238"/>
    </row>
    <row r="241" spans="1:18" ht="15.5">
      <c r="A241" s="5"/>
      <c r="B241" s="2" t="s">
        <v>121</v>
      </c>
      <c r="C241" s="4"/>
      <c r="D241" s="4"/>
      <c r="E241" s="4"/>
      <c r="F241" s="4"/>
      <c r="G241" s="4"/>
      <c r="H241" s="4"/>
      <c r="I241" s="282"/>
      <c r="J241" s="4"/>
      <c r="K241" s="4"/>
      <c r="L241" s="308"/>
      <c r="M241" s="239"/>
      <c r="N241" s="242"/>
      <c r="O241" s="238"/>
      <c r="P241" s="238"/>
      <c r="Q241" s="238"/>
      <c r="R241" s="238"/>
    </row>
    <row r="242" spans="1:18" ht="15.5">
      <c r="A242" s="5">
        <v>23</v>
      </c>
      <c r="B242" s="2"/>
      <c r="C242" s="4" t="s">
        <v>498</v>
      </c>
      <c r="D242" s="2"/>
      <c r="E242" s="4"/>
      <c r="F242" s="4"/>
      <c r="G242" s="4"/>
      <c r="H242" s="4"/>
      <c r="I242" s="321">
        <f>'WP06 Cap Structure'!E20</f>
        <v>2217872370.4499993</v>
      </c>
      <c r="J242" s="4"/>
      <c r="K242" s="4"/>
      <c r="L242" s="308"/>
      <c r="M242" s="239"/>
      <c r="N242" s="238"/>
      <c r="O242" s="238"/>
      <c r="P242" s="238"/>
      <c r="Q242" s="238"/>
      <c r="R242" s="238"/>
    </row>
    <row r="243" spans="1:18" ht="15.5">
      <c r="A243" s="5">
        <v>24</v>
      </c>
      <c r="B243" s="2"/>
      <c r="C243" s="4" t="s">
        <v>208</v>
      </c>
      <c r="D243" s="4"/>
      <c r="E243" s="4"/>
      <c r="F243" s="4"/>
      <c r="G243" s="4"/>
      <c r="H243" s="4"/>
      <c r="I243" s="300">
        <v>0</v>
      </c>
      <c r="J243" s="4"/>
      <c r="K243" s="4"/>
      <c r="L243" s="308"/>
      <c r="M243" s="239"/>
      <c r="N243" s="238"/>
      <c r="O243" s="238"/>
      <c r="P243" s="238"/>
      <c r="Q243" s="238"/>
      <c r="R243" s="238"/>
    </row>
    <row r="244" spans="1:18" ht="16" thickBot="1">
      <c r="A244" s="5">
        <v>25</v>
      </c>
      <c r="B244" s="2"/>
      <c r="C244" s="4" t="s">
        <v>499</v>
      </c>
      <c r="D244" s="4"/>
      <c r="E244" s="4"/>
      <c r="F244" s="4"/>
      <c r="G244" s="4"/>
      <c r="H244" s="4"/>
      <c r="I244" s="560">
        <f>'WP06 Cap Structure'!G20</f>
        <v>0</v>
      </c>
      <c r="J244" s="4"/>
      <c r="K244" s="4"/>
      <c r="L244" s="308"/>
      <c r="M244" s="239"/>
      <c r="N244" s="238"/>
      <c r="O244" s="238"/>
      <c r="P244" s="243"/>
      <c r="Q244" s="238"/>
      <c r="R244" s="238"/>
    </row>
    <row r="245" spans="1:18" ht="15.5">
      <c r="A245" s="5">
        <v>26</v>
      </c>
      <c r="B245" s="2"/>
      <c r="C245" s="4" t="s">
        <v>122</v>
      </c>
      <c r="D245" s="2" t="s">
        <v>123</v>
      </c>
      <c r="E245" s="2"/>
      <c r="F245" s="2"/>
      <c r="G245" s="2"/>
      <c r="H245" s="2"/>
      <c r="I245" s="300">
        <f>SUM(I242:I244)</f>
        <v>2217872370.4499993</v>
      </c>
      <c r="J245" s="4"/>
      <c r="K245" s="4"/>
      <c r="L245" s="308"/>
      <c r="M245" s="239"/>
      <c r="N245" s="238"/>
      <c r="O245" s="239"/>
      <c r="P245" s="240"/>
      <c r="Q245" s="238"/>
      <c r="R245" s="238"/>
    </row>
    <row r="246" spans="1:18" ht="15.5">
      <c r="A246" s="5"/>
      <c r="B246" s="2"/>
      <c r="C246" s="4"/>
      <c r="D246" s="4"/>
      <c r="E246" s="4"/>
      <c r="F246" s="4"/>
      <c r="G246" s="152" t="s">
        <v>124</v>
      </c>
      <c r="H246" s="4"/>
      <c r="I246" s="4"/>
      <c r="J246" s="4"/>
      <c r="K246" s="4"/>
      <c r="L246" s="308"/>
      <c r="M246" s="239"/>
      <c r="N246" s="238"/>
      <c r="O246" s="239"/>
      <c r="P246" s="240"/>
      <c r="Q246" s="238"/>
      <c r="R246" s="238"/>
    </row>
    <row r="247" spans="1:14" ht="16" thickBot="1">
      <c r="A247" s="5"/>
      <c r="B247" s="2"/>
      <c r="C247" s="4"/>
      <c r="D247" s="515" t="s">
        <v>102</v>
      </c>
      <c r="E247" s="515" t="s">
        <v>125</v>
      </c>
      <c r="F247" s="4"/>
      <c r="G247" s="515" t="s">
        <v>126</v>
      </c>
      <c r="H247" s="4"/>
      <c r="I247" s="515" t="s">
        <v>127</v>
      </c>
      <c r="J247" s="4"/>
      <c r="K247" s="4"/>
      <c r="L247" s="308"/>
      <c r="M247" s="4"/>
      <c r="N247" s="240"/>
    </row>
    <row r="248" spans="1:13" ht="15.5">
      <c r="A248" s="5">
        <v>27</v>
      </c>
      <c r="B248" s="2" t="s">
        <v>500</v>
      </c>
      <c r="D248" s="321">
        <f>'WP06 Cap Structure'!I20</f>
        <v>1500000000</v>
      </c>
      <c r="E248" s="583">
        <f>IF($D$251&gt;0,D248/$D$251,0)</f>
        <v>0.40345656077980019</v>
      </c>
      <c r="F248" s="584"/>
      <c r="G248" s="584">
        <f>IF(D248&gt;0,I238/D248,0)</f>
        <v>0.039300296666666665</v>
      </c>
      <c r="I248" s="584">
        <f>G248*E248</f>
        <v>0.015855962530759177</v>
      </c>
      <c r="J248" s="579" t="s">
        <v>128</v>
      </c>
      <c r="L248" s="308"/>
      <c r="M248" s="4"/>
    </row>
    <row r="249" spans="1:13" ht="15.5">
      <c r="A249" s="5">
        <v>28</v>
      </c>
      <c r="B249" s="2" t="s">
        <v>501</v>
      </c>
      <c r="D249" s="321">
        <f>'WP06 Cap Structure'!F20</f>
        <v>0</v>
      </c>
      <c r="E249" s="583">
        <f>IF($D$251&gt;0,D249/$D$251,0)</f>
        <v>0</v>
      </c>
      <c r="F249" s="584"/>
      <c r="G249" s="584">
        <f>IF(D249&gt;0,I239/D249,0)</f>
        <v>0</v>
      </c>
      <c r="I249" s="584">
        <f>G249*E249</f>
        <v>0</v>
      </c>
      <c r="J249" s="4"/>
      <c r="L249" s="308"/>
      <c r="M249" s="4"/>
    </row>
    <row r="250" spans="1:13" ht="16" thickBot="1">
      <c r="A250" s="5">
        <v>29</v>
      </c>
      <c r="B250" s="2" t="s">
        <v>129</v>
      </c>
      <c r="D250" s="298">
        <f>I245</f>
        <v>2217872370.4499993</v>
      </c>
      <c r="E250" s="583">
        <f>IF($D$251&gt;0,D250/$D$251,0)</f>
        <v>0.59654343922019981</v>
      </c>
      <c r="F250" s="584"/>
      <c r="G250" s="585">
        <v>0.1038</v>
      </c>
      <c r="I250" s="586">
        <f>G250*E250</f>
        <v>0.061921208991056742</v>
      </c>
      <c r="J250" s="4"/>
      <c r="L250" s="308"/>
      <c r="M250" s="4"/>
    </row>
    <row r="251" spans="1:13" ht="15.5">
      <c r="A251" s="5">
        <v>30</v>
      </c>
      <c r="B251" s="2" t="s">
        <v>130</v>
      </c>
      <c r="D251" s="300">
        <f>SUM(D248:D250)</f>
        <v>3717872370.4499993</v>
      </c>
      <c r="E251" s="4" t="s">
        <v>3</v>
      </c>
      <c r="F251" s="4"/>
      <c r="G251" s="234"/>
      <c r="H251" s="4"/>
      <c r="I251" s="584">
        <f>SUM(I248:I250)</f>
        <v>0.077777171521815916</v>
      </c>
      <c r="J251" s="579" t="s">
        <v>131</v>
      </c>
      <c r="L251" s="308"/>
      <c r="M251" s="4"/>
    </row>
    <row r="252" spans="1:13" ht="9.75" customHeight="1">
      <c r="A252" s="5"/>
      <c r="K252" s="4"/>
      <c r="L252" s="308"/>
      <c r="M252" s="4"/>
    </row>
    <row r="253" spans="1:13" ht="15.5">
      <c r="A253" s="5"/>
      <c r="B253" s="2" t="s">
        <v>132</v>
      </c>
      <c r="C253" s="2"/>
      <c r="D253" s="2"/>
      <c r="E253" s="2"/>
      <c r="F253" s="2"/>
      <c r="G253" s="2"/>
      <c r="H253" s="2"/>
      <c r="I253" s="2"/>
      <c r="J253" s="2"/>
      <c r="K253" s="2"/>
      <c r="L253" s="571"/>
      <c r="M253" s="4"/>
    </row>
    <row r="254" spans="1:13" ht="15.5">
      <c r="A254" s="5"/>
      <c r="B254" s="2" t="s">
        <v>133</v>
      </c>
      <c r="C254" s="2"/>
      <c r="D254" s="2" t="s">
        <v>134</v>
      </c>
      <c r="E254" s="2" t="s">
        <v>135</v>
      </c>
      <c r="F254" s="2"/>
      <c r="G254" s="2" t="s">
        <v>3</v>
      </c>
      <c r="I254" s="587"/>
      <c r="J254" s="587"/>
      <c r="L254" s="542"/>
      <c r="M254" s="4"/>
    </row>
    <row r="255" spans="1:13" ht="15.5">
      <c r="A255" s="5">
        <v>31</v>
      </c>
      <c r="B255" s="1" t="s">
        <v>453</v>
      </c>
      <c r="C255" s="2"/>
      <c r="D255" s="2"/>
      <c r="F255" s="2"/>
      <c r="I255" s="588">
        <v>0</v>
      </c>
      <c r="J255" s="589"/>
      <c r="L255" s="542"/>
      <c r="M255" s="4"/>
    </row>
    <row r="256" spans="1:13" ht="16" thickBot="1">
      <c r="A256" s="5">
        <v>32</v>
      </c>
      <c r="B256" s="59" t="s">
        <v>454</v>
      </c>
      <c r="C256" s="576"/>
      <c r="E256" s="2"/>
      <c r="F256" s="2"/>
      <c r="G256" s="2"/>
      <c r="H256" s="2"/>
      <c r="I256" s="590">
        <v>0</v>
      </c>
      <c r="J256" s="591"/>
      <c r="L256" s="542"/>
      <c r="M256" s="4"/>
    </row>
    <row r="257" spans="1:13" ht="15.5">
      <c r="A257" s="5">
        <v>33</v>
      </c>
      <c r="B257" s="1" t="s">
        <v>565</v>
      </c>
      <c r="C257" s="2"/>
      <c r="E257" s="2"/>
      <c r="F257" s="2"/>
      <c r="G257" s="2"/>
      <c r="H257" s="2"/>
      <c r="I257" s="592">
        <f>+I255-I256</f>
        <v>0</v>
      </c>
      <c r="J257" s="589"/>
      <c r="L257" s="542"/>
      <c r="M257" s="4"/>
    </row>
    <row r="258" spans="1:13" ht="15.5">
      <c r="A258" s="5"/>
      <c r="B258" s="1" t="s">
        <v>3</v>
      </c>
      <c r="C258" s="2"/>
      <c r="E258" s="2"/>
      <c r="F258" s="2"/>
      <c r="G258" s="593"/>
      <c r="H258" s="2"/>
      <c r="I258" s="592"/>
      <c r="J258" s="587"/>
      <c r="K258" s="594"/>
      <c r="L258" s="308"/>
      <c r="M258" s="4"/>
    </row>
    <row r="259" spans="1:13" ht="15.5">
      <c r="A259" s="5">
        <v>34</v>
      </c>
      <c r="B259" s="1" t="s">
        <v>526</v>
      </c>
      <c r="C259" s="2"/>
      <c r="D259" s="1" t="s">
        <v>527</v>
      </c>
      <c r="E259" s="2"/>
      <c r="F259" s="2"/>
      <c r="G259" s="593"/>
      <c r="H259" s="2"/>
      <c r="I259" s="595">
        <v>303555</v>
      </c>
      <c r="J259" s="587"/>
      <c r="K259" s="594"/>
      <c r="L259" s="308"/>
      <c r="M259" s="4"/>
    </row>
    <row r="260" spans="1:13" ht="15.5">
      <c r="A260" s="5"/>
      <c r="C260" s="2"/>
      <c r="E260" s="2"/>
      <c r="F260" s="2"/>
      <c r="G260" s="593"/>
      <c r="H260" s="2"/>
      <c r="I260" s="592"/>
      <c r="J260" s="587"/>
      <c r="K260" s="594"/>
      <c r="L260" s="308"/>
      <c r="M260" s="4"/>
    </row>
    <row r="261" spans="1:13" ht="15.5">
      <c r="A261" s="5">
        <v>35</v>
      </c>
      <c r="B261" s="2" t="s">
        <v>455</v>
      </c>
      <c r="C261" s="2"/>
      <c r="D261" s="1" t="s">
        <v>528</v>
      </c>
      <c r="E261" s="2"/>
      <c r="F261" s="2"/>
      <c r="G261" s="548"/>
      <c r="H261" s="2"/>
      <c r="I261" s="595">
        <v>16244334</v>
      </c>
      <c r="J261" s="587"/>
      <c r="K261" s="596"/>
      <c r="L261" s="308"/>
      <c r="M261" s="4"/>
    </row>
    <row r="262" spans="1:13" ht="15.75" customHeight="1">
      <c r="A262" s="5"/>
      <c r="C262" s="2"/>
      <c r="D262" s="2"/>
      <c r="E262" s="2"/>
      <c r="F262" s="2"/>
      <c r="G262" s="2"/>
      <c r="H262" s="2"/>
      <c r="I262" s="592"/>
      <c r="J262" s="587"/>
      <c r="K262" s="596"/>
      <c r="L262" s="308"/>
      <c r="M262" s="4"/>
    </row>
    <row r="263" spans="1:13" ht="15.5">
      <c r="A263" s="5">
        <v>36</v>
      </c>
      <c r="B263" s="2" t="s">
        <v>456</v>
      </c>
      <c r="C263" s="2"/>
      <c r="D263" s="2" t="s">
        <v>136</v>
      </c>
      <c r="E263" s="2"/>
      <c r="F263" s="2"/>
      <c r="G263" s="2"/>
      <c r="H263" s="2"/>
      <c r="I263" s="597">
        <v>12161525.070000002</v>
      </c>
      <c r="K263" s="596"/>
      <c r="L263" s="308"/>
      <c r="M263" s="2"/>
    </row>
    <row r="264" spans="2:13" ht="15.5">
      <c r="B264" s="2"/>
      <c r="C264" s="2"/>
      <c r="D264" s="4"/>
      <c r="E264" s="4"/>
      <c r="F264" s="4"/>
      <c r="G264" s="4"/>
      <c r="H264" s="4"/>
      <c r="J264" s="598"/>
      <c r="K264" s="596"/>
      <c r="L264" s="308"/>
      <c r="M264" s="2"/>
    </row>
    <row r="265" spans="1:13" ht="15.5">
      <c r="A265" s="5"/>
      <c r="B265" s="2"/>
      <c r="C265" s="2"/>
      <c r="D265" s="2"/>
      <c r="E265" s="2"/>
      <c r="F265" s="2"/>
      <c r="G265" s="2"/>
      <c r="H265" s="2"/>
      <c r="I265" s="599"/>
      <c r="K265" s="600"/>
      <c r="L265" s="308"/>
      <c r="M265" s="2"/>
    </row>
    <row r="266" spans="1:13" ht="15.5">
      <c r="A266" s="5"/>
      <c r="C266" s="5"/>
      <c r="D266" s="4"/>
      <c r="E266" s="4"/>
      <c r="F266" s="4"/>
      <c r="G266" s="4"/>
      <c r="H266" s="2"/>
      <c r="I266" s="601"/>
      <c r="J266" s="598"/>
      <c r="K266" s="601"/>
      <c r="L266" s="302"/>
      <c r="M266" s="2"/>
    </row>
    <row r="267" spans="1:13" ht="15.5">
      <c r="A267" s="5"/>
      <c r="C267" s="5"/>
      <c r="D267" s="4"/>
      <c r="E267" s="4"/>
      <c r="F267" s="4"/>
      <c r="G267" s="4"/>
      <c r="H267" s="2"/>
      <c r="I267" s="601"/>
      <c r="J267" s="598"/>
      <c r="K267" s="601"/>
      <c r="L267" s="302"/>
      <c r="M267" s="2"/>
    </row>
    <row r="268" spans="1:13" ht="15.5">
      <c r="A268" s="5"/>
      <c r="C268" s="5"/>
      <c r="D268" s="4"/>
      <c r="E268" s="4"/>
      <c r="F268" s="4"/>
      <c r="G268" s="4"/>
      <c r="H268" s="2"/>
      <c r="I268" s="601"/>
      <c r="J268" s="598"/>
      <c r="K268" s="601"/>
      <c r="L268" s="302"/>
      <c r="M268" s="2"/>
    </row>
    <row r="269" spans="1:13" ht="15.5">
      <c r="A269" s="5"/>
      <c r="C269" s="5"/>
      <c r="D269" s="4"/>
      <c r="E269" s="4"/>
      <c r="F269" s="4"/>
      <c r="G269" s="4"/>
      <c r="H269" s="2"/>
      <c r="I269" s="601"/>
      <c r="J269" s="598"/>
      <c r="K269" s="601"/>
      <c r="L269" s="302"/>
      <c r="M269" s="2"/>
    </row>
    <row r="270" spans="1:13" ht="15.5">
      <c r="A270" s="5"/>
      <c r="C270" s="5"/>
      <c r="D270" s="4"/>
      <c r="E270" s="4"/>
      <c r="F270" s="4"/>
      <c r="G270" s="4"/>
      <c r="H270" s="2"/>
      <c r="I270" s="601"/>
      <c r="J270" s="598"/>
      <c r="K270" s="601"/>
      <c r="L270" s="302"/>
      <c r="M270" s="2"/>
    </row>
    <row r="271" spans="1:12" ht="15.5">
      <c r="A271" s="565"/>
      <c r="B271" s="2"/>
      <c r="C271" s="4"/>
      <c r="D271" s="4"/>
      <c r="E271" s="4"/>
      <c r="F271" s="4"/>
      <c r="G271" s="10"/>
      <c r="H271" s="4"/>
      <c r="I271" s="4"/>
      <c r="J271" s="4"/>
      <c r="K271" s="559"/>
      <c r="L271" s="542"/>
    </row>
    <row r="272" spans="1:12" ht="15.5">
      <c r="A272" s="565"/>
      <c r="B272" s="2"/>
      <c r="C272" s="4"/>
      <c r="D272" s="4"/>
      <c r="E272" s="4"/>
      <c r="F272" s="4"/>
      <c r="G272" s="10"/>
      <c r="H272" s="4"/>
      <c r="I272" s="4"/>
      <c r="J272" s="4"/>
      <c r="K272" s="559"/>
      <c r="L272" s="542"/>
    </row>
    <row r="273" spans="2:13" ht="15.5">
      <c r="B273" s="2"/>
      <c r="C273" s="2"/>
      <c r="D273" s="302"/>
      <c r="E273" s="2"/>
      <c r="F273" s="2"/>
      <c r="G273" s="2"/>
      <c r="H273" s="2"/>
      <c r="I273" s="5"/>
      <c r="J273" s="5"/>
      <c r="K273" s="3"/>
      <c r="L273" s="302"/>
      <c r="M273" s="2"/>
    </row>
    <row r="274" spans="2:13" ht="15.5">
      <c r="B274" s="2"/>
      <c r="C274" s="2"/>
      <c r="D274" s="302"/>
      <c r="E274" s="2"/>
      <c r="F274" s="2"/>
      <c r="G274" s="2"/>
      <c r="H274" s="2"/>
      <c r="I274" s="3"/>
      <c r="J274" s="3"/>
      <c r="K274" s="3"/>
      <c r="L274" s="302"/>
      <c r="M274" s="2"/>
    </row>
    <row r="275" spans="2:13" ht="16.5" customHeight="1">
      <c r="B275" s="2"/>
      <c r="C275" s="2"/>
      <c r="D275" s="302"/>
      <c r="E275" s="2"/>
      <c r="F275" s="2"/>
      <c r="G275" s="2"/>
      <c r="H275" s="2"/>
      <c r="I275" s="2"/>
      <c r="K275" s="3" t="s">
        <v>305</v>
      </c>
      <c r="L275" s="302"/>
      <c r="M275" s="2"/>
    </row>
    <row r="276" spans="2:13" ht="16.5" customHeight="1">
      <c r="B276" s="2"/>
      <c r="C276" s="2"/>
      <c r="D276" s="302"/>
      <c r="E276" s="2"/>
      <c r="F276" s="2"/>
      <c r="G276" s="2"/>
      <c r="H276" s="2"/>
      <c r="I276" s="2"/>
      <c r="J276" s="2"/>
      <c r="K276" s="3" t="s">
        <v>137</v>
      </c>
      <c r="L276" s="302"/>
      <c r="M276" s="2"/>
    </row>
    <row r="277" spans="2:13" ht="16.5" customHeight="1">
      <c r="B277" s="2"/>
      <c r="C277" s="2"/>
      <c r="D277" s="302"/>
      <c r="E277" s="2"/>
      <c r="F277" s="2"/>
      <c r="G277" s="2"/>
      <c r="H277" s="2"/>
      <c r="I277" s="2"/>
      <c r="J277" s="2"/>
      <c r="K277" s="3"/>
      <c r="L277" s="302"/>
      <c r="M277" s="2"/>
    </row>
    <row r="278" spans="2:13" ht="15.5">
      <c r="B278" s="2" t="s">
        <v>1</v>
      </c>
      <c r="C278" s="2"/>
      <c r="D278" s="302" t="s">
        <v>2</v>
      </c>
      <c r="E278" s="2"/>
      <c r="F278" s="2"/>
      <c r="G278" s="2"/>
      <c r="H278" s="514"/>
      <c r="I278" s="284"/>
      <c r="J278" s="514"/>
      <c r="K278" s="426" t="str">
        <f>K4</f>
        <v>For the 12 months ended 12/31/2022</v>
      </c>
      <c r="L278" s="302"/>
      <c r="M278" s="2"/>
    </row>
    <row r="279" spans="2:13" ht="15.5">
      <c r="B279" s="2"/>
      <c r="C279" s="4" t="s">
        <v>3</v>
      </c>
      <c r="D279" s="4" t="s">
        <v>4</v>
      </c>
      <c r="E279" s="4"/>
      <c r="F279" s="4"/>
      <c r="G279" s="4"/>
      <c r="H279" s="2"/>
      <c r="I279" s="2"/>
      <c r="J279" s="2"/>
      <c r="K279" s="2"/>
      <c r="L279" s="302"/>
      <c r="M279" s="2"/>
    </row>
    <row r="280" spans="1:13" ht="15.5">
      <c r="A280" s="5"/>
      <c r="C280" s="5"/>
      <c r="D280" s="4"/>
      <c r="E280" s="4"/>
      <c r="F280" s="4"/>
      <c r="G280" s="4"/>
      <c r="H280" s="2"/>
      <c r="I280" s="602"/>
      <c r="J280" s="587"/>
      <c r="K280" s="598"/>
      <c r="L280" s="302"/>
      <c r="M280" s="2"/>
    </row>
    <row r="281" spans="1:13" ht="15.5">
      <c r="A281" s="5"/>
      <c r="C281" s="5"/>
      <c r="D281" s="4" t="str">
        <f>D7</f>
        <v>American Transmission Systems, Inc.</v>
      </c>
      <c r="E281" s="4"/>
      <c r="F281" s="4"/>
      <c r="G281" s="4"/>
      <c r="H281" s="2"/>
      <c r="I281" s="602"/>
      <c r="J281" s="587"/>
      <c r="K281" s="598"/>
      <c r="L281" s="302"/>
      <c r="M281" s="2"/>
    </row>
    <row r="282" spans="1:13" ht="15.5">
      <c r="A282" s="5"/>
      <c r="C282" s="5"/>
      <c r="D282" s="4"/>
      <c r="E282" s="4"/>
      <c r="F282" s="4"/>
      <c r="G282" s="4"/>
      <c r="H282" s="2"/>
      <c r="I282" s="602"/>
      <c r="J282" s="587"/>
      <c r="K282" s="598"/>
      <c r="L282" s="302"/>
      <c r="M282" s="2"/>
    </row>
    <row r="283" spans="1:13" ht="15.5">
      <c r="A283" s="5"/>
      <c r="B283" s="2" t="s">
        <v>138</v>
      </c>
      <c r="C283" s="5"/>
      <c r="D283" s="4"/>
      <c r="E283" s="4"/>
      <c r="F283" s="4"/>
      <c r="G283" s="4"/>
      <c r="H283" s="2"/>
      <c r="I283" s="4"/>
      <c r="J283" s="2"/>
      <c r="K283" s="4"/>
      <c r="L283" s="302"/>
      <c r="M283" s="2"/>
    </row>
    <row r="284" spans="1:13" ht="15.5">
      <c r="A284" s="5"/>
      <c r="B284" s="603" t="s">
        <v>188</v>
      </c>
      <c r="C284" s="5"/>
      <c r="D284" s="4"/>
      <c r="E284" s="4"/>
      <c r="F284" s="4"/>
      <c r="G284" s="4"/>
      <c r="H284" s="2"/>
      <c r="I284" s="4"/>
      <c r="J284" s="2"/>
      <c r="K284" s="4"/>
      <c r="L284" s="302"/>
      <c r="M284" s="2"/>
    </row>
    <row r="285" spans="1:13" ht="15.5">
      <c r="A285" s="5" t="s">
        <v>139</v>
      </c>
      <c r="B285" s="2"/>
      <c r="C285" s="2"/>
      <c r="D285" s="4"/>
      <c r="E285" s="4"/>
      <c r="F285" s="4"/>
      <c r="G285" s="4"/>
      <c r="H285" s="2"/>
      <c r="I285" s="4"/>
      <c r="J285" s="2"/>
      <c r="K285" s="4"/>
      <c r="L285" s="302"/>
      <c r="M285" s="2"/>
    </row>
    <row r="286" spans="1:13" ht="16" thickBot="1">
      <c r="A286" s="515" t="s">
        <v>140</v>
      </c>
      <c r="B286" s="2"/>
      <c r="C286" s="2"/>
      <c r="D286" s="4"/>
      <c r="E286" s="4"/>
      <c r="F286" s="4"/>
      <c r="G286" s="4"/>
      <c r="H286" s="2"/>
      <c r="I286" s="4"/>
      <c r="J286" s="2"/>
      <c r="K286" s="4"/>
      <c r="L286" s="302"/>
      <c r="M286" s="2"/>
    </row>
    <row r="287" spans="1:13" ht="19.75" customHeight="1">
      <c r="A287" s="604" t="s">
        <v>141</v>
      </c>
      <c r="B287" s="656" t="s">
        <v>459</v>
      </c>
      <c r="C287" s="656"/>
      <c r="D287" s="656"/>
      <c r="E287" s="656"/>
      <c r="F287" s="656"/>
      <c r="G287" s="656"/>
      <c r="H287" s="656"/>
      <c r="I287" s="656"/>
      <c r="J287" s="656"/>
      <c r="K287" s="656"/>
      <c r="L287" s="302"/>
      <c r="M287" s="2"/>
    </row>
    <row r="288" spans="1:13" ht="15.5">
      <c r="A288" s="604" t="s">
        <v>142</v>
      </c>
      <c r="B288" s="656" t="s">
        <v>460</v>
      </c>
      <c r="C288" s="656"/>
      <c r="D288" s="656"/>
      <c r="E288" s="656"/>
      <c r="F288" s="656"/>
      <c r="G288" s="656"/>
      <c r="H288" s="656"/>
      <c r="I288" s="656"/>
      <c r="J288" s="656"/>
      <c r="K288" s="656"/>
      <c r="L288" s="302"/>
      <c r="M288" s="2"/>
    </row>
    <row r="289" spans="1:13" ht="15.75" customHeight="1">
      <c r="A289" s="604" t="s">
        <v>143</v>
      </c>
      <c r="B289" s="656" t="s">
        <v>566</v>
      </c>
      <c r="C289" s="656"/>
      <c r="D289" s="656"/>
      <c r="E289" s="656"/>
      <c r="F289" s="656"/>
      <c r="G289" s="656"/>
      <c r="H289" s="656"/>
      <c r="I289" s="656"/>
      <c r="J289" s="656"/>
      <c r="K289" s="656"/>
      <c r="L289" s="308"/>
      <c r="M289" s="2"/>
    </row>
    <row r="290" spans="1:13" ht="15.75" customHeight="1">
      <c r="A290" s="604" t="s">
        <v>144</v>
      </c>
      <c r="B290" s="656" t="s">
        <v>224</v>
      </c>
      <c r="C290" s="656"/>
      <c r="D290" s="656"/>
      <c r="E290" s="656"/>
      <c r="F290" s="656"/>
      <c r="G290" s="656"/>
      <c r="H290" s="656"/>
      <c r="I290" s="656"/>
      <c r="J290" s="656"/>
      <c r="K290" s="656"/>
      <c r="L290" s="308"/>
      <c r="M290" s="2"/>
    </row>
    <row r="291" spans="1:13" ht="15.5">
      <c r="A291" s="604" t="s">
        <v>145</v>
      </c>
      <c r="B291" s="656" t="s">
        <v>224</v>
      </c>
      <c r="C291" s="656"/>
      <c r="D291" s="656"/>
      <c r="E291" s="656"/>
      <c r="F291" s="656"/>
      <c r="G291" s="656"/>
      <c r="H291" s="656"/>
      <c r="I291" s="656"/>
      <c r="J291" s="656"/>
      <c r="K291" s="656"/>
      <c r="L291" s="302"/>
      <c r="M291" s="2"/>
    </row>
    <row r="292" spans="1:13" ht="196.75" customHeight="1">
      <c r="A292" s="604" t="s">
        <v>146</v>
      </c>
      <c r="B292" s="656" t="s">
        <v>905</v>
      </c>
      <c r="C292" s="656"/>
      <c r="D292" s="656"/>
      <c r="E292" s="656"/>
      <c r="F292" s="656"/>
      <c r="G292" s="656"/>
      <c r="H292" s="656"/>
      <c r="I292" s="656"/>
      <c r="J292" s="656"/>
      <c r="K292" s="656"/>
      <c r="L292" s="271"/>
      <c r="M292" s="2"/>
    </row>
    <row r="293" spans="1:13" ht="15.5">
      <c r="A293" s="604" t="s">
        <v>147</v>
      </c>
      <c r="B293" s="656" t="s">
        <v>148</v>
      </c>
      <c r="C293" s="656"/>
      <c r="D293" s="656"/>
      <c r="E293" s="656"/>
      <c r="F293" s="656"/>
      <c r="G293" s="656"/>
      <c r="H293" s="656"/>
      <c r="I293" s="656"/>
      <c r="J293" s="656"/>
      <c r="K293" s="656"/>
      <c r="L293" s="302"/>
      <c r="M293" s="2"/>
    </row>
    <row r="294" spans="1:13" ht="32.25" customHeight="1">
      <c r="A294" s="604" t="s">
        <v>149</v>
      </c>
      <c r="B294" s="656" t="s">
        <v>326</v>
      </c>
      <c r="C294" s="656"/>
      <c r="D294" s="656"/>
      <c r="E294" s="656"/>
      <c r="F294" s="656"/>
      <c r="G294" s="656"/>
      <c r="H294" s="656"/>
      <c r="I294" s="656"/>
      <c r="J294" s="656"/>
      <c r="K294" s="656"/>
      <c r="L294" s="302"/>
      <c r="M294" s="2"/>
    </row>
    <row r="295" spans="1:13" ht="32.25" customHeight="1">
      <c r="A295" s="604" t="s">
        <v>150</v>
      </c>
      <c r="B295" s="656" t="s">
        <v>215</v>
      </c>
      <c r="C295" s="656"/>
      <c r="D295" s="656"/>
      <c r="E295" s="656"/>
      <c r="F295" s="656"/>
      <c r="G295" s="656"/>
      <c r="H295" s="656"/>
      <c r="I295" s="656"/>
      <c r="J295" s="656"/>
      <c r="K295" s="656"/>
      <c r="L295" s="302"/>
      <c r="M295" s="2"/>
    </row>
    <row r="296" spans="1:13" ht="32.25" customHeight="1">
      <c r="A296" s="604" t="s">
        <v>151</v>
      </c>
      <c r="B296" s="656" t="s">
        <v>214</v>
      </c>
      <c r="C296" s="656"/>
      <c r="D296" s="656"/>
      <c r="E296" s="656"/>
      <c r="F296" s="656"/>
      <c r="G296" s="656"/>
      <c r="H296" s="656"/>
      <c r="I296" s="656"/>
      <c r="J296" s="656"/>
      <c r="K296" s="656"/>
      <c r="L296" s="472"/>
      <c r="M296" s="2"/>
    </row>
    <row r="297" spans="1:13" ht="65.4" customHeight="1">
      <c r="A297" s="604" t="s">
        <v>152</v>
      </c>
      <c r="B297" s="656" t="s">
        <v>213</v>
      </c>
      <c r="C297" s="656"/>
      <c r="D297" s="656"/>
      <c r="E297" s="656"/>
      <c r="F297" s="656"/>
      <c r="G297" s="656"/>
      <c r="H297" s="656"/>
      <c r="I297" s="656"/>
      <c r="J297" s="656"/>
      <c r="K297" s="656"/>
      <c r="L297" s="302"/>
      <c r="M297" s="2"/>
    </row>
    <row r="298" spans="1:13" ht="15.5">
      <c r="A298" s="604" t="s">
        <v>3</v>
      </c>
      <c r="B298" s="605" t="s">
        <v>210</v>
      </c>
      <c r="C298" s="473" t="s">
        <v>153</v>
      </c>
      <c r="D298" s="611">
        <f>'WP08 Tax Rates'!D6</f>
        <v>0.20999999999999999</v>
      </c>
      <c r="E298" s="656"/>
      <c r="F298" s="656"/>
      <c r="G298" s="656"/>
      <c r="H298" s="656"/>
      <c r="I298" s="656"/>
      <c r="J298" s="656"/>
      <c r="K298" s="656"/>
      <c r="L298" s="302"/>
      <c r="M298" s="2"/>
    </row>
    <row r="299" spans="1:13" ht="15.5">
      <c r="A299" s="604"/>
      <c r="B299" s="473"/>
      <c r="C299" s="473" t="s">
        <v>154</v>
      </c>
      <c r="D299" s="611">
        <f>'WP08 Tax Rates'!G16</f>
        <v>0.016368052303679999</v>
      </c>
      <c r="E299" s="656" t="s">
        <v>457</v>
      </c>
      <c r="F299" s="656"/>
      <c r="G299" s="656"/>
      <c r="H299" s="656"/>
      <c r="I299" s="656"/>
      <c r="J299" s="656"/>
      <c r="K299" s="656"/>
      <c r="L299" s="302"/>
      <c r="M299" s="2"/>
    </row>
    <row r="300" spans="1:13" ht="15.5">
      <c r="A300" s="604"/>
      <c r="B300" s="473"/>
      <c r="C300" s="473" t="s">
        <v>155</v>
      </c>
      <c r="D300" s="606"/>
      <c r="E300" s="656" t="s">
        <v>458</v>
      </c>
      <c r="F300" s="656"/>
      <c r="G300" s="656"/>
      <c r="H300" s="656"/>
      <c r="I300" s="656"/>
      <c r="J300" s="656"/>
      <c r="K300" s="656"/>
      <c r="L300" s="571"/>
      <c r="M300" s="2"/>
    </row>
    <row r="301" spans="1:13" ht="15.5">
      <c r="A301" s="604" t="s">
        <v>156</v>
      </c>
      <c r="B301" s="656" t="s">
        <v>170</v>
      </c>
      <c r="C301" s="656"/>
      <c r="D301" s="656"/>
      <c r="E301" s="656"/>
      <c r="F301" s="656"/>
      <c r="G301" s="656"/>
      <c r="H301" s="656"/>
      <c r="I301" s="656"/>
      <c r="J301" s="656"/>
      <c r="K301" s="656"/>
      <c r="L301" s="302"/>
      <c r="M301" s="2"/>
    </row>
    <row r="302" spans="1:13" ht="18" customHeight="1">
      <c r="A302" s="604" t="s">
        <v>157</v>
      </c>
      <c r="B302" s="656" t="s">
        <v>212</v>
      </c>
      <c r="C302" s="656"/>
      <c r="D302" s="656"/>
      <c r="E302" s="656"/>
      <c r="F302" s="656"/>
      <c r="G302" s="656"/>
      <c r="H302" s="656"/>
      <c r="I302" s="656"/>
      <c r="J302" s="656"/>
      <c r="K302" s="656"/>
      <c r="L302" s="302"/>
      <c r="M302" s="2"/>
    </row>
    <row r="303" spans="1:13" ht="36" customHeight="1">
      <c r="A303" s="604" t="s">
        <v>158</v>
      </c>
      <c r="B303" s="656" t="s">
        <v>502</v>
      </c>
      <c r="C303" s="656"/>
      <c r="D303" s="656"/>
      <c r="E303" s="656"/>
      <c r="F303" s="656"/>
      <c r="G303" s="656"/>
      <c r="H303" s="656"/>
      <c r="I303" s="656"/>
      <c r="J303" s="656"/>
      <c r="K303" s="656"/>
      <c r="L303" s="302"/>
      <c r="M303" s="2"/>
    </row>
    <row r="304" spans="1:13" ht="15.5">
      <c r="A304" s="604" t="s">
        <v>159</v>
      </c>
      <c r="B304" s="656" t="s">
        <v>160</v>
      </c>
      <c r="C304" s="656"/>
      <c r="D304" s="656"/>
      <c r="E304" s="656"/>
      <c r="F304" s="656"/>
      <c r="G304" s="656"/>
      <c r="H304" s="656"/>
      <c r="I304" s="656"/>
      <c r="J304" s="656"/>
      <c r="K304" s="656"/>
      <c r="L304" s="302"/>
      <c r="M304" s="2"/>
    </row>
    <row r="305" spans="1:14" ht="48" customHeight="1">
      <c r="A305" s="604" t="s">
        <v>161</v>
      </c>
      <c r="B305" s="656" t="s">
        <v>567</v>
      </c>
      <c r="C305" s="656"/>
      <c r="D305" s="656"/>
      <c r="E305" s="656"/>
      <c r="F305" s="656"/>
      <c r="G305" s="656"/>
      <c r="H305" s="656"/>
      <c r="I305" s="656"/>
      <c r="J305" s="656"/>
      <c r="K305" s="656"/>
      <c r="L305" s="661"/>
      <c r="M305" s="661"/>
      <c r="N305" s="661"/>
    </row>
    <row r="306" spans="1:13" ht="23.4" customHeight="1">
      <c r="A306" s="604" t="s">
        <v>162</v>
      </c>
      <c r="B306" s="656" t="s">
        <v>211</v>
      </c>
      <c r="C306" s="656"/>
      <c r="D306" s="656"/>
      <c r="E306" s="656"/>
      <c r="F306" s="656"/>
      <c r="G306" s="656"/>
      <c r="H306" s="656"/>
      <c r="I306" s="656"/>
      <c r="J306" s="656"/>
      <c r="K306" s="656"/>
      <c r="L306" s="302"/>
      <c r="M306" s="2"/>
    </row>
    <row r="307" spans="1:13" ht="15.5">
      <c r="A307" s="604" t="s">
        <v>163</v>
      </c>
      <c r="B307" s="656" t="s">
        <v>164</v>
      </c>
      <c r="C307" s="656"/>
      <c r="D307" s="656"/>
      <c r="E307" s="656"/>
      <c r="F307" s="656"/>
      <c r="G307" s="656"/>
      <c r="H307" s="656"/>
      <c r="I307" s="656"/>
      <c r="J307" s="656"/>
      <c r="K307" s="656"/>
      <c r="L307" s="302"/>
      <c r="M307" s="2"/>
    </row>
    <row r="308" spans="1:13" ht="20.25" customHeight="1">
      <c r="A308" s="604" t="s">
        <v>165</v>
      </c>
      <c r="B308" s="656" t="s">
        <v>535</v>
      </c>
      <c r="C308" s="656"/>
      <c r="D308" s="656"/>
      <c r="E308" s="656"/>
      <c r="F308" s="656"/>
      <c r="G308" s="656"/>
      <c r="H308" s="656"/>
      <c r="I308" s="656"/>
      <c r="J308" s="656"/>
      <c r="K308" s="656"/>
      <c r="L308" s="302"/>
      <c r="M308" s="2"/>
    </row>
    <row r="309" spans="1:13" ht="61.25" customHeight="1">
      <c r="A309" s="250" t="s">
        <v>166</v>
      </c>
      <c r="B309" s="656" t="s">
        <v>537</v>
      </c>
      <c r="C309" s="656"/>
      <c r="D309" s="656"/>
      <c r="E309" s="656"/>
      <c r="F309" s="656"/>
      <c r="G309" s="656"/>
      <c r="H309" s="656"/>
      <c r="I309" s="656"/>
      <c r="J309" s="656"/>
      <c r="K309" s="656"/>
      <c r="L309" s="302"/>
      <c r="M309" s="2"/>
    </row>
    <row r="310" spans="1:13" ht="81" customHeight="1">
      <c r="A310" s="250" t="s">
        <v>167</v>
      </c>
      <c r="B310" s="656" t="s">
        <v>568</v>
      </c>
      <c r="C310" s="656"/>
      <c r="D310" s="656"/>
      <c r="E310" s="656"/>
      <c r="F310" s="656"/>
      <c r="G310" s="656"/>
      <c r="H310" s="656"/>
      <c r="I310" s="656"/>
      <c r="J310" s="656"/>
      <c r="K310" s="656"/>
      <c r="L310" s="302"/>
      <c r="M310" s="2"/>
    </row>
    <row r="311" spans="1:12" ht="39" customHeight="1">
      <c r="A311" s="250" t="s">
        <v>168</v>
      </c>
      <c r="B311" s="656" t="s">
        <v>887</v>
      </c>
      <c r="C311" s="656"/>
      <c r="D311" s="656"/>
      <c r="E311" s="656"/>
      <c r="F311" s="656"/>
      <c r="G311" s="656"/>
      <c r="H311" s="656"/>
      <c r="I311" s="656"/>
      <c r="J311" s="656"/>
      <c r="K311" s="656"/>
      <c r="L311" s="465"/>
    </row>
    <row r="312" spans="1:11" ht="15.75" customHeight="1">
      <c r="A312" s="250" t="s">
        <v>169</v>
      </c>
      <c r="B312" s="665" t="s">
        <v>185</v>
      </c>
      <c r="C312" s="665"/>
      <c r="D312" s="665"/>
      <c r="E312" s="665"/>
      <c r="F312" s="665"/>
      <c r="G312" s="665"/>
      <c r="H312" s="665"/>
      <c r="I312" s="665"/>
      <c r="J312" s="665"/>
      <c r="K312" s="665"/>
    </row>
    <row r="313" spans="1:11" ht="15.75" customHeight="1">
      <c r="A313" s="250" t="s">
        <v>180</v>
      </c>
      <c r="B313" s="656" t="s">
        <v>462</v>
      </c>
      <c r="C313" s="656"/>
      <c r="D313" s="656"/>
      <c r="E313" s="656"/>
      <c r="F313" s="656"/>
      <c r="G313" s="656"/>
      <c r="H313" s="656"/>
      <c r="I313" s="656"/>
      <c r="J313" s="656"/>
      <c r="K313" s="656"/>
    </row>
    <row r="314" spans="1:11" ht="15.75" customHeight="1">
      <c r="A314" s="250" t="s">
        <v>181</v>
      </c>
      <c r="B314" s="656" t="s">
        <v>679</v>
      </c>
      <c r="C314" s="656"/>
      <c r="D314" s="656"/>
      <c r="E314" s="656"/>
      <c r="F314" s="656"/>
      <c r="G314" s="656"/>
      <c r="H314" s="656"/>
      <c r="I314" s="656"/>
      <c r="J314" s="656"/>
      <c r="K314" s="656"/>
    </row>
    <row r="315" spans="1:11" ht="15.5">
      <c r="A315" s="250" t="s">
        <v>225</v>
      </c>
      <c r="B315" s="660" t="s">
        <v>536</v>
      </c>
      <c r="C315" s="660"/>
      <c r="D315" s="660"/>
      <c r="E315" s="660"/>
      <c r="F315" s="660"/>
      <c r="G315" s="660"/>
      <c r="H315" s="660"/>
      <c r="I315" s="660"/>
      <c r="J315" s="660"/>
      <c r="K315" s="660"/>
    </row>
    <row r="316" spans="1:11" ht="15.5">
      <c r="A316" s="60" t="s">
        <v>529</v>
      </c>
      <c r="B316" s="660" t="s">
        <v>530</v>
      </c>
      <c r="C316" s="660"/>
      <c r="D316" s="660"/>
      <c r="E316" s="660"/>
      <c r="F316" s="660"/>
      <c r="G316" s="660"/>
      <c r="H316" s="660"/>
      <c r="I316" s="660"/>
      <c r="J316" s="660"/>
      <c r="K316" s="660"/>
    </row>
    <row r="317" spans="1:11" ht="48.65" customHeight="1">
      <c r="A317" s="60" t="s">
        <v>531</v>
      </c>
      <c r="B317" s="661" t="s">
        <v>569</v>
      </c>
      <c r="C317" s="662"/>
      <c r="D317" s="662"/>
      <c r="E317" s="662"/>
      <c r="F317" s="662"/>
      <c r="G317" s="662"/>
      <c r="H317" s="662"/>
      <c r="I317" s="662"/>
      <c r="J317" s="662"/>
      <c r="K317" s="662"/>
    </row>
    <row r="318" spans="1:11" ht="15.5">
      <c r="A318" s="60" t="s">
        <v>532</v>
      </c>
      <c r="B318" s="662" t="s">
        <v>533</v>
      </c>
      <c r="C318" s="662"/>
      <c r="D318" s="662"/>
      <c r="E318" s="662"/>
      <c r="F318" s="662"/>
      <c r="G318" s="662"/>
      <c r="H318" s="662"/>
      <c r="I318" s="662"/>
      <c r="J318" s="662"/>
      <c r="K318" s="662"/>
    </row>
    <row r="319" spans="1:11" ht="33" customHeight="1">
      <c r="A319" s="60" t="s">
        <v>534</v>
      </c>
      <c r="B319" s="663" t="s">
        <v>562</v>
      </c>
      <c r="C319" s="663"/>
      <c r="D319" s="663"/>
      <c r="E319" s="663"/>
      <c r="F319" s="663"/>
      <c r="G319" s="663"/>
      <c r="H319" s="663"/>
      <c r="I319" s="663"/>
      <c r="J319" s="663"/>
      <c r="K319" s="663"/>
    </row>
    <row r="320" spans="1:11" ht="67.25" customHeight="1">
      <c r="A320" s="60" t="s">
        <v>618</v>
      </c>
      <c r="B320" s="663" t="s">
        <v>815</v>
      </c>
      <c r="C320" s="663"/>
      <c r="D320" s="663"/>
      <c r="E320" s="663"/>
      <c r="F320" s="663"/>
      <c r="G320" s="663"/>
      <c r="H320" s="663"/>
      <c r="I320" s="663"/>
      <c r="J320" s="663"/>
      <c r="K320" s="663"/>
    </row>
    <row r="321" spans="1:11" ht="69" customHeight="1">
      <c r="A321" s="60" t="s">
        <v>630</v>
      </c>
      <c r="B321" s="663" t="s">
        <v>816</v>
      </c>
      <c r="C321" s="663"/>
      <c r="D321" s="663"/>
      <c r="E321" s="663"/>
      <c r="F321" s="663"/>
      <c r="G321" s="663"/>
      <c r="H321" s="663"/>
      <c r="I321" s="663"/>
      <c r="J321" s="663"/>
      <c r="K321" s="663"/>
    </row>
    <row r="322" spans="1:11" ht="50.15" customHeight="1">
      <c r="A322" s="60" t="s">
        <v>631</v>
      </c>
      <c r="B322" s="663" t="s">
        <v>899</v>
      </c>
      <c r="C322" s="663"/>
      <c r="D322" s="663"/>
      <c r="E322" s="663"/>
      <c r="F322" s="663"/>
      <c r="G322" s="663"/>
      <c r="H322" s="663"/>
      <c r="I322" s="663"/>
      <c r="J322" s="663"/>
      <c r="K322" s="663"/>
    </row>
    <row r="323" spans="1:9" ht="15.5">
      <c r="A323" s="32" t="s">
        <v>906</v>
      </c>
      <c r="B323" s="2" t="s">
        <v>907</v>
      </c>
      <c r="C323" s="2"/>
      <c r="D323" s="302"/>
      <c r="E323" s="2"/>
      <c r="F323" s="2"/>
      <c r="G323" s="2"/>
      <c r="H323" s="2"/>
      <c r="I323" s="2"/>
    </row>
    <row r="324" spans="1:11" ht="15.5">
      <c r="A324" s="5"/>
      <c r="B324" s="659"/>
      <c r="C324" s="659"/>
      <c r="D324" s="659"/>
      <c r="E324" s="659"/>
      <c r="F324" s="659"/>
      <c r="G324" s="659"/>
      <c r="H324" s="659"/>
      <c r="I324" s="659"/>
      <c r="J324" s="659"/>
      <c r="K324" s="659"/>
    </row>
    <row r="325" spans="1:11" ht="15.5">
      <c r="A325" s="5"/>
      <c r="B325" s="659"/>
      <c r="C325" s="659"/>
      <c r="D325" s="659"/>
      <c r="E325" s="659"/>
      <c r="F325" s="659"/>
      <c r="G325" s="659"/>
      <c r="H325" s="659"/>
      <c r="I325" s="659"/>
      <c r="J325" s="659"/>
      <c r="K325" s="659"/>
    </row>
    <row r="326" spans="1:11" ht="15.5">
      <c r="A326" s="5"/>
      <c r="B326" s="659"/>
      <c r="C326" s="659"/>
      <c r="D326" s="659"/>
      <c r="E326" s="659"/>
      <c r="F326" s="659"/>
      <c r="G326" s="659"/>
      <c r="H326" s="659"/>
      <c r="I326" s="659"/>
      <c r="J326" s="659"/>
      <c r="K326" s="659"/>
    </row>
    <row r="327" spans="1:9" ht="15.5">
      <c r="A327" s="5"/>
      <c r="C327" s="2"/>
      <c r="D327" s="11"/>
      <c r="E327" s="2"/>
      <c r="F327" s="2"/>
      <c r="G327" s="2"/>
      <c r="H327" s="2"/>
      <c r="I327" s="2"/>
    </row>
    <row r="328" spans="1:11" ht="15.5">
      <c r="A328" s="5"/>
      <c r="B328" s="659"/>
      <c r="C328" s="659"/>
      <c r="D328" s="659"/>
      <c r="E328" s="659"/>
      <c r="F328" s="659"/>
      <c r="G328" s="659"/>
      <c r="H328" s="659"/>
      <c r="I328" s="659"/>
      <c r="J328" s="659"/>
      <c r="K328" s="659"/>
    </row>
    <row r="329" spans="1:11" ht="15.5">
      <c r="A329" s="5"/>
      <c r="B329" s="659"/>
      <c r="C329" s="659"/>
      <c r="D329" s="659"/>
      <c r="E329" s="659"/>
      <c r="F329" s="659"/>
      <c r="G329" s="659"/>
      <c r="H329" s="659"/>
      <c r="I329" s="659"/>
      <c r="J329" s="659"/>
      <c r="K329" s="659"/>
    </row>
    <row r="330" spans="1:11" ht="15.5">
      <c r="A330" s="5"/>
      <c r="B330" s="659"/>
      <c r="C330" s="659"/>
      <c r="D330" s="659"/>
      <c r="E330" s="659"/>
      <c r="F330" s="659"/>
      <c r="G330" s="659"/>
      <c r="H330" s="659"/>
      <c r="I330" s="659"/>
      <c r="J330" s="659"/>
      <c r="K330" s="659"/>
    </row>
    <row r="331" spans="1:9" ht="15.5">
      <c r="A331" s="5"/>
      <c r="C331" s="2"/>
      <c r="D331" s="11"/>
      <c r="E331" s="2"/>
      <c r="F331" s="2"/>
      <c r="G331" s="2"/>
      <c r="H331" s="2"/>
      <c r="I331" s="2"/>
    </row>
    <row r="332" spans="1:9" ht="15.5">
      <c r="A332" s="5"/>
      <c r="C332" s="2"/>
      <c r="D332" s="11"/>
      <c r="E332" s="2"/>
      <c r="F332" s="2"/>
      <c r="G332" s="2"/>
      <c r="H332" s="2"/>
      <c r="I332" s="2"/>
    </row>
    <row r="333" spans="1:9" ht="15.5">
      <c r="A333" s="5"/>
      <c r="C333" s="2"/>
      <c r="D333" s="11"/>
      <c r="E333" s="2"/>
      <c r="F333" s="2"/>
      <c r="G333" s="2"/>
      <c r="H333" s="2"/>
      <c r="I333" s="5"/>
    </row>
    <row r="334" spans="1:9" ht="15.5">
      <c r="A334" s="5"/>
      <c r="C334" s="2"/>
      <c r="D334" s="2"/>
      <c r="E334" s="2"/>
      <c r="F334" s="2"/>
      <c r="G334" s="5"/>
      <c r="H334" s="2"/>
      <c r="I334" s="5"/>
    </row>
    <row r="335" spans="1:9" ht="15.5">
      <c r="A335" s="5"/>
      <c r="C335" s="2"/>
      <c r="D335" s="4"/>
      <c r="E335" s="2"/>
      <c r="F335" s="2"/>
      <c r="G335" s="2"/>
      <c r="H335" s="2"/>
      <c r="I335" s="516"/>
    </row>
    <row r="336" spans="3:9" ht="15.5">
      <c r="C336" s="5"/>
      <c r="D336" s="5"/>
      <c r="E336" s="4"/>
      <c r="F336" s="4"/>
      <c r="G336" s="6"/>
      <c r="H336" s="4"/>
      <c r="I336" s="7"/>
    </row>
    <row r="337" spans="3:9" ht="15.5">
      <c r="C337" s="17"/>
      <c r="D337" s="4"/>
      <c r="E337" s="4"/>
      <c r="F337" s="4"/>
      <c r="G337" s="5"/>
      <c r="H337" s="4"/>
      <c r="I337" s="8"/>
    </row>
    <row r="338" spans="1:9" ht="15.5">
      <c r="A338" s="5"/>
      <c r="B338" s="2"/>
      <c r="C338" s="153"/>
      <c r="D338" s="8"/>
      <c r="E338" s="9"/>
      <c r="F338" s="8"/>
      <c r="H338" s="9"/>
      <c r="I338" s="5"/>
    </row>
    <row r="339" spans="1:9" ht="15.5">
      <c r="A339" s="5"/>
      <c r="B339" s="18"/>
      <c r="C339" s="4"/>
      <c r="D339" s="4"/>
      <c r="E339" s="4"/>
      <c r="F339" s="4"/>
      <c r="G339" s="4"/>
      <c r="H339" s="4"/>
      <c r="I339" s="4"/>
    </row>
    <row r="340" spans="1:9" ht="15.5">
      <c r="A340" s="5"/>
      <c r="B340" s="2"/>
      <c r="C340" s="4"/>
      <c r="D340" s="4"/>
      <c r="E340" s="4"/>
      <c r="F340" s="4"/>
      <c r="G340" s="4"/>
      <c r="H340" s="4"/>
      <c r="I340" s="4"/>
    </row>
    <row r="341" spans="1:9" ht="15.5">
      <c r="A341" s="5"/>
      <c r="B341" s="2"/>
      <c r="C341" s="4"/>
      <c r="D341" s="4"/>
      <c r="E341" s="4"/>
      <c r="F341" s="4"/>
      <c r="G341" s="4"/>
      <c r="H341" s="4"/>
      <c r="I341" s="4"/>
    </row>
    <row r="342" spans="1:9" ht="15.5">
      <c r="A342" s="5"/>
      <c r="B342" s="310"/>
      <c r="D342" s="4"/>
      <c r="E342" s="4"/>
      <c r="F342" s="4"/>
      <c r="G342" s="568"/>
      <c r="H342" s="4"/>
      <c r="I342" s="4"/>
    </row>
    <row r="343" spans="1:9" ht="15.5">
      <c r="A343" s="5"/>
      <c r="B343" s="2"/>
      <c r="D343" s="4"/>
      <c r="E343" s="4"/>
      <c r="F343" s="4"/>
      <c r="G343" s="568"/>
      <c r="H343" s="4"/>
      <c r="I343" s="4"/>
    </row>
    <row r="344" spans="1:9" ht="15.5">
      <c r="A344" s="5"/>
      <c r="B344" s="2"/>
      <c r="C344" s="4"/>
      <c r="D344" s="4"/>
      <c r="E344" s="4"/>
      <c r="F344" s="4"/>
      <c r="G344" s="4"/>
      <c r="H344" s="4"/>
      <c r="I344" s="4"/>
    </row>
    <row r="345" spans="1:9" ht="15.5">
      <c r="A345" s="5"/>
      <c r="B345" s="2"/>
      <c r="C345" s="4"/>
      <c r="D345" s="4"/>
      <c r="E345" s="4"/>
      <c r="F345" s="4"/>
      <c r="G345" s="4"/>
      <c r="H345" s="4"/>
      <c r="I345" s="4"/>
    </row>
    <row r="346" spans="1:9" ht="15.5">
      <c r="A346" s="5"/>
      <c r="B346" s="2"/>
      <c r="C346" s="2"/>
      <c r="D346" s="4"/>
      <c r="E346" s="4"/>
      <c r="F346" s="4"/>
      <c r="G346" s="4"/>
      <c r="H346" s="2"/>
      <c r="I346" s="4"/>
    </row>
    <row r="347" spans="1:9" ht="15.5">
      <c r="A347" s="5"/>
      <c r="B347" s="2"/>
      <c r="C347" s="2"/>
      <c r="D347" s="4"/>
      <c r="E347" s="4"/>
      <c r="F347" s="4"/>
      <c r="G347" s="4"/>
      <c r="H347" s="2"/>
      <c r="I347" s="4"/>
    </row>
    <row r="348" spans="1:9" ht="15.5">
      <c r="A348" s="5"/>
      <c r="B348" s="2"/>
      <c r="C348" s="2"/>
      <c r="D348" s="2"/>
      <c r="E348" s="2"/>
      <c r="F348" s="2"/>
      <c r="G348" s="2"/>
      <c r="H348" s="2"/>
      <c r="I348" s="2"/>
    </row>
    <row r="349" spans="1:9" ht="15.5">
      <c r="A349" s="5"/>
      <c r="B349" s="2"/>
      <c r="C349" s="2"/>
      <c r="D349" s="2"/>
      <c r="E349" s="2"/>
      <c r="F349" s="2"/>
      <c r="G349" s="2"/>
      <c r="H349" s="2"/>
      <c r="I349" s="2"/>
    </row>
    <row r="350" spans="1:9" ht="15.5">
      <c r="A350" s="5"/>
      <c r="B350" s="2"/>
      <c r="C350" s="2"/>
      <c r="D350" s="2"/>
      <c r="E350" s="2"/>
      <c r="F350" s="2"/>
      <c r="G350" s="2"/>
      <c r="H350" s="2"/>
      <c r="I350" s="2"/>
    </row>
    <row r="351" spans="1:9" ht="15.5">
      <c r="A351" s="5"/>
      <c r="B351" s="607"/>
      <c r="C351" s="2"/>
      <c r="D351" s="2"/>
      <c r="E351" s="2"/>
      <c r="F351" s="2"/>
      <c r="G351" s="2"/>
      <c r="H351" s="2"/>
      <c r="I351" s="2"/>
    </row>
    <row r="352" spans="1:9" ht="15.5">
      <c r="A352" s="5"/>
      <c r="B352" s="607"/>
      <c r="C352" s="2"/>
      <c r="D352" s="2"/>
      <c r="E352" s="2"/>
      <c r="F352" s="2"/>
      <c r="G352" s="2"/>
      <c r="H352" s="2"/>
      <c r="I352" s="2"/>
    </row>
    <row r="353" spans="1:9" ht="15.5">
      <c r="A353" s="5"/>
      <c r="B353" s="607"/>
      <c r="C353" s="2"/>
      <c r="D353" s="2"/>
      <c r="E353" s="2"/>
      <c r="F353" s="2"/>
      <c r="G353" s="2"/>
      <c r="H353" s="2"/>
      <c r="I353" s="2"/>
    </row>
    <row r="354" spans="1:9" ht="15.5">
      <c r="A354" s="5"/>
      <c r="B354" s="607"/>
      <c r="C354" s="2"/>
      <c r="D354" s="2"/>
      <c r="E354" s="2"/>
      <c r="F354" s="2"/>
      <c r="G354" s="2"/>
      <c r="H354" s="2"/>
      <c r="I354" s="2"/>
    </row>
    <row r="355" spans="1:9" ht="15.5">
      <c r="A355" s="5"/>
      <c r="B355" s="607"/>
      <c r="C355" s="2"/>
      <c r="D355" s="2"/>
      <c r="E355" s="2"/>
      <c r="F355" s="2"/>
      <c r="G355" s="2"/>
      <c r="H355" s="2"/>
      <c r="I355" s="2"/>
    </row>
    <row r="356" spans="1:9" ht="15.5">
      <c r="A356" s="5"/>
      <c r="B356" s="607"/>
      <c r="C356" s="2"/>
      <c r="D356" s="2"/>
      <c r="E356" s="2"/>
      <c r="F356" s="2"/>
      <c r="G356" s="2"/>
      <c r="H356" s="2"/>
      <c r="I356" s="2"/>
    </row>
    <row r="357" spans="1:9" ht="15.5">
      <c r="A357" s="5"/>
      <c r="B357" s="607"/>
      <c r="C357" s="2"/>
      <c r="D357" s="2"/>
      <c r="E357" s="2"/>
      <c r="F357" s="2"/>
      <c r="G357" s="2"/>
      <c r="H357" s="2"/>
      <c r="I357" s="2"/>
    </row>
    <row r="358" spans="1:9" ht="15.5">
      <c r="A358" s="5"/>
      <c r="B358" s="2"/>
      <c r="C358" s="2"/>
      <c r="D358" s="2"/>
      <c r="E358" s="2"/>
      <c r="F358" s="2"/>
      <c r="G358" s="2"/>
      <c r="H358" s="2"/>
      <c r="I358" s="2"/>
    </row>
    <row r="359" spans="1:9" ht="15.5">
      <c r="A359" s="5"/>
      <c r="B359" s="2"/>
      <c r="C359" s="2"/>
      <c r="D359" s="2"/>
      <c r="E359" s="2"/>
      <c r="F359" s="2"/>
      <c r="G359" s="2"/>
      <c r="H359" s="2"/>
      <c r="I359" s="2"/>
    </row>
    <row r="360" spans="1:2" ht="15.5">
      <c r="A360" s="32"/>
      <c r="B360" s="302"/>
    </row>
    <row r="361" spans="2:2" ht="15.5">
      <c r="B361" s="302"/>
    </row>
    <row r="362" spans="2:2" ht="15.5">
      <c r="B362" s="302"/>
    </row>
    <row r="363" spans="2:2" ht="15.5">
      <c r="B363" s="302"/>
    </row>
    <row r="364" spans="2:2" ht="15.5">
      <c r="B364" s="302"/>
    </row>
    <row r="365" spans="2:2" ht="15.5">
      <c r="B365" s="302"/>
    </row>
    <row r="366" spans="2:2" ht="15.5">
      <c r="B366" s="302"/>
    </row>
    <row r="367" spans="2:2" ht="15.5">
      <c r="B367" s="302"/>
    </row>
    <row r="369" spans="1:12" ht="15.5">
      <c r="A369" s="2"/>
      <c r="B369" s="4"/>
      <c r="C369" s="4"/>
      <c r="D369" s="4"/>
      <c r="E369" s="4"/>
      <c r="F369" s="10"/>
      <c r="G369" s="4"/>
      <c r="H369" s="4"/>
      <c r="I369" s="4"/>
      <c r="K369" s="559"/>
      <c r="L369" s="542"/>
    </row>
    <row r="370" spans="1:12" ht="15.5">
      <c r="A370" s="2"/>
      <c r="B370" s="4"/>
      <c r="C370" s="4"/>
      <c r="D370" s="4"/>
      <c r="E370" s="4"/>
      <c r="F370" s="10"/>
      <c r="G370" s="4"/>
      <c r="H370" s="4"/>
      <c r="I370" s="4"/>
      <c r="K370" s="559"/>
      <c r="L370" s="542"/>
    </row>
    <row r="371" spans="1:12" ht="15.5">
      <c r="A371" s="2"/>
      <c r="B371" s="4"/>
      <c r="C371" s="4"/>
      <c r="D371" s="4"/>
      <c r="E371" s="4"/>
      <c r="F371" s="10"/>
      <c r="G371" s="4"/>
      <c r="H371" s="4"/>
      <c r="I371" s="4"/>
      <c r="J371" s="10"/>
      <c r="K371" s="10"/>
      <c r="L371" s="542"/>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scale="44" r:id="rId2"/>
      <headerFooter alignWithMargins="0"/>
    </customSheetView>
  </customSheetViews>
  <mergeCells count="46">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s>
  <printOptions horizontalCentered="1"/>
  <pageMargins left="0.7" right="0.7" top="0.75" bottom="0.75" header="0.3" footer="0.3"/>
  <pageSetup fitToHeight="0" fitToWidth="0" orientation="portrait" scale="44"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Q29"/>
  <sheetViews>
    <sheetView view="pageBreakPreview" zoomScale="80" zoomScaleNormal="65" zoomScaleSheetLayoutView="80" workbookViewId="0" topLeftCell="A1">
      <selection pane="topLeft" activeCell="E23" sqref="E23"/>
    </sheetView>
  </sheetViews>
  <sheetFormatPr defaultColWidth="8.91714285714286" defaultRowHeight="15.5"/>
  <cols>
    <col min="1" max="1" width="6.21428571428571" style="1" customWidth="1"/>
    <col min="2" max="2" width="46.0714285714286" style="1" customWidth="1"/>
    <col min="3" max="3" width="3.35714285714286" style="1" bestFit="1" customWidth="1"/>
    <col min="4" max="4" width="25.2142857142857" style="1" bestFit="1" customWidth="1"/>
    <col min="5" max="6" width="18.8571428571429" style="1" customWidth="1"/>
    <col min="7" max="7" width="22.8571428571429" style="1" customWidth="1"/>
    <col min="8" max="16384" width="8.92857142857143" style="1"/>
  </cols>
  <sheetData>
    <row r="1" spans="1:7" ht="15.5">
      <c r="A1" s="320"/>
      <c r="B1" s="320"/>
      <c r="G1" s="3" t="s">
        <v>629</v>
      </c>
    </row>
    <row r="2" spans="1:7" ht="15.5">
      <c r="A2" s="320"/>
      <c r="B2" s="320"/>
      <c r="G2" s="117" t="s">
        <v>275</v>
      </c>
    </row>
    <row r="3" spans="1:7" ht="15.5">
      <c r="A3" s="320"/>
      <c r="B3" s="320"/>
      <c r="G3" s="3" t="str">
        <f>'Attachment H-21-A ATSI '!K4</f>
        <v>For the 12 months ended 12/31/2022</v>
      </c>
    </row>
    <row r="5" spans="2:6" ht="15.5">
      <c r="B5" s="673" t="s">
        <v>622</v>
      </c>
      <c r="C5" s="673"/>
      <c r="D5" s="673"/>
      <c r="E5" s="673"/>
      <c r="F5" s="673"/>
    </row>
    <row r="6" spans="2:6" ht="15.5">
      <c r="B6" s="658" t="s">
        <v>312</v>
      </c>
      <c r="C6" s="658" t="s">
        <v>622</v>
      </c>
      <c r="D6" s="658"/>
      <c r="E6" s="658"/>
      <c r="F6" s="658"/>
    </row>
    <row r="7" spans="2:6" ht="15.5">
      <c r="B7" s="32"/>
      <c r="C7" s="32"/>
      <c r="D7" s="32"/>
      <c r="E7" s="32"/>
      <c r="F7" s="32"/>
    </row>
    <row r="8" spans="2:7" ht="15.5">
      <c r="B8" s="32" t="s">
        <v>623</v>
      </c>
      <c r="D8" s="32" t="s">
        <v>624</v>
      </c>
      <c r="E8" s="32" t="s">
        <v>625</v>
      </c>
      <c r="F8" s="32" t="s">
        <v>626</v>
      </c>
      <c r="G8" s="32" t="s">
        <v>643</v>
      </c>
    </row>
    <row r="9" spans="1:7" ht="15.5">
      <c r="A9" s="513"/>
      <c r="D9" s="255" t="s">
        <v>602</v>
      </c>
      <c r="E9" s="255" t="s">
        <v>649</v>
      </c>
      <c r="F9" s="255" t="s">
        <v>696</v>
      </c>
      <c r="G9" s="255" t="s">
        <v>695</v>
      </c>
    </row>
    <row r="10" spans="4:7" s="250" customFormat="1" ht="15.5">
      <c r="D10" s="256"/>
      <c r="E10" s="253" t="s">
        <v>650</v>
      </c>
      <c r="F10" s="256" t="s">
        <v>642</v>
      </c>
      <c r="G10" s="256" t="s">
        <v>698</v>
      </c>
    </row>
    <row r="11" spans="4:7" s="250" customFormat="1" ht="15.5">
      <c r="D11" s="256"/>
      <c r="E11" s="251">
        <f>'Appendix C-RRCA'!C23</f>
        <v>2022</v>
      </c>
      <c r="F11" s="256" t="s">
        <v>697</v>
      </c>
      <c r="G11" s="256" t="s">
        <v>644</v>
      </c>
    </row>
    <row r="12" spans="4:7" s="250" customFormat="1" ht="15.5">
      <c r="D12" s="256"/>
      <c r="E12" s="270"/>
      <c r="F12" s="256"/>
      <c r="G12" s="250" t="s">
        <v>648</v>
      </c>
    </row>
    <row r="13" spans="5:7" s="250" customFormat="1" ht="15.5">
      <c r="E13" s="253" t="s">
        <v>547</v>
      </c>
      <c r="F13" s="250" t="s">
        <v>550</v>
      </c>
      <c r="G13" s="250" t="s">
        <v>611</v>
      </c>
    </row>
    <row r="14" spans="1:17" ht="15.65" customHeight="1">
      <c r="A14" s="431">
        <v>1</v>
      </c>
      <c r="B14" s="1" t="s">
        <v>645</v>
      </c>
      <c r="C14" s="118" t="s">
        <v>363</v>
      </c>
      <c r="D14" s="1" t="s">
        <v>817</v>
      </c>
      <c r="E14" s="300">
        <f>SUM(E15:E17)</f>
        <v>635831.16744285519</v>
      </c>
      <c r="F14" s="252">
        <f>'Attachment H-21-A ATSI '!$D$170</f>
        <v>1.2868866121873141</v>
      </c>
      <c r="G14" s="282">
        <f>E14*F14</f>
        <v>818242.61699364078</v>
      </c>
      <c r="H14" s="676"/>
      <c r="I14" s="676"/>
      <c r="J14" s="676"/>
      <c r="K14" s="676"/>
      <c r="L14" s="676"/>
      <c r="M14" s="676"/>
      <c r="N14" s="676"/>
      <c r="O14" s="676"/>
      <c r="P14" s="676"/>
      <c r="Q14" s="676"/>
    </row>
    <row r="15" spans="1:17" ht="15.65" customHeight="1">
      <c r="A15" s="431" t="s">
        <v>9</v>
      </c>
      <c r="B15" s="1" t="s">
        <v>737</v>
      </c>
      <c r="C15" s="118" t="s">
        <v>377</v>
      </c>
      <c r="D15" s="1" t="s">
        <v>604</v>
      </c>
      <c r="E15" s="321">
        <v>632760.87744285527</v>
      </c>
      <c r="F15" s="617" t="s">
        <v>687</v>
      </c>
      <c r="G15" s="432" t="s">
        <v>687</v>
      </c>
      <c r="H15" s="676"/>
      <c r="I15" s="676"/>
      <c r="J15" s="676"/>
      <c r="K15" s="676"/>
      <c r="L15" s="676"/>
      <c r="M15" s="676"/>
      <c r="N15" s="676"/>
      <c r="O15" s="676"/>
      <c r="P15" s="676"/>
      <c r="Q15" s="676"/>
    </row>
    <row r="16" spans="1:17" ht="15.65" customHeight="1">
      <c r="A16" s="431" t="s">
        <v>267</v>
      </c>
      <c r="B16" s="1" t="s">
        <v>739</v>
      </c>
      <c r="C16" s="118" t="s">
        <v>377</v>
      </c>
      <c r="D16" s="1" t="s">
        <v>604</v>
      </c>
      <c r="E16" s="321">
        <v>259.58999999999997</v>
      </c>
      <c r="F16" s="617" t="s">
        <v>687</v>
      </c>
      <c r="G16" s="432" t="s">
        <v>687</v>
      </c>
      <c r="H16" s="676"/>
      <c r="I16" s="676"/>
      <c r="J16" s="676"/>
      <c r="K16" s="676"/>
      <c r="L16" s="676"/>
      <c r="M16" s="676"/>
      <c r="N16" s="676"/>
      <c r="O16" s="676"/>
      <c r="P16" s="676"/>
      <c r="Q16" s="676"/>
    </row>
    <row r="17" spans="1:17" ht="15.65" customHeight="1">
      <c r="A17" s="431" t="s">
        <v>268</v>
      </c>
      <c r="B17" s="1" t="s">
        <v>740</v>
      </c>
      <c r="C17" s="118" t="s">
        <v>377</v>
      </c>
      <c r="D17" s="1" t="s">
        <v>604</v>
      </c>
      <c r="E17" s="321">
        <v>2810.6999999999998</v>
      </c>
      <c r="F17" s="617" t="s">
        <v>687</v>
      </c>
      <c r="G17" s="432" t="s">
        <v>687</v>
      </c>
      <c r="H17" s="676"/>
      <c r="I17" s="676"/>
      <c r="J17" s="676"/>
      <c r="K17" s="676"/>
      <c r="L17" s="676"/>
      <c r="M17" s="676"/>
      <c r="N17" s="676"/>
      <c r="O17" s="676"/>
      <c r="P17" s="676"/>
      <c r="Q17" s="676"/>
    </row>
    <row r="18" spans="1:17" ht="15.5">
      <c r="A18" s="431">
        <v>2</v>
      </c>
      <c r="B18" s="1" t="s">
        <v>627</v>
      </c>
      <c r="C18" s="118" t="s">
        <v>506</v>
      </c>
      <c r="D18" s="284" t="s">
        <v>1056</v>
      </c>
      <c r="E18" s="321">
        <f>'Appendix G(1) - Excess_Def ADIT'!J102</f>
        <v>-4746788.9477929743</v>
      </c>
      <c r="F18" s="617" t="s">
        <v>687</v>
      </c>
      <c r="G18" s="322" t="s">
        <v>687</v>
      </c>
      <c r="H18" s="676"/>
      <c r="I18" s="676"/>
      <c r="J18" s="676"/>
      <c r="K18" s="676"/>
      <c r="L18" s="676"/>
      <c r="M18" s="676"/>
      <c r="N18" s="676"/>
      <c r="O18" s="676"/>
      <c r="P18" s="676"/>
      <c r="Q18" s="676"/>
    </row>
    <row r="19" spans="1:17" ht="15.5">
      <c r="A19" s="431">
        <v>3</v>
      </c>
      <c r="B19" s="1" t="s">
        <v>628</v>
      </c>
      <c r="C19" s="118" t="s">
        <v>506</v>
      </c>
      <c r="D19" s="284" t="s">
        <v>1056</v>
      </c>
      <c r="E19" s="321">
        <v>0</v>
      </c>
      <c r="F19" s="281" t="s">
        <v>687</v>
      </c>
      <c r="G19" s="322" t="s">
        <v>687</v>
      </c>
      <c r="H19" s="676"/>
      <c r="I19" s="676"/>
      <c r="J19" s="676"/>
      <c r="K19" s="676"/>
      <c r="L19" s="676"/>
      <c r="M19" s="676"/>
      <c r="N19" s="676"/>
      <c r="O19" s="676"/>
      <c r="P19" s="676"/>
      <c r="Q19" s="676"/>
    </row>
    <row r="23" spans="1:1" ht="15.5">
      <c r="A23" s="1" t="s">
        <v>364</v>
      </c>
    </row>
    <row r="24" spans="1:7" ht="34.25" customHeight="1">
      <c r="A24" s="60" t="s">
        <v>363</v>
      </c>
      <c r="B24" s="678" t="s">
        <v>738</v>
      </c>
      <c r="C24" s="678"/>
      <c r="D24" s="678"/>
      <c r="E24" s="678"/>
      <c r="F24" s="678"/>
      <c r="G24" s="678"/>
    </row>
    <row r="25" spans="1:7" ht="66" customHeight="1">
      <c r="A25" s="60" t="s">
        <v>377</v>
      </c>
      <c r="B25" s="678" t="s">
        <v>821</v>
      </c>
      <c r="C25" s="678"/>
      <c r="D25" s="678"/>
      <c r="E25" s="678"/>
      <c r="F25" s="678"/>
      <c r="G25" s="678"/>
    </row>
    <row r="26" spans="1:7" ht="65.4" customHeight="1">
      <c r="A26" s="60" t="s">
        <v>506</v>
      </c>
      <c r="B26" s="678" t="s">
        <v>898</v>
      </c>
      <c r="C26" s="678"/>
      <c r="D26" s="678"/>
      <c r="E26" s="678"/>
      <c r="F26" s="678"/>
      <c r="G26" s="678"/>
    </row>
    <row r="27" spans="1:7" ht="15.5">
      <c r="A27" s="60" t="s">
        <v>547</v>
      </c>
      <c r="B27" s="678" t="s">
        <v>689</v>
      </c>
      <c r="C27" s="678"/>
      <c r="D27" s="678"/>
      <c r="E27" s="678"/>
      <c r="F27" s="678"/>
      <c r="G27" s="678"/>
    </row>
    <row r="28" spans="1:7" ht="15.5">
      <c r="A28" s="60" t="s">
        <v>550</v>
      </c>
      <c r="B28" s="364" t="s">
        <v>845</v>
      </c>
      <c r="C28" s="474"/>
      <c r="D28" s="474"/>
      <c r="E28" s="474"/>
      <c r="F28" s="474"/>
      <c r="G28" s="474"/>
    </row>
    <row r="29" spans="1:7" ht="21.65" customHeight="1">
      <c r="A29" s="250" t="s">
        <v>611</v>
      </c>
      <c r="B29" s="678" t="s">
        <v>690</v>
      </c>
      <c r="C29" s="678"/>
      <c r="D29" s="678"/>
      <c r="E29" s="678"/>
      <c r="F29" s="678"/>
      <c r="G29" s="678"/>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sheetPr codeName="Sheet21"/>
  <dimension ref="A1:O125"/>
  <sheetViews>
    <sheetView zoomScale="70" zoomScaleNormal="70" zoomScaleSheetLayoutView="75" workbookViewId="0" topLeftCell="A1">
      <selection pane="topLeft" activeCell="F99" sqref="F99"/>
    </sheetView>
  </sheetViews>
  <sheetFormatPr defaultColWidth="7.22714285714286" defaultRowHeight="14.5"/>
  <cols>
    <col min="1" max="1" width="4.42857142857143" style="499" customWidth="1"/>
    <col min="2" max="2" width="14.0714285714286" style="499" customWidth="1"/>
    <col min="3" max="3" width="42.8571428571429" style="480" customWidth="1"/>
    <col min="4" max="4" width="2.14285714285714" style="480" customWidth="1"/>
    <col min="5" max="5" width="21" style="480" bestFit="1" customWidth="1"/>
    <col min="6" max="6" width="15.9285714285714" style="480" customWidth="1"/>
    <col min="7" max="7" width="18.0714285714286" style="480" customWidth="1"/>
    <col min="8" max="8" width="13.1428571428571" style="480" customWidth="1"/>
    <col min="9" max="9" width="12.8571428571429" style="480" customWidth="1"/>
    <col min="10" max="11" width="15.9285714285714" style="480" customWidth="1"/>
    <col min="12" max="12" width="18.1428571428571" style="480" customWidth="1"/>
    <col min="13" max="13" width="15.2142857142857" style="480" customWidth="1"/>
    <col min="14" max="14" width="12.8571428571429" style="480" customWidth="1"/>
    <col min="15" max="16384" width="7.21428571428571" style="480"/>
  </cols>
  <sheetData>
    <row r="1" spans="1:14" ht="14.5">
      <c r="A1" s="469"/>
      <c r="B1" s="438"/>
      <c r="C1" s="439"/>
      <c r="D1" s="439"/>
      <c r="E1" s="439"/>
      <c r="F1" s="439"/>
      <c r="N1" s="440" t="s">
        <v>692</v>
      </c>
    </row>
    <row r="2" spans="1:14" ht="14.5">
      <c r="A2" s="469"/>
      <c r="B2" s="438"/>
      <c r="C2" s="439"/>
      <c r="D2" s="439"/>
      <c r="E2" s="439"/>
      <c r="F2" s="439"/>
      <c r="N2" s="462" t="s">
        <v>858</v>
      </c>
    </row>
    <row r="3" spans="1:14" ht="14.5">
      <c r="A3" s="469"/>
      <c r="B3" s="438"/>
      <c r="C3" s="439"/>
      <c r="D3" s="439"/>
      <c r="E3" s="439"/>
      <c r="F3" s="439"/>
      <c r="G3" s="441"/>
      <c r="I3" s="453"/>
      <c r="J3" s="442"/>
      <c r="K3" s="443"/>
      <c r="N3" s="440" t="str">
        <f>'Attachment H-21-A ATSI '!K4</f>
        <v>For the 12 months ended 12/31/2022</v>
      </c>
    </row>
    <row r="4" spans="2:12" ht="14.5">
      <c r="B4" s="503"/>
      <c r="C4" s="441"/>
      <c r="D4" s="441"/>
      <c r="E4" s="441"/>
      <c r="F4" s="441"/>
      <c r="G4" s="441"/>
      <c r="I4" s="453"/>
      <c r="J4" s="442"/>
      <c r="K4" s="443"/>
      <c r="L4" s="440"/>
    </row>
    <row r="5" spans="3:12" ht="14.5">
      <c r="C5" s="681" t="s">
        <v>682</v>
      </c>
      <c r="D5" s="681"/>
      <c r="E5" s="681"/>
      <c r="F5" s="681"/>
      <c r="G5" s="681"/>
      <c r="H5" s="681"/>
      <c r="I5" s="681"/>
      <c r="J5" s="681"/>
      <c r="K5" s="681"/>
      <c r="L5" s="406"/>
    </row>
    <row r="6" spans="3:12" ht="14.5">
      <c r="C6" s="682" t="s">
        <v>312</v>
      </c>
      <c r="D6" s="682"/>
      <c r="E6" s="682"/>
      <c r="F6" s="682"/>
      <c r="G6" s="682"/>
      <c r="H6" s="682"/>
      <c r="I6" s="682"/>
      <c r="J6" s="682"/>
      <c r="K6" s="682"/>
      <c r="L6" s="405"/>
    </row>
    <row r="7" spans="3:5" ht="14.5">
      <c r="C7" s="504"/>
      <c r="D7" s="504"/>
      <c r="E7" s="504"/>
    </row>
    <row r="8" spans="2:14" ht="14.5">
      <c r="B8" s="483" t="s">
        <v>652</v>
      </c>
      <c r="C8" s="483" t="s">
        <v>653</v>
      </c>
      <c r="D8" s="504"/>
      <c r="E8" s="483" t="s">
        <v>654</v>
      </c>
      <c r="F8" s="483" t="s">
        <v>655</v>
      </c>
      <c r="G8" s="483" t="s">
        <v>656</v>
      </c>
      <c r="H8" s="483" t="s">
        <v>657</v>
      </c>
      <c r="I8" s="483" t="s">
        <v>658</v>
      </c>
      <c r="J8" s="483" t="s">
        <v>659</v>
      </c>
      <c r="K8" s="483" t="s">
        <v>843</v>
      </c>
      <c r="L8" s="483" t="s">
        <v>844</v>
      </c>
      <c r="M8" s="483" t="s">
        <v>848</v>
      </c>
      <c r="N8" s="483" t="s">
        <v>853</v>
      </c>
    </row>
    <row r="9" spans="1:14" s="0" customFormat="1" ht="87">
      <c r="A9" s="470" t="s">
        <v>255</v>
      </c>
      <c r="B9" s="501" t="s">
        <v>869</v>
      </c>
      <c r="C9" s="444" t="s">
        <v>660</v>
      </c>
      <c r="D9" s="480"/>
      <c r="E9" s="445" t="s">
        <v>935</v>
      </c>
      <c r="F9" s="444" t="s">
        <v>889</v>
      </c>
      <c r="G9" s="444" t="s">
        <v>890</v>
      </c>
      <c r="H9" s="444" t="s">
        <v>891</v>
      </c>
      <c r="I9" s="444" t="s">
        <v>661</v>
      </c>
      <c r="J9" s="444" t="s">
        <v>892</v>
      </c>
      <c r="K9" s="444" t="s">
        <v>893</v>
      </c>
      <c r="L9" s="444" t="s">
        <v>826</v>
      </c>
      <c r="M9" s="444" t="s">
        <v>846</v>
      </c>
      <c r="N9" s="444" t="s">
        <v>849</v>
      </c>
    </row>
    <row r="10" spans="1:12" ht="14.5">
      <c r="A10" s="471"/>
      <c r="B10" s="446"/>
      <c r="C10" s="447" t="s">
        <v>894</v>
      </c>
      <c r="E10" s="448"/>
      <c r="F10" s="448"/>
      <c r="G10" s="448"/>
      <c r="H10" s="448"/>
      <c r="I10" s="448"/>
      <c r="J10" s="448"/>
      <c r="K10" s="448"/>
      <c r="L10" s="448"/>
    </row>
    <row r="11" spans="1:13" ht="14.5">
      <c r="A11" s="468">
        <v>1</v>
      </c>
      <c r="B11" s="449"/>
      <c r="C11" s="447" t="s">
        <v>662</v>
      </c>
      <c r="E11" s="448"/>
      <c r="F11" s="448"/>
      <c r="G11" s="448"/>
      <c r="H11" s="461"/>
      <c r="I11" s="448"/>
      <c r="J11" s="448"/>
      <c r="L11" s="448"/>
      <c r="M11" s="495"/>
    </row>
    <row r="12" spans="1:14" ht="14.4" customHeight="1">
      <c r="A12" s="496" t="s">
        <v>9</v>
      </c>
      <c r="B12" s="496">
        <v>2017</v>
      </c>
      <c r="C12" s="505" t="s">
        <v>936</v>
      </c>
      <c r="E12" s="263"/>
      <c r="F12" s="263">
        <v>29609883.290000003</v>
      </c>
      <c r="G12" s="263"/>
      <c r="H12" s="263">
        <v>20</v>
      </c>
      <c r="I12" s="263">
        <v>15</v>
      </c>
      <c r="J12" s="263">
        <v>1850617.7</v>
      </c>
      <c r="K12" s="506">
        <f>(F12+G12)-J12</f>
        <v>27759265.590000004</v>
      </c>
      <c r="L12" s="507" t="s">
        <v>830</v>
      </c>
      <c r="M12" s="507" t="s">
        <v>955</v>
      </c>
      <c r="N12" s="507">
        <v>410.10000000000002</v>
      </c>
    </row>
    <row r="13" spans="1:14" ht="14.4" customHeight="1">
      <c r="A13" s="496" t="s">
        <v>267</v>
      </c>
      <c r="B13" s="496">
        <v>2017</v>
      </c>
      <c r="C13" s="505" t="s">
        <v>937</v>
      </c>
      <c r="E13" s="263"/>
      <c r="F13" s="263">
        <v>37184.540000000001</v>
      </c>
      <c r="G13" s="263"/>
      <c r="H13" s="263">
        <v>20</v>
      </c>
      <c r="I13" s="263">
        <v>15</v>
      </c>
      <c r="J13" s="263">
        <v>2324.04</v>
      </c>
      <c r="K13" s="506">
        <f t="shared" si="0" ref="K13:K19">(F13+G13)-J13</f>
        <v>34860.5</v>
      </c>
      <c r="L13" s="507" t="s">
        <v>829</v>
      </c>
      <c r="M13" s="507" t="s">
        <v>955</v>
      </c>
      <c r="N13" s="507">
        <v>410.10000000000002</v>
      </c>
    </row>
    <row r="14" spans="1:14" ht="14.4" customHeight="1">
      <c r="A14" s="496" t="s">
        <v>268</v>
      </c>
      <c r="B14" s="496">
        <v>2017</v>
      </c>
      <c r="C14" s="505" t="s">
        <v>938</v>
      </c>
      <c r="E14" s="263"/>
      <c r="F14" s="263">
        <v>370656.55058823526</v>
      </c>
      <c r="G14" s="263"/>
      <c r="H14" s="263">
        <v>17</v>
      </c>
      <c r="I14" s="263">
        <v>12</v>
      </c>
      <c r="J14" s="263">
        <v>28512.042352941175</v>
      </c>
      <c r="K14" s="506">
        <f t="shared" si="0"/>
        <v>342144.50823529408</v>
      </c>
      <c r="L14" s="507" t="s">
        <v>829</v>
      </c>
      <c r="M14" s="507" t="s">
        <v>955</v>
      </c>
      <c r="N14" s="507">
        <v>410.10000000000002</v>
      </c>
    </row>
    <row r="15" spans="1:14" ht="14.4" customHeight="1">
      <c r="A15" s="496" t="s">
        <v>705</v>
      </c>
      <c r="B15" s="496">
        <v>2017</v>
      </c>
      <c r="C15" s="505" t="s">
        <v>939</v>
      </c>
      <c r="E15" s="263"/>
      <c r="F15" s="263">
        <v>-428691.22599999985</v>
      </c>
      <c r="G15" s="263"/>
      <c r="H15" s="263">
        <v>5</v>
      </c>
      <c r="I15" s="263">
        <v>0</v>
      </c>
      <c r="J15" s="263">
        <v>-428691.22599999997</v>
      </c>
      <c r="K15" s="506">
        <f t="shared" si="0"/>
        <v>0</v>
      </c>
      <c r="L15" s="507" t="s">
        <v>829</v>
      </c>
      <c r="M15" s="507" t="s">
        <v>956</v>
      </c>
      <c r="N15" s="507">
        <v>410.10000000000002</v>
      </c>
    </row>
    <row r="16" spans="1:14" ht="14.4" customHeight="1">
      <c r="A16" s="496" t="s">
        <v>706</v>
      </c>
      <c r="B16" s="496">
        <v>2017</v>
      </c>
      <c r="C16" s="505" t="s">
        <v>940</v>
      </c>
      <c r="E16" s="263"/>
      <c r="F16" s="263">
        <v>-147606.79200000002</v>
      </c>
      <c r="G16" s="263"/>
      <c r="H16" s="263">
        <v>20</v>
      </c>
      <c r="I16" s="263">
        <v>15</v>
      </c>
      <c r="J16" s="263">
        <v>-9225.4244999999992</v>
      </c>
      <c r="K16" s="506">
        <f t="shared" si="0"/>
        <v>-138381.36750000002</v>
      </c>
      <c r="L16" s="507" t="s">
        <v>829</v>
      </c>
      <c r="M16" s="507" t="s">
        <v>956</v>
      </c>
      <c r="N16" s="507">
        <v>410.10000000000002</v>
      </c>
    </row>
    <row r="17" spans="1:14" ht="14.4" customHeight="1">
      <c r="A17" s="496" t="s">
        <v>707</v>
      </c>
      <c r="B17" s="496">
        <v>2017</v>
      </c>
      <c r="C17" s="505" t="s">
        <v>941</v>
      </c>
      <c r="E17" s="263"/>
      <c r="F17" s="263">
        <v>-803.00800000000004</v>
      </c>
      <c r="G17" s="263"/>
      <c r="H17" s="263">
        <v>20</v>
      </c>
      <c r="I17" s="263">
        <v>15</v>
      </c>
      <c r="J17" s="263">
        <v>-50.188000000000002</v>
      </c>
      <c r="K17" s="506">
        <f t="shared" si="0"/>
        <v>-752.82000000000005</v>
      </c>
      <c r="L17" s="507" t="s">
        <v>829</v>
      </c>
      <c r="M17" s="507" t="s">
        <v>956</v>
      </c>
      <c r="N17" s="507">
        <v>410.10000000000002</v>
      </c>
    </row>
    <row r="18" spans="1:14" ht="14.4" customHeight="1">
      <c r="A18" s="496" t="s">
        <v>708</v>
      </c>
      <c r="B18" s="496">
        <v>2017</v>
      </c>
      <c r="C18" s="505" t="s">
        <v>942</v>
      </c>
      <c r="E18" s="263"/>
      <c r="F18" s="263">
        <v>3544761.499393939</v>
      </c>
      <c r="G18" s="263"/>
      <c r="H18" s="263">
        <v>33</v>
      </c>
      <c r="I18" s="263">
        <v>28</v>
      </c>
      <c r="J18" s="263">
        <v>122233.15515151515</v>
      </c>
      <c r="K18" s="506">
        <f t="shared" si="0"/>
        <v>3422528.3442424238</v>
      </c>
      <c r="L18" s="507" t="s">
        <v>829</v>
      </c>
      <c r="M18" s="507" t="s">
        <v>955</v>
      </c>
      <c r="N18" s="507">
        <v>410.10000000000002</v>
      </c>
    </row>
    <row r="19" spans="1:14" ht="14.4" customHeight="1">
      <c r="A19" s="496" t="s">
        <v>709</v>
      </c>
      <c r="B19" s="496">
        <v>2017</v>
      </c>
      <c r="C19" s="505" t="s">
        <v>943</v>
      </c>
      <c r="E19" s="263"/>
      <c r="F19" s="263">
        <v>-15266.827333333331</v>
      </c>
      <c r="G19" s="263"/>
      <c r="H19" s="263">
        <v>30</v>
      </c>
      <c r="I19" s="263">
        <v>25</v>
      </c>
      <c r="J19" s="263">
        <v>-587.18566666666663</v>
      </c>
      <c r="K19" s="506">
        <f t="shared" si="0"/>
        <v>-14679.641666666665</v>
      </c>
      <c r="L19" s="507" t="s">
        <v>829</v>
      </c>
      <c r="M19" s="507" t="s">
        <v>956</v>
      </c>
      <c r="N19" s="507">
        <v>410.10000000000002</v>
      </c>
    </row>
    <row r="20" spans="5:14" ht="14.4" customHeight="1">
      <c r="E20" s="323"/>
      <c r="F20" s="323"/>
      <c r="G20" s="323"/>
      <c r="H20" s="323"/>
      <c r="I20" s="323"/>
      <c r="J20" s="323"/>
      <c r="K20" s="506"/>
      <c r="L20" s="508"/>
      <c r="M20" s="508"/>
      <c r="N20" s="508"/>
    </row>
    <row r="21" spans="1:14" ht="14.5">
      <c r="A21" s="468">
        <v>2</v>
      </c>
      <c r="B21" s="449"/>
      <c r="C21" s="447" t="s">
        <v>663</v>
      </c>
      <c r="E21" s="448"/>
      <c r="F21" s="448"/>
      <c r="G21" s="448"/>
      <c r="H21" s="448"/>
      <c r="I21" s="448"/>
      <c r="J21" s="448"/>
      <c r="L21" s="448"/>
      <c r="M21" s="448"/>
      <c r="N21" s="448"/>
    </row>
    <row r="22" spans="1:14" ht="14.4" customHeight="1">
      <c r="A22" s="496" t="s">
        <v>328</v>
      </c>
      <c r="B22" s="496"/>
      <c r="C22" s="505"/>
      <c r="E22" s="263"/>
      <c r="F22" s="263"/>
      <c r="G22" s="263"/>
      <c r="H22" s="263"/>
      <c r="I22" s="263"/>
      <c r="J22" s="263"/>
      <c r="K22" s="506">
        <f>(F22+G22)-J22</f>
        <v>0</v>
      </c>
      <c r="L22" s="507"/>
      <c r="M22" s="507"/>
      <c r="N22" s="507"/>
    </row>
    <row r="23" spans="1:2" s="405" customFormat="1" ht="14.4" customHeight="1">
      <c r="A23" s="435"/>
      <c r="B23" s="435"/>
    </row>
    <row r="24" spans="1:14" ht="14.5">
      <c r="A24" s="468">
        <v>3</v>
      </c>
      <c r="B24" s="449"/>
      <c r="C24" s="447" t="s">
        <v>664</v>
      </c>
      <c r="E24" s="448"/>
      <c r="F24" s="448"/>
      <c r="G24" s="448"/>
      <c r="H24" s="448"/>
      <c r="I24" s="448"/>
      <c r="J24" s="448"/>
      <c r="L24" s="448"/>
      <c r="M24" s="448"/>
      <c r="N24" s="448"/>
    </row>
    <row r="25" spans="1:14" ht="14.4" customHeight="1">
      <c r="A25" s="496" t="s">
        <v>665</v>
      </c>
      <c r="B25" s="496">
        <v>2017</v>
      </c>
      <c r="C25" s="505" t="s">
        <v>944</v>
      </c>
      <c r="E25" s="263"/>
      <c r="F25" s="263">
        <v>-2802548.9880000013</v>
      </c>
      <c r="G25" s="263"/>
      <c r="H25" s="263">
        <v>10</v>
      </c>
      <c r="I25" s="263">
        <v>5</v>
      </c>
      <c r="J25" s="263">
        <v>-467091.49800000002</v>
      </c>
      <c r="K25" s="506">
        <f t="shared" si="1" ref="K25:K32">(F25+G25)-J25</f>
        <v>-2335457.4900000012</v>
      </c>
      <c r="L25" s="507" t="s">
        <v>829</v>
      </c>
      <c r="M25" s="507" t="s">
        <v>956</v>
      </c>
      <c r="N25" s="507">
        <v>410.10000000000002</v>
      </c>
    </row>
    <row r="26" spans="1:14" ht="14.4" customHeight="1">
      <c r="A26" s="496" t="s">
        <v>945</v>
      </c>
      <c r="B26" s="496">
        <v>2017</v>
      </c>
      <c r="C26" s="505" t="s">
        <v>946</v>
      </c>
      <c r="E26" s="263"/>
      <c r="F26" s="263">
        <v>10461.403333333332</v>
      </c>
      <c r="G26" s="263"/>
      <c r="H26" s="263">
        <v>30</v>
      </c>
      <c r="I26" s="263">
        <v>25</v>
      </c>
      <c r="J26" s="263">
        <v>402.36166666666668</v>
      </c>
      <c r="K26" s="506">
        <f t="shared" si="1"/>
        <v>10059.041666666664</v>
      </c>
      <c r="L26" s="507" t="s">
        <v>829</v>
      </c>
      <c r="M26" s="507" t="s">
        <v>955</v>
      </c>
      <c r="N26" s="507">
        <v>410.10000000000002</v>
      </c>
    </row>
    <row r="27" spans="1:14" ht="14.4" customHeight="1">
      <c r="A27" s="496" t="s">
        <v>947</v>
      </c>
      <c r="B27" s="496">
        <v>2017</v>
      </c>
      <c r="C27" s="505" t="s">
        <v>948</v>
      </c>
      <c r="E27" s="263"/>
      <c r="F27" s="263">
        <v>-30361.799999999977</v>
      </c>
      <c r="G27" s="263"/>
      <c r="H27" s="263">
        <v>10</v>
      </c>
      <c r="I27" s="263">
        <v>5</v>
      </c>
      <c r="J27" s="263">
        <v>-5060.3000000000002</v>
      </c>
      <c r="K27" s="506">
        <f t="shared" si="1"/>
        <v>-25301.499999999978</v>
      </c>
      <c r="L27" s="507" t="s">
        <v>829</v>
      </c>
      <c r="M27" s="507" t="s">
        <v>956</v>
      </c>
      <c r="N27" s="507">
        <v>410.10000000000002</v>
      </c>
    </row>
    <row r="28" spans="1:14" ht="14.4" customHeight="1">
      <c r="A28" s="496" t="s">
        <v>949</v>
      </c>
      <c r="B28" s="496">
        <v>2017</v>
      </c>
      <c r="C28" s="505" t="s">
        <v>950</v>
      </c>
      <c r="E28" s="263"/>
      <c r="F28" s="263">
        <v>803.00800000000004</v>
      </c>
      <c r="G28" s="263"/>
      <c r="H28" s="263">
        <v>20</v>
      </c>
      <c r="I28" s="263">
        <v>15</v>
      </c>
      <c r="J28" s="263">
        <v>50.188000000000002</v>
      </c>
      <c r="K28" s="506">
        <f t="shared" si="1"/>
        <v>752.82000000000005</v>
      </c>
      <c r="L28" s="507" t="s">
        <v>829</v>
      </c>
      <c r="M28" s="507" t="s">
        <v>955</v>
      </c>
      <c r="N28" s="507">
        <v>410.10000000000002</v>
      </c>
    </row>
    <row r="29" spans="1:14" ht="14.4" customHeight="1">
      <c r="A29" s="496" t="s">
        <v>951</v>
      </c>
      <c r="B29" s="496">
        <v>2017</v>
      </c>
      <c r="C29" s="505" t="s">
        <v>952</v>
      </c>
      <c r="E29" s="263"/>
      <c r="F29" s="263">
        <v>550036.77600000007</v>
      </c>
      <c r="G29" s="263"/>
      <c r="H29" s="263">
        <v>10</v>
      </c>
      <c r="I29" s="263">
        <v>5</v>
      </c>
      <c r="J29" s="263">
        <v>91672.796000000002</v>
      </c>
      <c r="K29" s="506">
        <f t="shared" si="1"/>
        <v>458363.9800000001</v>
      </c>
      <c r="L29" s="507" t="s">
        <v>829</v>
      </c>
      <c r="M29" s="507" t="s">
        <v>955</v>
      </c>
      <c r="N29" s="507">
        <v>410.10000000000002</v>
      </c>
    </row>
    <row r="30" spans="1:14" ht="14.4" customHeight="1">
      <c r="A30" s="496" t="s">
        <v>953</v>
      </c>
      <c r="B30" s="496">
        <v>2017</v>
      </c>
      <c r="C30" s="505" t="s">
        <v>957</v>
      </c>
      <c r="E30" s="263"/>
      <c r="F30" s="263">
        <v>-769152</v>
      </c>
      <c r="G30" s="263"/>
      <c r="H30" s="263">
        <v>10</v>
      </c>
      <c r="I30" s="263">
        <v>5</v>
      </c>
      <c r="J30" s="263">
        <v>-128192</v>
      </c>
      <c r="K30" s="506">
        <f t="shared" si="1"/>
        <v>-640960</v>
      </c>
      <c r="L30" s="507" t="s">
        <v>829</v>
      </c>
      <c r="M30" s="507" t="s">
        <v>956</v>
      </c>
      <c r="N30" s="507">
        <v>410.10000000000002</v>
      </c>
    </row>
    <row r="31" spans="5:14" ht="14.4" customHeight="1">
      <c r="E31" s="323"/>
      <c r="F31" s="323"/>
      <c r="G31" s="323"/>
      <c r="H31" s="323"/>
      <c r="I31" s="323"/>
      <c r="J31" s="323"/>
      <c r="K31" s="506"/>
      <c r="L31" s="508"/>
      <c r="M31" s="508"/>
      <c r="N31" s="508"/>
    </row>
    <row r="32" spans="1:14" ht="14.4" customHeight="1">
      <c r="A32" s="496">
        <v>4</v>
      </c>
      <c r="B32" s="496"/>
      <c r="C32" s="450" t="s">
        <v>666</v>
      </c>
      <c r="E32" s="263"/>
      <c r="F32" s="263">
        <f>8806352.94380497-220518</f>
        <v>8585834.94380497</v>
      </c>
      <c r="G32" s="263">
        <v>-25521.889491576876</v>
      </c>
      <c r="H32" s="263"/>
      <c r="I32" s="263"/>
      <c r="J32" s="263">
        <v>302295.69117067178</v>
      </c>
      <c r="K32" s="506">
        <f t="shared" si="1"/>
        <v>8258017.3631427214</v>
      </c>
      <c r="L32" s="507"/>
      <c r="M32" s="507"/>
      <c r="N32" s="507"/>
    </row>
    <row r="33" spans="3:14" ht="14.4" customHeight="1">
      <c r="C33" s="453"/>
      <c r="E33" s="324"/>
      <c r="F33" s="324"/>
      <c r="G33" s="324"/>
      <c r="H33" s="323"/>
      <c r="I33" s="323"/>
      <c r="J33" s="324"/>
      <c r="K33" s="509"/>
      <c r="L33" s="508"/>
      <c r="M33" s="508"/>
      <c r="N33" s="508"/>
    </row>
    <row r="34" spans="1:11" ht="14.5">
      <c r="A34" s="496">
        <v>5</v>
      </c>
      <c r="B34" s="496"/>
      <c r="C34" s="450" t="s">
        <v>667</v>
      </c>
      <c r="E34" s="451">
        <f>SUM(E12:E33)</f>
        <v>0</v>
      </c>
      <c r="F34" s="451">
        <f>SUM(F12:F33)</f>
        <v>38515191.369787142</v>
      </c>
      <c r="G34" s="451">
        <f>SUM(G12:G33)</f>
        <v>-25521.889491576876</v>
      </c>
      <c r="H34" s="452"/>
      <c r="I34" s="452"/>
      <c r="J34" s="451">
        <f>SUM(J12:J33)</f>
        <v>1359210.1521751282</v>
      </c>
      <c r="K34" s="451">
        <f>SUM(K12:K33)</f>
        <v>37130459.32812044</v>
      </c>
    </row>
    <row r="35" s="0" customFormat="1" ht="15.5"/>
    <row r="36" spans="1:14" ht="14.5">
      <c r="A36" s="471"/>
      <c r="B36" s="446"/>
      <c r="C36" s="447" t="s">
        <v>895</v>
      </c>
      <c r="E36" s="448"/>
      <c r="F36" s="447"/>
      <c r="G36" s="447"/>
      <c r="H36" s="447"/>
      <c r="I36" s="447"/>
      <c r="J36" s="447"/>
      <c r="K36" s="448"/>
      <c r="L36" s="448"/>
      <c r="M36" s="448"/>
      <c r="N36" s="448"/>
    </row>
    <row r="37" spans="1:14" ht="14.5">
      <c r="A37" s="496">
        <f>A34+1</f>
        <v>6</v>
      </c>
      <c r="B37" s="496">
        <v>2017</v>
      </c>
      <c r="C37" s="480" t="s">
        <v>668</v>
      </c>
      <c r="E37" s="263"/>
      <c r="F37" s="263"/>
      <c r="G37" s="265"/>
      <c r="H37" s="502" t="s">
        <v>669</v>
      </c>
      <c r="I37" s="502" t="s">
        <v>669</v>
      </c>
      <c r="J37" s="263"/>
      <c r="K37" s="506">
        <f>(F37+G37)-J37</f>
        <v>0</v>
      </c>
      <c r="L37" s="610" t="s">
        <v>830</v>
      </c>
      <c r="M37" s="610" t="s">
        <v>541</v>
      </c>
      <c r="N37" s="610">
        <v>411.10000000000002</v>
      </c>
    </row>
    <row r="38" spans="1:14" ht="14.5">
      <c r="A38" s="496">
        <f>A37+1</f>
        <v>7</v>
      </c>
      <c r="B38" s="496">
        <v>2017</v>
      </c>
      <c r="C38" s="480" t="str">
        <f>C37</f>
        <v>Property Book-Tax Timing Difference - Account 190</v>
      </c>
      <c r="E38" s="263"/>
      <c r="F38" s="263">
        <v>-10905033.5</v>
      </c>
      <c r="G38" s="265">
        <v>1902775.3499999992</v>
      </c>
      <c r="H38" s="502" t="s">
        <v>669</v>
      </c>
      <c r="I38" s="502" t="s">
        <v>669</v>
      </c>
      <c r="J38" s="263">
        <v>-1581.6899999999998</v>
      </c>
      <c r="K38" s="506">
        <f t="shared" si="2" ref="K38:K49">(F38+G38)-J38</f>
        <v>-9000676.4600000009</v>
      </c>
      <c r="L38" s="610" t="s">
        <v>829</v>
      </c>
      <c r="M38" s="610" t="s">
        <v>847</v>
      </c>
      <c r="N38" s="610">
        <v>410.10000000000002</v>
      </c>
    </row>
    <row r="39" spans="1:14" ht="14.5">
      <c r="A39" s="496">
        <f t="shared" si="3" ref="A39:A49">A38+1</f>
        <v>8</v>
      </c>
      <c r="B39" s="496">
        <v>2017</v>
      </c>
      <c r="C39" s="480" t="s">
        <v>668</v>
      </c>
      <c r="E39" s="263"/>
      <c r="F39" s="263"/>
      <c r="G39" s="265"/>
      <c r="H39" s="502" t="s">
        <v>669</v>
      </c>
      <c r="I39" s="502" t="s">
        <v>669</v>
      </c>
      <c r="J39" s="263"/>
      <c r="K39" s="506">
        <f t="shared" si="2"/>
        <v>0</v>
      </c>
      <c r="L39" s="610" t="s">
        <v>830</v>
      </c>
      <c r="M39" s="610" t="s">
        <v>847</v>
      </c>
      <c r="N39" s="610">
        <v>410.10000000000002</v>
      </c>
    </row>
    <row r="40" spans="1:14" ht="14.5">
      <c r="A40" s="496">
        <f t="shared" si="3"/>
        <v>9</v>
      </c>
      <c r="B40" s="496">
        <v>2017</v>
      </c>
      <c r="C40" s="480" t="str">
        <f>C39</f>
        <v>Property Book-Tax Timing Difference - Account 190</v>
      </c>
      <c r="E40" s="263"/>
      <c r="F40" s="263">
        <v>18764852.350000001</v>
      </c>
      <c r="G40" s="265">
        <v>-3563057.9300000034</v>
      </c>
      <c r="H40" s="502" t="s">
        <v>669</v>
      </c>
      <c r="I40" s="502" t="s">
        <v>669</v>
      </c>
      <c r="J40" s="263">
        <v>640183.25</v>
      </c>
      <c r="K40" s="506">
        <f t="shared" si="2"/>
        <v>14561611.169999998</v>
      </c>
      <c r="L40" s="610" t="s">
        <v>829</v>
      </c>
      <c r="M40" s="610" t="s">
        <v>541</v>
      </c>
      <c r="N40" s="610">
        <v>411.10000000000002</v>
      </c>
    </row>
    <row r="41" spans="1:14" ht="14.5">
      <c r="A41" s="496">
        <f t="shared" si="3"/>
        <v>10</v>
      </c>
      <c r="B41" s="496">
        <v>2017</v>
      </c>
      <c r="C41" s="480" t="s">
        <v>670</v>
      </c>
      <c r="E41" s="263"/>
      <c r="F41" s="263">
        <v>618917.21999999997</v>
      </c>
      <c r="G41" s="265">
        <v>-180584.14999999997</v>
      </c>
      <c r="H41" s="502" t="s">
        <v>669</v>
      </c>
      <c r="I41" s="502" t="s">
        <v>669</v>
      </c>
      <c r="J41" s="263">
        <v>11824.5</v>
      </c>
      <c r="K41" s="506">
        <f t="shared" si="2"/>
        <v>426508.57000000001</v>
      </c>
      <c r="L41" s="610" t="s">
        <v>830</v>
      </c>
      <c r="M41" s="610" t="s">
        <v>541</v>
      </c>
      <c r="N41" s="610">
        <v>411.10000000000002</v>
      </c>
    </row>
    <row r="42" spans="1:14" ht="14.5">
      <c r="A42" s="496">
        <f t="shared" si="3"/>
        <v>11</v>
      </c>
      <c r="B42" s="496">
        <v>2017</v>
      </c>
      <c r="C42" s="480" t="str">
        <f>C41</f>
        <v>Property Book-Tax Timing Difference - Account 282</v>
      </c>
      <c r="E42" s="263"/>
      <c r="F42" s="263">
        <v>-89638429.293378428</v>
      </c>
      <c r="G42" s="265">
        <v>-4049150.5766216088</v>
      </c>
      <c r="H42" s="502" t="s">
        <v>669</v>
      </c>
      <c r="I42" s="502" t="s">
        <v>669</v>
      </c>
      <c r="J42" s="263">
        <v>-2376403.3300000001</v>
      </c>
      <c r="K42" s="506">
        <f t="shared" si="2"/>
        <v>-91311176.540000036</v>
      </c>
      <c r="L42" s="610" t="s">
        <v>829</v>
      </c>
      <c r="M42" s="610" t="s">
        <v>847</v>
      </c>
      <c r="N42" s="610">
        <v>410.10000000000002</v>
      </c>
    </row>
    <row r="43" spans="1:14" ht="14.5">
      <c r="A43" s="496">
        <f t="shared" si="3"/>
        <v>12</v>
      </c>
      <c r="B43" s="496">
        <v>2017</v>
      </c>
      <c r="C43" s="480" t="s">
        <v>670</v>
      </c>
      <c r="E43" s="263"/>
      <c r="F43" s="263">
        <v>-257044606.85000002</v>
      </c>
      <c r="G43" s="265">
        <v>4419009.0800000336</v>
      </c>
      <c r="H43" s="502" t="s">
        <v>669</v>
      </c>
      <c r="I43" s="502" t="s">
        <v>669</v>
      </c>
      <c r="J43" s="263">
        <v>-4207677.2599999998</v>
      </c>
      <c r="K43" s="506">
        <f t="shared" si="2"/>
        <v>-248417920.50999999</v>
      </c>
      <c r="L43" s="610" t="s">
        <v>830</v>
      </c>
      <c r="M43" s="610" t="s">
        <v>847</v>
      </c>
      <c r="N43" s="610">
        <v>410.10000000000002</v>
      </c>
    </row>
    <row r="44" spans="1:14" ht="14.5">
      <c r="A44" s="496">
        <f t="shared" si="3"/>
        <v>13</v>
      </c>
      <c r="B44" s="496">
        <v>2017</v>
      </c>
      <c r="C44" s="480" t="str">
        <f>C43</f>
        <v>Property Book-Tax Timing Difference - Account 282</v>
      </c>
      <c r="E44" s="263"/>
      <c r="F44" s="263">
        <v>45402114.749999993</v>
      </c>
      <c r="G44" s="265">
        <v>-414055.66999999457</v>
      </c>
      <c r="H44" s="502" t="s">
        <v>669</v>
      </c>
      <c r="I44" s="502" t="s">
        <v>669</v>
      </c>
      <c r="J44" s="263">
        <v>1188287.3900000004</v>
      </c>
      <c r="K44" s="506">
        <f t="shared" si="2"/>
        <v>43799771.689999998</v>
      </c>
      <c r="L44" s="610" t="s">
        <v>829</v>
      </c>
      <c r="M44" s="610" t="s">
        <v>541</v>
      </c>
      <c r="N44" s="610">
        <v>411.10000000000002</v>
      </c>
    </row>
    <row r="45" spans="1:14" ht="14.5">
      <c r="A45" s="496">
        <f t="shared" si="3"/>
        <v>14</v>
      </c>
      <c r="B45" s="496">
        <v>2017</v>
      </c>
      <c r="C45" s="480" t="s">
        <v>671</v>
      </c>
      <c r="E45" s="265"/>
      <c r="F45" s="265"/>
      <c r="G45" s="265"/>
      <c r="H45" s="502" t="s">
        <v>669</v>
      </c>
      <c r="I45" s="502" t="s">
        <v>669</v>
      </c>
      <c r="J45" s="263"/>
      <c r="K45" s="506">
        <f t="shared" si="2"/>
        <v>0</v>
      </c>
      <c r="L45" s="610" t="s">
        <v>830</v>
      </c>
      <c r="M45" s="610" t="s">
        <v>541</v>
      </c>
      <c r="N45" s="610">
        <v>411.10000000000002</v>
      </c>
    </row>
    <row r="46" spans="1:14" ht="14.5">
      <c r="A46" s="496">
        <f t="shared" si="3"/>
        <v>15</v>
      </c>
      <c r="B46" s="496">
        <v>2017</v>
      </c>
      <c r="C46" s="480" t="str">
        <f>C45</f>
        <v>Property Book-Tax Timing Difference - Account 283</v>
      </c>
      <c r="E46" s="265"/>
      <c r="F46" s="265"/>
      <c r="G46" s="265"/>
      <c r="H46" s="502" t="s">
        <v>669</v>
      </c>
      <c r="I46" s="502" t="s">
        <v>669</v>
      </c>
      <c r="J46" s="263"/>
      <c r="K46" s="506">
        <f t="shared" si="2"/>
        <v>0</v>
      </c>
      <c r="L46" s="610" t="s">
        <v>829</v>
      </c>
      <c r="M46" s="610" t="s">
        <v>847</v>
      </c>
      <c r="N46" s="610">
        <v>410.10000000000002</v>
      </c>
    </row>
    <row r="47" spans="1:14" ht="14.5">
      <c r="A47" s="496">
        <f t="shared" si="3"/>
        <v>16</v>
      </c>
      <c r="B47" s="496">
        <v>2017</v>
      </c>
      <c r="C47" s="480" t="s">
        <v>671</v>
      </c>
      <c r="E47" s="265"/>
      <c r="F47" s="265"/>
      <c r="G47" s="265"/>
      <c r="H47" s="502" t="s">
        <v>669</v>
      </c>
      <c r="I47" s="502" t="s">
        <v>669</v>
      </c>
      <c r="J47" s="263"/>
      <c r="K47" s="506">
        <f t="shared" si="2"/>
        <v>0</v>
      </c>
      <c r="L47" s="610" t="s">
        <v>830</v>
      </c>
      <c r="M47" s="610" t="s">
        <v>847</v>
      </c>
      <c r="N47" s="610">
        <v>410.10000000000002</v>
      </c>
    </row>
    <row r="48" spans="1:14" ht="14.5">
      <c r="A48" s="496">
        <f t="shared" si="3"/>
        <v>17</v>
      </c>
      <c r="B48" s="496">
        <v>2017</v>
      </c>
      <c r="C48" s="480" t="str">
        <f>C47</f>
        <v>Property Book-Tax Timing Difference - Account 283</v>
      </c>
      <c r="E48" s="265"/>
      <c r="F48" s="265"/>
      <c r="G48" s="265"/>
      <c r="H48" s="502" t="s">
        <v>669</v>
      </c>
      <c r="I48" s="502" t="s">
        <v>669</v>
      </c>
      <c r="J48" s="263"/>
      <c r="K48" s="506">
        <f t="shared" si="2"/>
        <v>0</v>
      </c>
      <c r="L48" s="610" t="s">
        <v>829</v>
      </c>
      <c r="M48" s="610" t="s">
        <v>541</v>
      </c>
      <c r="N48" s="610">
        <v>411.10000000000002</v>
      </c>
    </row>
    <row r="49" spans="1:14" ht="14.5">
      <c r="A49" s="496">
        <f t="shared" si="3"/>
        <v>18</v>
      </c>
      <c r="B49" s="496"/>
      <c r="C49" s="480" t="s">
        <v>691</v>
      </c>
      <c r="E49" s="264"/>
      <c r="F49" s="264">
        <v>-84334030</v>
      </c>
      <c r="G49" s="264">
        <v>-207045.95996810403</v>
      </c>
      <c r="H49" s="502"/>
      <c r="I49" s="502"/>
      <c r="J49" s="264">
        <v>-1360631.959968104</v>
      </c>
      <c r="K49" s="509">
        <f t="shared" si="2"/>
        <v>-83180444</v>
      </c>
      <c r="L49" s="609" t="s">
        <v>852</v>
      </c>
      <c r="M49" s="609" t="s">
        <v>847</v>
      </c>
      <c r="N49" s="609">
        <v>410.10000000000002</v>
      </c>
    </row>
    <row r="50" spans="1:13" ht="14.5">
      <c r="A50" s="496">
        <f>A49+1</f>
        <v>19</v>
      </c>
      <c r="B50" s="496"/>
      <c r="C50" s="450" t="str">
        <f>"Total Property (Total of lines "&amp;A37&amp;" thru "&amp;A49&amp;")"</f>
        <v>Total Property (Total of lines 6 thru 18)</v>
      </c>
      <c r="E50" s="455">
        <f>SUM(E37:E49)</f>
        <v>0</v>
      </c>
      <c r="F50" s="455">
        <f>SUM(F37:F49)</f>
        <v>-377136215.32337844</v>
      </c>
      <c r="G50" s="455">
        <f t="shared" si="4" ref="G50">SUM(G37:G49)</f>
        <v>-2092109.856589678</v>
      </c>
      <c r="H50" s="452"/>
      <c r="I50" s="452"/>
      <c r="J50" s="455">
        <f>SUM(J37:J49)</f>
        <v>-6105999.0999681028</v>
      </c>
      <c r="K50" s="455">
        <f>SUM(K37:K49)</f>
        <v>-373122326.08000004</v>
      </c>
      <c r="L50" s="508"/>
      <c r="M50" s="508"/>
    </row>
    <row r="51" s="0" customFormat="1" ht="15.5"/>
    <row r="52" spans="14:14" s="0" customFormat="1" ht="15.5">
      <c r="N52" s="440" t="s">
        <v>692</v>
      </c>
    </row>
    <row r="53" spans="14:14" s="0" customFormat="1" ht="15.5">
      <c r="N53" s="462" t="s">
        <v>857</v>
      </c>
    </row>
    <row r="54" spans="14:14" s="0" customFormat="1" ht="15.5">
      <c r="N54" s="440" t="str">
        <f>$N$3</f>
        <v>For the 12 months ended 12/31/2022</v>
      </c>
    </row>
    <row r="55" spans="14:14" s="0" customFormat="1" ht="15.5">
      <c r="N55" s="440"/>
    </row>
    <row r="56" spans="2:14" ht="14.5">
      <c r="B56" s="483" t="s">
        <v>652</v>
      </c>
      <c r="C56" s="483" t="s">
        <v>653</v>
      </c>
      <c r="D56" s="504"/>
      <c r="E56" s="483" t="s">
        <v>654</v>
      </c>
      <c r="F56" s="483" t="s">
        <v>655</v>
      </c>
      <c r="G56" s="483" t="s">
        <v>656</v>
      </c>
      <c r="H56" s="483" t="s">
        <v>657</v>
      </c>
      <c r="I56" s="483" t="s">
        <v>658</v>
      </c>
      <c r="J56" s="483" t="s">
        <v>659</v>
      </c>
      <c r="K56" s="483" t="s">
        <v>843</v>
      </c>
      <c r="L56" s="483" t="s">
        <v>844</v>
      </c>
      <c r="M56" s="483" t="s">
        <v>848</v>
      </c>
      <c r="N56" s="483" t="s">
        <v>853</v>
      </c>
    </row>
    <row r="57" spans="1:14" s="0" customFormat="1" ht="87">
      <c r="A57" s="470" t="s">
        <v>255</v>
      </c>
      <c r="B57" s="501" t="s">
        <v>869</v>
      </c>
      <c r="C57" s="444" t="s">
        <v>660</v>
      </c>
      <c r="D57" s="480"/>
      <c r="E57" s="445" t="s">
        <v>935</v>
      </c>
      <c r="F57" s="444" t="s">
        <v>889</v>
      </c>
      <c r="G57" s="444" t="s">
        <v>890</v>
      </c>
      <c r="H57" s="444" t="s">
        <v>891</v>
      </c>
      <c r="I57" s="444" t="s">
        <v>661</v>
      </c>
      <c r="J57" s="444" t="s">
        <v>892</v>
      </c>
      <c r="K57" s="444" t="s">
        <v>893</v>
      </c>
      <c r="L57" s="444" t="s">
        <v>826</v>
      </c>
      <c r="M57" s="444" t="s">
        <v>846</v>
      </c>
      <c r="N57" s="444" t="s">
        <v>849</v>
      </c>
    </row>
    <row r="58" spans="1:14" s="0" customFormat="1" ht="15.5">
      <c r="A58" s="471"/>
      <c r="B58" s="446"/>
      <c r="C58" s="447" t="s">
        <v>894</v>
      </c>
      <c r="D58" s="480"/>
      <c r="E58" s="448"/>
      <c r="F58" s="448"/>
      <c r="G58" s="448"/>
      <c r="H58" s="448"/>
      <c r="I58" s="448"/>
      <c r="J58" s="448"/>
      <c r="K58" s="448"/>
      <c r="L58" s="448"/>
      <c r="M58" s="480"/>
      <c r="N58" s="480"/>
    </row>
    <row r="59" spans="1:14" s="0" customFormat="1" ht="15.5">
      <c r="A59" s="468">
        <v>20</v>
      </c>
      <c r="B59" s="449"/>
      <c r="C59" s="447" t="s">
        <v>662</v>
      </c>
      <c r="D59" s="480"/>
      <c r="E59" s="448"/>
      <c r="F59" s="448"/>
      <c r="G59" s="448"/>
      <c r="H59" s="461"/>
      <c r="I59" s="448"/>
      <c r="J59" s="448"/>
      <c r="K59" s="480"/>
      <c r="L59" s="448"/>
      <c r="M59" s="495"/>
      <c r="N59" s="480"/>
    </row>
    <row r="60" spans="1:14" s="0" customFormat="1" ht="15.5">
      <c r="A60" s="496" t="s">
        <v>864</v>
      </c>
      <c r="B60" s="496">
        <v>2023</v>
      </c>
      <c r="C60" s="505" t="s">
        <v>938</v>
      </c>
      <c r="D60" s="480"/>
      <c r="E60" s="263">
        <v>492.79000000000815</v>
      </c>
      <c r="F60" s="263">
        <v>492.79000000000815</v>
      </c>
      <c r="G60" s="263"/>
      <c r="H60" s="263">
        <v>12</v>
      </c>
      <c r="I60" s="263">
        <v>12</v>
      </c>
      <c r="J60" s="263"/>
      <c r="K60" s="506">
        <f>(F60+G60)-J60</f>
        <v>492.79000000000815</v>
      </c>
      <c r="L60" s="507" t="s">
        <v>829</v>
      </c>
      <c r="M60" s="507" t="s">
        <v>955</v>
      </c>
      <c r="N60" s="507"/>
    </row>
    <row r="61" spans="1:14" s="0" customFormat="1" ht="15.5">
      <c r="A61" s="496" t="s">
        <v>958</v>
      </c>
      <c r="B61" s="496">
        <v>2023</v>
      </c>
      <c r="C61" s="505" t="s">
        <v>940</v>
      </c>
      <c r="D61" s="480"/>
      <c r="E61" s="263">
        <v>71006.920000000042</v>
      </c>
      <c r="F61" s="263">
        <v>71006.920000000042</v>
      </c>
      <c r="G61" s="263"/>
      <c r="H61" s="263">
        <v>3</v>
      </c>
      <c r="I61" s="263">
        <v>3</v>
      </c>
      <c r="J61" s="263"/>
      <c r="K61" s="506">
        <f t="shared" si="5" ref="K61:K62">(F61+G61)-J61</f>
        <v>71006.920000000042</v>
      </c>
      <c r="L61" s="507" t="s">
        <v>829</v>
      </c>
      <c r="M61" s="507" t="s">
        <v>955</v>
      </c>
      <c r="N61" s="507"/>
    </row>
    <row r="62" spans="1:14" s="0" customFormat="1" ht="15.5">
      <c r="A62" s="496" t="s">
        <v>959</v>
      </c>
      <c r="B62" s="496">
        <v>2023</v>
      </c>
      <c r="C62" s="505" t="s">
        <v>954</v>
      </c>
      <c r="D62" s="480"/>
      <c r="E62" s="263">
        <v>-3927.8600000001024</v>
      </c>
      <c r="F62" s="263">
        <v>-3927.8600000001024</v>
      </c>
      <c r="G62" s="263"/>
      <c r="H62" s="263">
        <v>8</v>
      </c>
      <c r="I62" s="263">
        <v>8</v>
      </c>
      <c r="J62" s="263"/>
      <c r="K62" s="506">
        <f t="shared" si="5"/>
        <v>-3927.8600000001024</v>
      </c>
      <c r="L62" s="507" t="s">
        <v>829</v>
      </c>
      <c r="M62" s="507" t="s">
        <v>956</v>
      </c>
      <c r="N62" s="507"/>
    </row>
    <row r="63" spans="1:14" s="0" customFormat="1" ht="15.5">
      <c r="A63" s="499"/>
      <c r="B63" s="499"/>
      <c r="C63" s="480"/>
      <c r="D63" s="480"/>
      <c r="E63" s="323"/>
      <c r="F63" s="323"/>
      <c r="G63" s="323"/>
      <c r="H63" s="323"/>
      <c r="I63" s="323"/>
      <c r="J63" s="323"/>
      <c r="K63" s="506"/>
      <c r="L63" s="508"/>
      <c r="M63" s="508"/>
      <c r="N63" s="508"/>
    </row>
    <row r="64" spans="1:14" s="0" customFormat="1" ht="15.5">
      <c r="A64" s="468">
        <f>A59+1</f>
        <v>21</v>
      </c>
      <c r="B64" s="449"/>
      <c r="C64" s="447" t="s">
        <v>663</v>
      </c>
      <c r="D64" s="480"/>
      <c r="E64" s="448"/>
      <c r="F64" s="448"/>
      <c r="G64" s="448"/>
      <c r="H64" s="448"/>
      <c r="I64" s="448"/>
      <c r="J64" s="448"/>
      <c r="K64" s="480"/>
      <c r="L64" s="448"/>
      <c r="M64" s="448"/>
      <c r="N64" s="448"/>
    </row>
    <row r="65" spans="1:14" s="0" customFormat="1" ht="15.5">
      <c r="A65" s="496" t="s">
        <v>862</v>
      </c>
      <c r="B65" s="496"/>
      <c r="C65" s="505"/>
      <c r="D65" s="480"/>
      <c r="E65" s="263"/>
      <c r="F65" s="263"/>
      <c r="G65" s="263"/>
      <c r="H65" s="263"/>
      <c r="I65" s="263"/>
      <c r="J65" s="263"/>
      <c r="K65" s="506">
        <f>(F65+G65)-J65</f>
        <v>0</v>
      </c>
      <c r="L65" s="507"/>
      <c r="M65" s="507"/>
      <c r="N65" s="507"/>
    </row>
    <row r="66" spans="1:14" s="0" customFormat="1" ht="15.5">
      <c r="A66" s="435"/>
      <c r="B66" s="435"/>
      <c r="C66" s="405"/>
      <c r="D66" s="405"/>
      <c r="E66" s="405"/>
      <c r="F66" s="405"/>
      <c r="G66" s="405"/>
      <c r="H66" s="405"/>
      <c r="I66" s="405"/>
      <c r="J66" s="405"/>
      <c r="K66" s="405"/>
      <c r="L66" s="405"/>
      <c r="M66" s="405"/>
      <c r="N66" s="405"/>
    </row>
    <row r="67" spans="1:14" s="0" customFormat="1" ht="15.5">
      <c r="A67" s="468">
        <f>A64+1</f>
        <v>22</v>
      </c>
      <c r="B67" s="449"/>
      <c r="C67" s="447" t="s">
        <v>664</v>
      </c>
      <c r="D67" s="480"/>
      <c r="E67" s="448"/>
      <c r="F67" s="448"/>
      <c r="G67" s="448"/>
      <c r="H67" s="448"/>
      <c r="I67" s="448"/>
      <c r="J67" s="448"/>
      <c r="K67" s="480"/>
      <c r="L67" s="448"/>
      <c r="M67" s="448"/>
      <c r="N67" s="448"/>
    </row>
    <row r="68" spans="1:14" s="0" customFormat="1" ht="15.5">
      <c r="A68" s="496" t="s">
        <v>863</v>
      </c>
      <c r="B68" s="496">
        <v>2023</v>
      </c>
      <c r="C68" s="505" t="s">
        <v>960</v>
      </c>
      <c r="D68" s="480"/>
      <c r="E68" s="263">
        <v>-354.55999999999767</v>
      </c>
      <c r="F68" s="263">
        <v>-354.55999999999767</v>
      </c>
      <c r="G68" s="263"/>
      <c r="H68" s="263">
        <v>2</v>
      </c>
      <c r="I68" s="263">
        <v>2</v>
      </c>
      <c r="J68" s="263"/>
      <c r="K68" s="506">
        <f t="shared" si="6" ref="K68:K73">(F68+G68)-J68</f>
        <v>-354.55999999999767</v>
      </c>
      <c r="L68" s="507" t="s">
        <v>829</v>
      </c>
      <c r="M68" s="507" t="s">
        <v>956</v>
      </c>
      <c r="N68" s="507"/>
    </row>
    <row r="69" spans="1:14" s="0" customFormat="1" ht="15.5">
      <c r="A69" s="496" t="s">
        <v>962</v>
      </c>
      <c r="B69" s="496">
        <v>2023</v>
      </c>
      <c r="C69" s="505" t="s">
        <v>961</v>
      </c>
      <c r="D69" s="480"/>
      <c r="E69" s="263">
        <v>-525.26000000000931</v>
      </c>
      <c r="F69" s="263">
        <v>-525.26000000000931</v>
      </c>
      <c r="G69" s="263"/>
      <c r="H69" s="263">
        <v>2</v>
      </c>
      <c r="I69" s="263">
        <v>2</v>
      </c>
      <c r="J69" s="263"/>
      <c r="K69" s="506">
        <f t="shared" si="6"/>
        <v>-525.26000000000931</v>
      </c>
      <c r="L69" s="507" t="s">
        <v>829</v>
      </c>
      <c r="M69" s="507" t="s">
        <v>956</v>
      </c>
      <c r="N69" s="507"/>
    </row>
    <row r="70" spans="1:14" s="0" customFormat="1" ht="15.5">
      <c r="A70" s="496" t="s">
        <v>963</v>
      </c>
      <c r="B70" s="496">
        <v>2023</v>
      </c>
      <c r="C70" s="505" t="s">
        <v>944</v>
      </c>
      <c r="D70" s="480"/>
      <c r="E70" s="263">
        <v>-17892.700000000186</v>
      </c>
      <c r="F70" s="263">
        <v>-17892.700000000186</v>
      </c>
      <c r="G70" s="263"/>
      <c r="H70" s="263">
        <v>8</v>
      </c>
      <c r="I70" s="263">
        <v>8</v>
      </c>
      <c r="J70" s="263"/>
      <c r="K70" s="506">
        <f t="shared" si="6"/>
        <v>-17892.700000000186</v>
      </c>
      <c r="L70" s="507" t="s">
        <v>829</v>
      </c>
      <c r="M70" s="507" t="s">
        <v>956</v>
      </c>
      <c r="N70" s="507"/>
    </row>
    <row r="71" spans="1:14" s="0" customFormat="1" ht="15.5">
      <c r="A71" s="496" t="s">
        <v>964</v>
      </c>
      <c r="B71" s="496">
        <v>2023</v>
      </c>
      <c r="C71" s="505" t="s">
        <v>948</v>
      </c>
      <c r="D71" s="480"/>
      <c r="E71" s="263">
        <v>-167.6200000000099</v>
      </c>
      <c r="F71" s="263">
        <v>-167.6200000000099</v>
      </c>
      <c r="G71" s="263"/>
      <c r="H71" s="263">
        <v>8</v>
      </c>
      <c r="I71" s="263">
        <v>8</v>
      </c>
      <c r="J71" s="263"/>
      <c r="K71" s="506">
        <f t="shared" si="6"/>
        <v>-167.6200000000099</v>
      </c>
      <c r="L71" s="507" t="s">
        <v>829</v>
      </c>
      <c r="M71" s="507" t="s">
        <v>956</v>
      </c>
      <c r="N71" s="507"/>
    </row>
    <row r="72" spans="1:14" s="0" customFormat="1" ht="15.5">
      <c r="A72" s="499"/>
      <c r="B72" s="499"/>
      <c r="C72" s="480"/>
      <c r="D72" s="480"/>
      <c r="E72" s="323"/>
      <c r="F72" s="323"/>
      <c r="G72" s="323"/>
      <c r="H72" s="323"/>
      <c r="I72" s="323"/>
      <c r="J72" s="323"/>
      <c r="K72" s="506">
        <f t="shared" si="6"/>
        <v>0</v>
      </c>
      <c r="L72" s="508"/>
      <c r="M72" s="508"/>
      <c r="N72" s="508"/>
    </row>
    <row r="73" spans="1:14" s="0" customFormat="1" ht="15.5">
      <c r="A73" s="496">
        <f>A67+1</f>
        <v>23</v>
      </c>
      <c r="B73" s="496"/>
      <c r="C73" s="450" t="s">
        <v>666</v>
      </c>
      <c r="D73" s="480"/>
      <c r="E73" s="263">
        <v>13909.504439261907</v>
      </c>
      <c r="F73" s="263">
        <v>13909.504439261907</v>
      </c>
      <c r="G73" s="263">
        <v>0</v>
      </c>
      <c r="H73" s="263"/>
      <c r="I73" s="263"/>
      <c r="J73" s="263"/>
      <c r="K73" s="506">
        <f t="shared" si="6"/>
        <v>13909.504439261907</v>
      </c>
      <c r="L73" s="507"/>
      <c r="M73" s="507"/>
      <c r="N73" s="507"/>
    </row>
    <row r="74" spans="1:14" s="0" customFormat="1" ht="15.5">
      <c r="A74" s="499"/>
      <c r="B74" s="499"/>
      <c r="C74" s="453"/>
      <c r="D74" s="480"/>
      <c r="E74" s="324"/>
      <c r="F74" s="324"/>
      <c r="G74" s="324"/>
      <c r="H74" s="323"/>
      <c r="I74" s="323"/>
      <c r="J74" s="324"/>
      <c r="K74" s="509"/>
      <c r="L74" s="508"/>
      <c r="M74" s="508"/>
      <c r="N74" s="508"/>
    </row>
    <row r="75" spans="1:14" s="0" customFormat="1" ht="15.5">
      <c r="A75" s="496">
        <f>A73+1</f>
        <v>24</v>
      </c>
      <c r="B75" s="496"/>
      <c r="C75" s="450" t="s">
        <v>667</v>
      </c>
      <c r="D75" s="480"/>
      <c r="E75" s="451">
        <f>SUM(E60:E74)</f>
        <v>62541.214439261654</v>
      </c>
      <c r="F75" s="451">
        <f>SUM(F60:F74)</f>
        <v>62541.214439261654</v>
      </c>
      <c r="G75" s="451">
        <f>SUM(G60:G74)</f>
        <v>0</v>
      </c>
      <c r="H75" s="452"/>
      <c r="I75" s="452"/>
      <c r="J75" s="451">
        <f>SUM(J60:J74)</f>
        <v>0</v>
      </c>
      <c r="K75" s="451">
        <f>SUM(K60:K74)</f>
        <v>62541.214439261654</v>
      </c>
      <c r="L75" s="480"/>
      <c r="M75" s="480"/>
      <c r="N75" s="480"/>
    </row>
    <row r="76" s="0" customFormat="1" ht="15.5"/>
    <row r="77" spans="1:14" ht="14.5">
      <c r="A77" s="471"/>
      <c r="B77" s="446"/>
      <c r="C77" s="447" t="s">
        <v>895</v>
      </c>
      <c r="E77" s="448"/>
      <c r="F77" s="467"/>
      <c r="G77" s="467"/>
      <c r="H77" s="467"/>
      <c r="I77" s="467"/>
      <c r="J77" s="467"/>
      <c r="K77" s="448"/>
      <c r="L77" s="448"/>
      <c r="M77" s="448"/>
      <c r="N77" s="448"/>
    </row>
    <row r="78" spans="1:14" ht="14.5">
      <c r="A78" s="496">
        <f>A75+1</f>
        <v>25</v>
      </c>
      <c r="B78" s="496">
        <v>2023</v>
      </c>
      <c r="C78" s="480" t="s">
        <v>668</v>
      </c>
      <c r="E78" s="263"/>
      <c r="F78" s="263"/>
      <c r="G78" s="263"/>
      <c r="H78" s="454" t="s">
        <v>669</v>
      </c>
      <c r="I78" s="454" t="s">
        <v>669</v>
      </c>
      <c r="J78" s="263"/>
      <c r="K78" s="506">
        <f>(F78+G78)-J78</f>
        <v>0</v>
      </c>
      <c r="L78" s="610" t="s">
        <v>830</v>
      </c>
      <c r="M78" s="610" t="s">
        <v>541</v>
      </c>
      <c r="N78" s="610">
        <v>411.10000000000002</v>
      </c>
    </row>
    <row r="79" spans="1:14" ht="14.5">
      <c r="A79" s="496">
        <f>A78+1</f>
        <v>26</v>
      </c>
      <c r="B79" s="496">
        <v>2023</v>
      </c>
      <c r="C79" s="480" t="str">
        <f>C78</f>
        <v>Property Book-Tax Timing Difference - Account 190</v>
      </c>
      <c r="E79" s="263">
        <v>-47748.820000000007</v>
      </c>
      <c r="F79" s="263">
        <v>-47748.820000000007</v>
      </c>
      <c r="G79" s="263"/>
      <c r="H79" s="502" t="s">
        <v>669</v>
      </c>
      <c r="I79" s="502" t="s">
        <v>669</v>
      </c>
      <c r="J79" s="263"/>
      <c r="K79" s="506">
        <f t="shared" si="7" ref="K79:K89">(F79+G79)-J79</f>
        <v>-47748.820000000007</v>
      </c>
      <c r="L79" s="610" t="s">
        <v>829</v>
      </c>
      <c r="M79" s="610" t="s">
        <v>847</v>
      </c>
      <c r="N79" s="610">
        <v>410.10000000000002</v>
      </c>
    </row>
    <row r="80" spans="1:14" ht="14.5">
      <c r="A80" s="496">
        <f t="shared" si="8" ref="A80:A90">A79+1</f>
        <v>27</v>
      </c>
      <c r="B80" s="496">
        <v>2023</v>
      </c>
      <c r="C80" s="480" t="s">
        <v>668</v>
      </c>
      <c r="E80" s="263"/>
      <c r="F80" s="263"/>
      <c r="G80" s="263"/>
      <c r="H80" s="502" t="s">
        <v>669</v>
      </c>
      <c r="I80" s="502" t="s">
        <v>669</v>
      </c>
      <c r="J80" s="263"/>
      <c r="K80" s="506">
        <f t="shared" si="7"/>
        <v>0</v>
      </c>
      <c r="L80" s="610" t="s">
        <v>830</v>
      </c>
      <c r="M80" s="610" t="s">
        <v>847</v>
      </c>
      <c r="N80" s="610">
        <v>410.10000000000002</v>
      </c>
    </row>
    <row r="81" spans="1:14" ht="14.5">
      <c r="A81" s="496">
        <f t="shared" si="8"/>
        <v>28</v>
      </c>
      <c r="B81" s="496">
        <v>2023</v>
      </c>
      <c r="C81" s="480" t="str">
        <f>C80</f>
        <v>Property Book-Tax Timing Difference - Account 190</v>
      </c>
      <c r="E81" s="263">
        <v>87168.630000000005</v>
      </c>
      <c r="F81" s="263">
        <v>87168.630000000005</v>
      </c>
      <c r="G81" s="263"/>
      <c r="H81" s="502" t="s">
        <v>669</v>
      </c>
      <c r="I81" s="502" t="s">
        <v>669</v>
      </c>
      <c r="J81" s="263"/>
      <c r="K81" s="506">
        <f t="shared" si="7"/>
        <v>87168.630000000005</v>
      </c>
      <c r="L81" s="610" t="s">
        <v>829</v>
      </c>
      <c r="M81" s="610" t="s">
        <v>541</v>
      </c>
      <c r="N81" s="610">
        <v>411.10000000000002</v>
      </c>
    </row>
    <row r="82" spans="1:14" ht="14.5">
      <c r="A82" s="496">
        <f t="shared" si="8"/>
        <v>29</v>
      </c>
      <c r="B82" s="496">
        <v>2023</v>
      </c>
      <c r="C82" s="480" t="s">
        <v>670</v>
      </c>
      <c r="E82" s="263"/>
      <c r="F82" s="263"/>
      <c r="G82" s="263"/>
      <c r="H82" s="502" t="s">
        <v>669</v>
      </c>
      <c r="I82" s="502" t="s">
        <v>669</v>
      </c>
      <c r="J82" s="263"/>
      <c r="K82" s="506">
        <f t="shared" si="7"/>
        <v>0</v>
      </c>
      <c r="L82" s="610" t="s">
        <v>830</v>
      </c>
      <c r="M82" s="610" t="s">
        <v>541</v>
      </c>
      <c r="N82" s="610">
        <v>411.10000000000002</v>
      </c>
    </row>
    <row r="83" spans="1:14" ht="14.5">
      <c r="A83" s="496">
        <f t="shared" si="8"/>
        <v>30</v>
      </c>
      <c r="B83" s="496">
        <v>2023</v>
      </c>
      <c r="C83" s="480" t="str">
        <f>C82</f>
        <v>Property Book-Tax Timing Difference - Account 282</v>
      </c>
      <c r="E83" s="263">
        <v>-864620.24999999977</v>
      </c>
      <c r="F83" s="263">
        <v>-864620.24999999977</v>
      </c>
      <c r="G83" s="263"/>
      <c r="H83" s="502" t="s">
        <v>669</v>
      </c>
      <c r="I83" s="502" t="s">
        <v>669</v>
      </c>
      <c r="J83" s="263"/>
      <c r="K83" s="506">
        <f t="shared" si="7"/>
        <v>-864620.24999999977</v>
      </c>
      <c r="L83" s="610" t="s">
        <v>829</v>
      </c>
      <c r="M83" s="610" t="s">
        <v>847</v>
      </c>
      <c r="N83" s="610">
        <v>410.10000000000002</v>
      </c>
    </row>
    <row r="84" spans="1:14" ht="14.5">
      <c r="A84" s="496">
        <f t="shared" si="8"/>
        <v>31</v>
      </c>
      <c r="B84" s="496">
        <v>2023</v>
      </c>
      <c r="C84" s="480" t="s">
        <v>670</v>
      </c>
      <c r="E84" s="263">
        <v>-724039.12000000011</v>
      </c>
      <c r="F84" s="263">
        <v>-724039.12000000011</v>
      </c>
      <c r="G84" s="263"/>
      <c r="H84" s="502" t="s">
        <v>669</v>
      </c>
      <c r="I84" s="502" t="s">
        <v>669</v>
      </c>
      <c r="J84" s="263"/>
      <c r="K84" s="506">
        <f t="shared" si="7"/>
        <v>-724039.12000000011</v>
      </c>
      <c r="L84" s="610" t="s">
        <v>830</v>
      </c>
      <c r="M84" s="610" t="s">
        <v>847</v>
      </c>
      <c r="N84" s="610">
        <v>410.10000000000002</v>
      </c>
    </row>
    <row r="85" spans="1:14" ht="14.5">
      <c r="A85" s="496">
        <f t="shared" si="8"/>
        <v>32</v>
      </c>
      <c r="B85" s="496">
        <v>2023</v>
      </c>
      <c r="C85" s="480" t="str">
        <f>C84</f>
        <v>Property Book-Tax Timing Difference - Account 282</v>
      </c>
      <c r="E85" s="263">
        <v>418426.0999999998</v>
      </c>
      <c r="F85" s="263">
        <v>418426.0999999998</v>
      </c>
      <c r="G85" s="263"/>
      <c r="H85" s="502" t="s">
        <v>669</v>
      </c>
      <c r="I85" s="502" t="s">
        <v>669</v>
      </c>
      <c r="J85" s="263"/>
      <c r="K85" s="506">
        <f t="shared" si="7"/>
        <v>418426.0999999998</v>
      </c>
      <c r="L85" s="610" t="s">
        <v>829</v>
      </c>
      <c r="M85" s="610" t="s">
        <v>541</v>
      </c>
      <c r="N85" s="610">
        <v>411.10000000000002</v>
      </c>
    </row>
    <row r="86" spans="1:14" ht="14.5">
      <c r="A86" s="496">
        <f t="shared" si="8"/>
        <v>33</v>
      </c>
      <c r="B86" s="496">
        <v>2023</v>
      </c>
      <c r="C86" s="480" t="s">
        <v>671</v>
      </c>
      <c r="E86" s="265"/>
      <c r="F86" s="265"/>
      <c r="G86" s="265"/>
      <c r="H86" s="502" t="s">
        <v>669</v>
      </c>
      <c r="I86" s="502" t="s">
        <v>669</v>
      </c>
      <c r="J86" s="263"/>
      <c r="K86" s="506">
        <f t="shared" si="7"/>
        <v>0</v>
      </c>
      <c r="L86" s="610" t="s">
        <v>830</v>
      </c>
      <c r="M86" s="610" t="s">
        <v>541</v>
      </c>
      <c r="N86" s="610">
        <v>411.10000000000002</v>
      </c>
    </row>
    <row r="87" spans="1:14" ht="14.5">
      <c r="A87" s="496">
        <f t="shared" si="8"/>
        <v>34</v>
      </c>
      <c r="B87" s="496">
        <v>2023</v>
      </c>
      <c r="C87" s="480" t="str">
        <f>C86</f>
        <v>Property Book-Tax Timing Difference - Account 283</v>
      </c>
      <c r="E87" s="265"/>
      <c r="F87" s="265"/>
      <c r="G87" s="265"/>
      <c r="H87" s="502" t="s">
        <v>669</v>
      </c>
      <c r="I87" s="502" t="s">
        <v>669</v>
      </c>
      <c r="J87" s="263"/>
      <c r="K87" s="506">
        <f t="shared" si="7"/>
        <v>0</v>
      </c>
      <c r="L87" s="610" t="s">
        <v>829</v>
      </c>
      <c r="M87" s="610" t="s">
        <v>847</v>
      </c>
      <c r="N87" s="610">
        <v>410.10000000000002</v>
      </c>
    </row>
    <row r="88" spans="1:14" ht="14.5">
      <c r="A88" s="496">
        <f t="shared" si="8"/>
        <v>35</v>
      </c>
      <c r="B88" s="496">
        <v>2023</v>
      </c>
      <c r="C88" s="480" t="s">
        <v>671</v>
      </c>
      <c r="E88" s="265"/>
      <c r="F88" s="265"/>
      <c r="G88" s="265"/>
      <c r="H88" s="502" t="s">
        <v>669</v>
      </c>
      <c r="I88" s="502" t="s">
        <v>669</v>
      </c>
      <c r="J88" s="263"/>
      <c r="K88" s="506">
        <f t="shared" si="7"/>
        <v>0</v>
      </c>
      <c r="L88" s="610" t="s">
        <v>830</v>
      </c>
      <c r="M88" s="610" t="s">
        <v>847</v>
      </c>
      <c r="N88" s="610">
        <v>410.10000000000002</v>
      </c>
    </row>
    <row r="89" spans="1:14" ht="14.5">
      <c r="A89" s="496">
        <f t="shared" si="8"/>
        <v>36</v>
      </c>
      <c r="B89" s="496">
        <v>2023</v>
      </c>
      <c r="C89" s="480" t="str">
        <f>C88</f>
        <v>Property Book-Tax Timing Difference - Account 283</v>
      </c>
      <c r="E89" s="265"/>
      <c r="F89" s="265"/>
      <c r="G89" s="265"/>
      <c r="H89" s="502" t="s">
        <v>669</v>
      </c>
      <c r="I89" s="502" t="s">
        <v>669</v>
      </c>
      <c r="J89" s="263"/>
      <c r="K89" s="506">
        <f t="shared" si="7"/>
        <v>0</v>
      </c>
      <c r="L89" s="610" t="s">
        <v>829</v>
      </c>
      <c r="M89" s="610" t="s">
        <v>541</v>
      </c>
      <c r="N89" s="610">
        <v>411.10000000000002</v>
      </c>
    </row>
    <row r="90" spans="1:14" ht="14.5">
      <c r="A90" s="496">
        <f t="shared" si="8"/>
        <v>37</v>
      </c>
      <c r="B90" s="496"/>
      <c r="C90" s="480" t="s">
        <v>691</v>
      </c>
      <c r="E90" s="264">
        <v>-137310.47</v>
      </c>
      <c r="F90" s="264">
        <v>-137310.47</v>
      </c>
      <c r="G90" s="264"/>
      <c r="H90" s="502"/>
      <c r="I90" s="502"/>
      <c r="J90" s="264"/>
      <c r="K90" s="509">
        <f t="shared" si="9" ref="K90">(F90+G90)-J90</f>
        <v>-137310.47</v>
      </c>
      <c r="L90" s="609" t="s">
        <v>852</v>
      </c>
      <c r="M90" s="609" t="s">
        <v>847</v>
      </c>
      <c r="N90" s="609">
        <v>410.10000000000002</v>
      </c>
    </row>
    <row r="91" spans="1:13" ht="14.5">
      <c r="A91" s="496">
        <f>A90+1</f>
        <v>38</v>
      </c>
      <c r="B91" s="496"/>
      <c r="C91" s="450" t="str">
        <f>"Total Property (Total of lines "&amp;A78&amp;" thru "&amp;A90&amp;")"</f>
        <v>Total Property (Total of lines 25 thru 37)</v>
      </c>
      <c r="E91" s="455">
        <f>SUM(E78:E90)</f>
        <v>-1268123.9299999999</v>
      </c>
      <c r="F91" s="455">
        <f>SUM(F78:F90)</f>
        <v>-1268123.9299999999</v>
      </c>
      <c r="G91" s="455">
        <f t="shared" si="10" ref="G91">SUM(G78:G90)</f>
        <v>0</v>
      </c>
      <c r="H91" s="452"/>
      <c r="I91" s="452"/>
      <c r="J91" s="455">
        <f>SUM(J78:J90)</f>
        <v>0</v>
      </c>
      <c r="K91" s="455">
        <f>SUM(K78:K90)</f>
        <v>-1268123.9299999999</v>
      </c>
      <c r="L91" s="508"/>
      <c r="M91" s="508"/>
    </row>
    <row r="92" spans="3:13" ht="14.5">
      <c r="C92" s="453"/>
      <c r="F92" s="510"/>
      <c r="G92" s="510"/>
      <c r="H92" s="452"/>
      <c r="I92" s="452"/>
      <c r="J92" s="456"/>
      <c r="K92" s="455"/>
      <c r="L92" s="508"/>
      <c r="M92" s="508"/>
    </row>
    <row r="93" spans="14:14" s="0" customFormat="1" ht="15.5">
      <c r="N93" s="440" t="s">
        <v>692</v>
      </c>
    </row>
    <row r="94" spans="14:14" s="0" customFormat="1" ht="15.5">
      <c r="N94" s="462" t="s">
        <v>854</v>
      </c>
    </row>
    <row r="95" spans="14:14" s="0" customFormat="1" ht="15.5">
      <c r="N95" s="440" t="str">
        <f>$N$3</f>
        <v>For the 12 months ended 12/31/2022</v>
      </c>
    </row>
    <row r="96" spans="14:14" s="0" customFormat="1" ht="15.5">
      <c r="N96" s="440"/>
    </row>
    <row r="97" spans="2:14" ht="14.5">
      <c r="B97" s="483" t="s">
        <v>652</v>
      </c>
      <c r="C97" s="483" t="s">
        <v>653</v>
      </c>
      <c r="D97" s="504"/>
      <c r="E97" s="483" t="s">
        <v>654</v>
      </c>
      <c r="F97" s="483" t="s">
        <v>655</v>
      </c>
      <c r="G97" s="483" t="s">
        <v>656</v>
      </c>
      <c r="H97" s="483" t="s">
        <v>657</v>
      </c>
      <c r="I97" s="483" t="s">
        <v>658</v>
      </c>
      <c r="J97" s="483" t="s">
        <v>659</v>
      </c>
      <c r="K97" s="483" t="s">
        <v>843</v>
      </c>
      <c r="L97" s="483" t="s">
        <v>844</v>
      </c>
      <c r="M97" s="483" t="s">
        <v>848</v>
      </c>
      <c r="N97" s="483" t="s">
        <v>853</v>
      </c>
    </row>
    <row r="98" spans="1:14" ht="112.5" customHeight="1">
      <c r="A98" s="470" t="s">
        <v>255</v>
      </c>
      <c r="B98" s="501" t="s">
        <v>869</v>
      </c>
      <c r="C98" s="444" t="s">
        <v>660</v>
      </c>
      <c r="E98" s="444"/>
      <c r="F98" s="444"/>
      <c r="G98" s="444"/>
      <c r="H98" s="444"/>
      <c r="I98" s="444"/>
      <c r="J98" s="444" t="s">
        <v>892</v>
      </c>
      <c r="K98" s="444" t="s">
        <v>896</v>
      </c>
      <c r="L98" s="444" t="s">
        <v>826</v>
      </c>
      <c r="M98" s="444" t="s">
        <v>846</v>
      </c>
      <c r="N98" s="444" t="s">
        <v>849</v>
      </c>
    </row>
    <row r="99" spans="3:10" ht="14.5">
      <c r="C99" s="453"/>
      <c r="F99" s="452"/>
      <c r="G99" s="452"/>
      <c r="H99" s="452"/>
      <c r="I99" s="452"/>
      <c r="J99" s="451"/>
    </row>
    <row r="100" spans="1:13" ht="14.5">
      <c r="A100" s="496">
        <v>39</v>
      </c>
      <c r="C100" s="453" t="s">
        <v>897</v>
      </c>
      <c r="F100" s="510"/>
      <c r="G100" s="510"/>
      <c r="H100" s="452"/>
      <c r="I100" s="452"/>
      <c r="J100" s="457"/>
      <c r="K100" s="455"/>
      <c r="L100" s="508"/>
      <c r="M100" s="508"/>
    </row>
    <row r="101" spans="3:10" ht="14.5">
      <c r="C101" s="453"/>
      <c r="F101" s="452"/>
      <c r="G101" s="452"/>
      <c r="H101" s="452"/>
      <c r="I101" s="452"/>
      <c r="J101" s="451"/>
    </row>
    <row r="102" spans="1:14" ht="14.5">
      <c r="A102" s="496">
        <f>A100+1</f>
        <v>40</v>
      </c>
      <c r="C102" s="450" t="s">
        <v>868</v>
      </c>
      <c r="D102" s="505"/>
      <c r="E102" s="505"/>
      <c r="F102" s="463"/>
      <c r="G102" s="452"/>
      <c r="H102" s="452"/>
      <c r="I102" s="452"/>
      <c r="J102" s="464">
        <f>J91+J34+J100+J75+J50</f>
        <v>-4746788.9477929743</v>
      </c>
      <c r="L102" s="507"/>
      <c r="M102" s="507"/>
      <c r="N102" s="507"/>
    </row>
    <row r="103" spans="3:12" ht="14.5">
      <c r="C103" s="453"/>
      <c r="F103" s="452"/>
      <c r="G103" s="452"/>
      <c r="H103" s="452"/>
      <c r="I103" s="452"/>
      <c r="J103" s="451"/>
      <c r="L103" s="508"/>
    </row>
    <row r="104" spans="1:12" ht="14.5">
      <c r="A104" s="496">
        <f>A102+1</f>
        <v>41</v>
      </c>
      <c r="C104" s="450" t="s">
        <v>966</v>
      </c>
      <c r="F104" s="452"/>
      <c r="G104" s="452"/>
      <c r="H104" s="452"/>
      <c r="I104" s="452"/>
      <c r="J104" s="451"/>
      <c r="K104" s="464">
        <f>K91+K34+K75+K50</f>
        <v>-337197449.46744037</v>
      </c>
      <c r="L104" s="508"/>
    </row>
    <row r="105" spans="3:12" ht="14.5">
      <c r="C105" s="453"/>
      <c r="F105" s="452"/>
      <c r="G105" s="452"/>
      <c r="H105" s="452"/>
      <c r="I105" s="452"/>
      <c r="J105" s="451"/>
      <c r="L105" s="508"/>
    </row>
    <row r="106" spans="1:12" ht="14.5">
      <c r="A106" s="496">
        <f>A104+1</f>
        <v>42</v>
      </c>
      <c r="C106" s="450" t="s">
        <v>965</v>
      </c>
      <c r="F106" s="452"/>
      <c r="G106" s="452"/>
      <c r="H106" s="452"/>
      <c r="I106" s="452"/>
      <c r="J106" s="451"/>
      <c r="K106" s="451">
        <f>SUM(-'Appendix G(3) - ADIT'!M65,-'Appendix G(3) - ADIT'!M61,'Appendix G(3) - ADIT'!L54,'Appendix G(3) - ADIT'!L50,'Appendix G(3) - ADIT'!O43,'Appendix G(3) - ADIT'!O39)</f>
        <v>-337197449.46744031</v>
      </c>
      <c r="L106" s="508"/>
    </row>
    <row r="107" spans="3:12" ht="14.5">
      <c r="C107" s="453"/>
      <c r="F107" s="452"/>
      <c r="G107" s="452"/>
      <c r="H107" s="452"/>
      <c r="I107" s="452"/>
      <c r="J107" s="451"/>
      <c r="L107" s="508"/>
    </row>
    <row r="108" spans="1:10" ht="14.5">
      <c r="A108" s="499" t="s">
        <v>364</v>
      </c>
      <c r="F108" s="452"/>
      <c r="G108" s="452"/>
      <c r="H108" s="452"/>
      <c r="I108" s="452"/>
      <c r="J108" s="451"/>
    </row>
    <row r="109" spans="1:9" ht="14.5">
      <c r="A109" s="499" t="s">
        <v>141</v>
      </c>
      <c r="B109" s="480" t="s">
        <v>871</v>
      </c>
      <c r="E109" s="460"/>
      <c r="F109" s="460"/>
      <c r="G109" s="460"/>
      <c r="H109" s="460"/>
      <c r="I109" s="451"/>
    </row>
    <row r="110" spans="1:15" ht="73.75" customHeight="1">
      <c r="A110" s="511" t="s">
        <v>142</v>
      </c>
      <c r="B110" s="679" t="s">
        <v>886</v>
      </c>
      <c r="C110" s="679"/>
      <c r="D110" s="679"/>
      <c r="E110" s="679"/>
      <c r="F110" s="679"/>
      <c r="G110" s="679"/>
      <c r="H110" s="679"/>
      <c r="I110" s="679"/>
      <c r="J110" s="679"/>
      <c r="K110" s="679"/>
      <c r="L110" s="679"/>
      <c r="M110" s="679"/>
      <c r="N110" s="679"/>
      <c r="O110" s="500"/>
    </row>
    <row r="111" spans="1:11" ht="14.5">
      <c r="A111" s="511" t="s">
        <v>143</v>
      </c>
      <c r="B111" s="512" t="s">
        <v>735</v>
      </c>
      <c r="C111" s="512"/>
      <c r="D111" s="512"/>
      <c r="E111" s="458"/>
      <c r="F111" s="458"/>
      <c r="G111" s="458"/>
      <c r="H111" s="458"/>
      <c r="I111" s="459"/>
      <c r="J111" s="512"/>
      <c r="K111" s="512"/>
    </row>
    <row r="112" spans="1:11" ht="14.5">
      <c r="A112" s="511" t="s">
        <v>144</v>
      </c>
      <c r="B112" s="512" t="s">
        <v>672</v>
      </c>
      <c r="C112" s="512"/>
      <c r="D112" s="512"/>
      <c r="E112" s="458"/>
      <c r="F112" s="458"/>
      <c r="G112" s="458"/>
      <c r="H112" s="458"/>
      <c r="I112" s="459"/>
      <c r="J112" s="512"/>
      <c r="K112" s="512"/>
    </row>
    <row r="113" spans="1:11" ht="14.5">
      <c r="A113" s="511" t="s">
        <v>145</v>
      </c>
      <c r="B113" s="512" t="s">
        <v>703</v>
      </c>
      <c r="C113" s="512"/>
      <c r="D113" s="512"/>
      <c r="E113" s="458"/>
      <c r="F113" s="458"/>
      <c r="G113" s="458"/>
      <c r="H113" s="458"/>
      <c r="I113" s="459"/>
      <c r="J113" s="512"/>
      <c r="K113" s="512"/>
    </row>
    <row r="114" spans="1:11" ht="14.5">
      <c r="A114" s="511"/>
      <c r="B114" s="512" t="s">
        <v>673</v>
      </c>
      <c r="D114" s="512"/>
      <c r="E114" s="512" t="s">
        <v>704</v>
      </c>
      <c r="F114" s="458"/>
      <c r="G114" s="458"/>
      <c r="H114" s="458"/>
      <c r="I114" s="459"/>
      <c r="J114" s="512"/>
      <c r="K114" s="512"/>
    </row>
    <row r="115" spans="1:11" ht="14.5">
      <c r="A115" s="511"/>
      <c r="B115" s="512" t="s">
        <v>674</v>
      </c>
      <c r="C115" s="512"/>
      <c r="D115" s="512"/>
      <c r="E115" s="458"/>
      <c r="F115" s="458"/>
      <c r="G115" s="458"/>
      <c r="H115" s="458"/>
      <c r="I115" s="459"/>
      <c r="J115" s="512"/>
      <c r="K115" s="512"/>
    </row>
    <row r="116" spans="1:11" ht="14.5">
      <c r="A116" s="511" t="s">
        <v>146</v>
      </c>
      <c r="B116" s="512" t="s">
        <v>870</v>
      </c>
      <c r="C116" s="512"/>
      <c r="D116" s="512"/>
      <c r="E116" s="458"/>
      <c r="F116" s="458"/>
      <c r="G116" s="458"/>
      <c r="H116" s="458"/>
      <c r="I116" s="459"/>
      <c r="J116" s="512"/>
      <c r="K116" s="512"/>
    </row>
    <row r="117" spans="1:11" ht="14.5">
      <c r="A117" s="511" t="s">
        <v>147</v>
      </c>
      <c r="B117" s="512" t="s">
        <v>694</v>
      </c>
      <c r="C117" s="512"/>
      <c r="D117" s="512"/>
      <c r="E117" s="458"/>
      <c r="F117" s="458"/>
      <c r="G117" s="458"/>
      <c r="H117" s="458"/>
      <c r="I117" s="459"/>
      <c r="J117" s="512"/>
      <c r="K117" s="512"/>
    </row>
    <row r="118" spans="1:14" ht="31.25" customHeight="1">
      <c r="A118" s="511" t="s">
        <v>149</v>
      </c>
      <c r="B118" s="680" t="s">
        <v>675</v>
      </c>
      <c r="C118" s="680"/>
      <c r="D118" s="680"/>
      <c r="E118" s="680"/>
      <c r="F118" s="680"/>
      <c r="G118" s="680"/>
      <c r="H118" s="680"/>
      <c r="I118" s="680"/>
      <c r="J118" s="680"/>
      <c r="K118" s="680"/>
      <c r="L118" s="680"/>
      <c r="M118" s="680"/>
      <c r="N118" s="680"/>
    </row>
    <row r="119" spans="1:9" ht="14.5">
      <c r="A119" s="499" t="s">
        <v>150</v>
      </c>
      <c r="B119" s="480" t="s">
        <v>859</v>
      </c>
      <c r="E119" s="460"/>
      <c r="F119" s="460"/>
      <c r="G119" s="460"/>
      <c r="H119" s="460"/>
      <c r="I119" s="451"/>
    </row>
    <row r="120" spans="6:10" ht="14.5">
      <c r="F120" s="452"/>
      <c r="G120" s="452"/>
      <c r="H120" s="452"/>
      <c r="I120" s="452"/>
      <c r="J120" s="451"/>
    </row>
    <row r="121" spans="6:10" ht="14.5">
      <c r="F121" s="452"/>
      <c r="G121" s="452"/>
      <c r="H121" s="452"/>
      <c r="I121" s="452"/>
      <c r="J121" s="451"/>
    </row>
    <row r="122" spans="6:10" ht="14.5">
      <c r="F122" s="452"/>
      <c r="G122" s="452"/>
      <c r="H122" s="452"/>
      <c r="I122" s="452"/>
      <c r="J122" s="451"/>
    </row>
    <row r="123" spans="6:10" ht="14.5">
      <c r="F123" s="452"/>
      <c r="G123" s="452"/>
      <c r="H123" s="452"/>
      <c r="I123" s="452"/>
      <c r="J123" s="451"/>
    </row>
    <row r="124" spans="6:10" ht="14.5">
      <c r="F124" s="452"/>
      <c r="G124" s="452"/>
      <c r="H124" s="452"/>
      <c r="I124" s="452"/>
      <c r="J124" s="451"/>
    </row>
    <row r="125" spans="6:8" ht="14.5">
      <c r="F125" s="452"/>
      <c r="G125" s="452"/>
      <c r="H125" s="452"/>
    </row>
  </sheetData>
  <mergeCells count="4">
    <mergeCell ref="B110:N110"/>
    <mergeCell ref="B118:N118"/>
    <mergeCell ref="C5:K5"/>
    <mergeCell ref="C6:K6"/>
  </mergeCells>
  <pageMargins left="0.7" right="0.7" top="0.75" bottom="0.75" header="0.3" footer="0.3"/>
  <pageSetup orientation="portrait" scale="34" r:id="rId1"/>
  <rowBreaks count="2" manualBreakCount="2">
    <brk id="51" max="16383" man="1"/>
    <brk id="92" max="1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sheetPr codeName="Sheet23"/>
  <dimension ref="A1:AL134"/>
  <sheetViews>
    <sheetView zoomScale="75" zoomScaleNormal="75" zoomScaleSheetLayoutView="70" workbookViewId="0" topLeftCell="A1">
      <selection pane="topLeft" activeCell="E2" sqref="E2"/>
    </sheetView>
  </sheetViews>
  <sheetFormatPr defaultColWidth="7.45714285714286" defaultRowHeight="14.5"/>
  <cols>
    <col min="1" max="1" width="5.21428571428571" style="484" customWidth="1"/>
    <col min="2" max="2" width="8.14285714285714" style="484" customWidth="1"/>
    <col min="3" max="4" width="2.14285714285714" style="481" customWidth="1"/>
    <col min="5" max="5" width="49.2142857142857" style="481" customWidth="1"/>
    <col min="6" max="8" width="15.2142857142857" style="481" customWidth="1"/>
    <col min="9" max="9" width="15.1428571428571" style="481" customWidth="1"/>
    <col min="10" max="10" width="18.8571428571429" style="481" customWidth="1"/>
    <col min="11" max="12" width="15.2142857142857" style="481" customWidth="1"/>
    <col min="13" max="13" width="19.5" style="481" customWidth="1"/>
    <col min="14" max="14" width="10.4285714285714" style="482" customWidth="1"/>
    <col min="15" max="15" width="20" style="481" customWidth="1"/>
    <col min="16" max="16384" width="7.42857142857143" style="481"/>
  </cols>
  <sheetData>
    <row r="1" spans="15:15" ht="31.75" customHeight="1">
      <c r="O1" s="3" t="s">
        <v>856</v>
      </c>
    </row>
    <row r="2" spans="15:15" ht="15.5">
      <c r="O2" s="466" t="s">
        <v>858</v>
      </c>
    </row>
    <row r="3" spans="15:15" ht="15.5">
      <c r="O3" s="3" t="str">
        <f>'Attachment H-21-A ATSI '!K4</f>
        <v>For the 12 months ended 12/31/2022</v>
      </c>
    </row>
    <row r="4" spans="5:13" ht="14.5">
      <c r="E4" s="485"/>
      <c r="M4" s="486"/>
    </row>
    <row r="5" spans="1:15" s="405" customFormat="1" ht="18.65" customHeight="1">
      <c r="A5" s="622"/>
      <c r="B5" s="623" t="s">
        <v>652</v>
      </c>
      <c r="C5" s="624"/>
      <c r="D5" s="624"/>
      <c r="E5" s="623" t="s">
        <v>653</v>
      </c>
      <c r="F5" s="623" t="s">
        <v>654</v>
      </c>
      <c r="G5" s="623" t="s">
        <v>655</v>
      </c>
      <c r="H5" s="623" t="s">
        <v>656</v>
      </c>
      <c r="I5" s="623" t="s">
        <v>657</v>
      </c>
      <c r="J5" s="623" t="s">
        <v>658</v>
      </c>
      <c r="K5" s="623" t="s">
        <v>659</v>
      </c>
      <c r="L5" s="623" t="s">
        <v>843</v>
      </c>
      <c r="M5" s="623" t="s">
        <v>844</v>
      </c>
      <c r="N5" s="623" t="s">
        <v>848</v>
      </c>
      <c r="O5" s="623" t="s">
        <v>853</v>
      </c>
    </row>
    <row r="6" spans="1:15" ht="60" customHeight="1">
      <c r="A6" s="489"/>
      <c r="B6" s="489"/>
      <c r="C6" s="487"/>
      <c r="D6" s="487"/>
      <c r="E6" s="487"/>
      <c r="F6" s="683" t="s">
        <v>881</v>
      </c>
      <c r="G6" s="684"/>
      <c r="H6" s="685"/>
      <c r="I6" s="488" t="s">
        <v>882</v>
      </c>
      <c r="J6" s="488" t="s">
        <v>883</v>
      </c>
      <c r="K6" s="686" t="s">
        <v>884</v>
      </c>
      <c r="L6" s="687"/>
      <c r="M6" s="688"/>
      <c r="N6" s="625"/>
      <c r="O6" s="625"/>
    </row>
    <row r="7" spans="1:15" ht="70.25" customHeight="1">
      <c r="A7" s="626" t="s">
        <v>255</v>
      </c>
      <c r="B7" s="626" t="s">
        <v>869</v>
      </c>
      <c r="C7" s="627"/>
      <c r="D7" s="627"/>
      <c r="E7" s="489" t="s">
        <v>880</v>
      </c>
      <c r="F7" s="490" t="s">
        <v>1058</v>
      </c>
      <c r="G7" s="490" t="s">
        <v>1059</v>
      </c>
      <c r="H7" s="490" t="s">
        <v>1060</v>
      </c>
      <c r="I7" s="488" t="s">
        <v>824</v>
      </c>
      <c r="J7" s="488" t="s">
        <v>885</v>
      </c>
      <c r="K7" s="491" t="s">
        <v>825</v>
      </c>
      <c r="L7" s="490" t="s">
        <v>1057</v>
      </c>
      <c r="M7" s="488" t="s">
        <v>875</v>
      </c>
      <c r="N7" s="492" t="s">
        <v>826</v>
      </c>
      <c r="O7" s="493" t="s">
        <v>967</v>
      </c>
    </row>
    <row r="8" spans="1:15" ht="14.5">
      <c r="A8" s="489"/>
      <c r="B8" s="489"/>
      <c r="C8" s="628" t="s">
        <v>827</v>
      </c>
      <c r="D8" s="627"/>
      <c r="E8" s="627"/>
      <c r="F8" s="494"/>
      <c r="G8" s="494"/>
      <c r="H8" s="494"/>
      <c r="I8" s="494"/>
      <c r="J8" s="494"/>
      <c r="K8" s="627"/>
      <c r="L8" s="494"/>
      <c r="M8" s="494"/>
      <c r="N8" s="487"/>
      <c r="O8" s="627"/>
    </row>
    <row r="9" spans="1:15" ht="14.5">
      <c r="A9" s="629">
        <v>1</v>
      </c>
      <c r="B9" s="489"/>
      <c r="C9" s="627" t="s">
        <v>828</v>
      </c>
      <c r="D9" s="627"/>
      <c r="E9" s="627"/>
      <c r="F9" s="627"/>
      <c r="G9" s="627"/>
      <c r="H9" s="627"/>
      <c r="I9" s="627"/>
      <c r="J9" s="627"/>
      <c r="K9" s="627"/>
      <c r="L9" s="627"/>
      <c r="M9" s="627"/>
      <c r="N9" s="487"/>
      <c r="O9" s="448"/>
    </row>
    <row r="10" spans="1:37" ht="18" customHeight="1">
      <c r="A10" s="629" t="s">
        <v>9</v>
      </c>
      <c r="B10" s="630">
        <v>2023</v>
      </c>
      <c r="C10" s="627"/>
      <c r="D10" s="627"/>
      <c r="E10" s="620" t="s">
        <v>972</v>
      </c>
      <c r="F10" s="621">
        <v>770030.57999999996</v>
      </c>
      <c r="G10" s="621">
        <v>768215.94999999995</v>
      </c>
      <c r="H10" s="621">
        <v>-1814.6300000000047</v>
      </c>
      <c r="I10" s="621">
        <v>1814.6300000000047</v>
      </c>
      <c r="J10" s="631">
        <f>-(H10+I10)</f>
        <v>0</v>
      </c>
      <c r="K10" s="621"/>
      <c r="L10" s="621"/>
      <c r="M10" s="631">
        <f>+L10+K10+J10</f>
        <v>0</v>
      </c>
      <c r="N10" s="632" t="s">
        <v>983</v>
      </c>
      <c r="O10" s="633"/>
      <c r="P10" s="497"/>
      <c r="Q10" s="497"/>
      <c r="R10" s="497"/>
      <c r="S10" s="497"/>
      <c r="T10" s="497"/>
      <c r="U10" s="497"/>
      <c r="V10" s="497"/>
      <c r="W10" s="497"/>
      <c r="X10" s="497"/>
      <c r="Y10" s="497"/>
      <c r="Z10" s="497"/>
      <c r="AA10" s="497"/>
      <c r="AB10" s="497"/>
      <c r="AC10" s="497"/>
      <c r="AD10" s="497"/>
      <c r="AE10" s="497"/>
      <c r="AF10" s="497"/>
      <c r="AG10" s="497"/>
      <c r="AH10" s="497"/>
      <c r="AI10" s="497"/>
      <c r="AJ10" s="497"/>
      <c r="AK10" s="497"/>
    </row>
    <row r="11" spans="1:37" ht="16.75" customHeight="1">
      <c r="A11" s="629" t="s">
        <v>267</v>
      </c>
      <c r="B11" s="630">
        <v>2023</v>
      </c>
      <c r="C11" s="627"/>
      <c r="D11" s="627"/>
      <c r="E11" s="620" t="s">
        <v>973</v>
      </c>
      <c r="F11" s="621">
        <v>-3445.1700000000001</v>
      </c>
      <c r="G11" s="621">
        <v>-3305.1900000000001</v>
      </c>
      <c r="H11" s="621">
        <v>139.98000000000002</v>
      </c>
      <c r="I11" s="621">
        <v>-139.98000000000002</v>
      </c>
      <c r="J11" s="631">
        <f t="shared" si="0" ref="J11:J22">-(H11+I11)</f>
        <v>0</v>
      </c>
      <c r="K11" s="621"/>
      <c r="L11" s="621"/>
      <c r="M11" s="631">
        <f t="shared" si="1" ref="M11:M22">+L11+K11+J11</f>
        <v>0</v>
      </c>
      <c r="N11" s="632" t="s">
        <v>983</v>
      </c>
      <c r="O11" s="633"/>
      <c r="P11" s="497"/>
      <c r="Q11" s="497"/>
      <c r="R11" s="497"/>
      <c r="S11" s="497"/>
      <c r="T11" s="497"/>
      <c r="U11" s="497"/>
      <c r="V11" s="497"/>
      <c r="W11" s="497"/>
      <c r="X11" s="497"/>
      <c r="Y11" s="497"/>
      <c r="Z11" s="497"/>
      <c r="AA11" s="497"/>
      <c r="AB11" s="497"/>
      <c r="AC11" s="497"/>
      <c r="AD11" s="497"/>
      <c r="AE11" s="497"/>
      <c r="AF11" s="497"/>
      <c r="AG11" s="497"/>
      <c r="AH11" s="497"/>
      <c r="AI11" s="497"/>
      <c r="AJ11" s="497"/>
      <c r="AK11" s="497"/>
    </row>
    <row r="12" spans="1:37" ht="29.4" customHeight="1">
      <c r="A12" s="629" t="s">
        <v>268</v>
      </c>
      <c r="B12" s="630">
        <v>2023</v>
      </c>
      <c r="C12" s="627"/>
      <c r="D12" s="627"/>
      <c r="E12" s="620" t="s">
        <v>974</v>
      </c>
      <c r="F12" s="621">
        <v>4167.2399999999998</v>
      </c>
      <c r="G12" s="621">
        <v>4157.4200000000001</v>
      </c>
      <c r="H12" s="621">
        <v>-9.819999999999709</v>
      </c>
      <c r="I12" s="621">
        <v>9.819999999999709</v>
      </c>
      <c r="J12" s="631">
        <f t="shared" si="0"/>
        <v>0</v>
      </c>
      <c r="K12" s="621"/>
      <c r="L12" s="621"/>
      <c r="M12" s="631">
        <f t="shared" si="1"/>
        <v>0</v>
      </c>
      <c r="N12" s="632" t="s">
        <v>983</v>
      </c>
      <c r="O12" s="633"/>
      <c r="P12" s="497"/>
      <c r="Q12" s="497"/>
      <c r="R12" s="497"/>
      <c r="S12" s="497"/>
      <c r="T12" s="497"/>
      <c r="U12" s="497"/>
      <c r="V12" s="497"/>
      <c r="W12" s="497"/>
      <c r="X12" s="497"/>
      <c r="Y12" s="497"/>
      <c r="Z12" s="497"/>
      <c r="AA12" s="497"/>
      <c r="AB12" s="497"/>
      <c r="AC12" s="497"/>
      <c r="AD12" s="497"/>
      <c r="AE12" s="497"/>
      <c r="AF12" s="497"/>
      <c r="AG12" s="497"/>
      <c r="AH12" s="497"/>
      <c r="AI12" s="497"/>
      <c r="AJ12" s="497"/>
      <c r="AK12" s="497"/>
    </row>
    <row r="13" spans="1:37" ht="25.25" customHeight="1">
      <c r="A13" s="629" t="s">
        <v>705</v>
      </c>
      <c r="B13" s="630">
        <v>2023</v>
      </c>
      <c r="C13" s="627"/>
      <c r="D13" s="627"/>
      <c r="E13" s="620" t="s">
        <v>975</v>
      </c>
      <c r="F13" s="621">
        <v>332.77999999999997</v>
      </c>
      <c r="G13" s="621">
        <v>319.25999999999999</v>
      </c>
      <c r="H13" s="621">
        <v>-13.519999999999982</v>
      </c>
      <c r="I13" s="621">
        <v>13.519999999999982</v>
      </c>
      <c r="J13" s="631">
        <f t="shared" si="0"/>
        <v>0</v>
      </c>
      <c r="K13" s="621"/>
      <c r="L13" s="621"/>
      <c r="M13" s="631">
        <f t="shared" si="1"/>
        <v>0</v>
      </c>
      <c r="N13" s="632" t="s">
        <v>983</v>
      </c>
      <c r="O13" s="633"/>
      <c r="P13" s="497"/>
      <c r="Q13" s="497"/>
      <c r="R13" s="497"/>
      <c r="S13" s="497"/>
      <c r="T13" s="497"/>
      <c r="U13" s="497"/>
      <c r="V13" s="497"/>
      <c r="W13" s="497"/>
      <c r="X13" s="497"/>
      <c r="Y13" s="497"/>
      <c r="Z13" s="497"/>
      <c r="AA13" s="497"/>
      <c r="AB13" s="497"/>
      <c r="AC13" s="497"/>
      <c r="AD13" s="497"/>
      <c r="AE13" s="497"/>
      <c r="AF13" s="497"/>
      <c r="AG13" s="497"/>
      <c r="AH13" s="497"/>
      <c r="AI13" s="497"/>
      <c r="AJ13" s="497"/>
      <c r="AK13" s="497"/>
    </row>
    <row r="14" spans="1:37" ht="25.25" customHeight="1">
      <c r="A14" s="629" t="s">
        <v>706</v>
      </c>
      <c r="B14" s="630">
        <v>2023</v>
      </c>
      <c r="C14" s="627"/>
      <c r="D14" s="627"/>
      <c r="E14" s="620" t="s">
        <v>938</v>
      </c>
      <c r="F14" s="621">
        <v>209112.84</v>
      </c>
      <c r="G14" s="621">
        <v>208620.04999999999</v>
      </c>
      <c r="H14" s="621">
        <v>-492.79000000000815</v>
      </c>
      <c r="I14" s="621">
        <v>0</v>
      </c>
      <c r="J14" s="631">
        <f t="shared" si="0"/>
        <v>492.79000000000815</v>
      </c>
      <c r="K14" s="621"/>
      <c r="L14" s="621"/>
      <c r="M14" s="631">
        <f t="shared" si="1"/>
        <v>492.79000000000815</v>
      </c>
      <c r="N14" s="632" t="s">
        <v>829</v>
      </c>
      <c r="O14" s="633">
        <v>182.30000000000001</v>
      </c>
      <c r="P14" s="497"/>
      <c r="Q14" s="497"/>
      <c r="R14" s="497"/>
      <c r="S14" s="497"/>
      <c r="T14" s="497"/>
      <c r="U14" s="497"/>
      <c r="V14" s="497"/>
      <c r="W14" s="497"/>
      <c r="X14" s="497"/>
      <c r="Y14" s="497"/>
      <c r="Z14" s="497"/>
      <c r="AA14" s="497"/>
      <c r="AB14" s="497"/>
      <c r="AC14" s="497"/>
      <c r="AD14" s="497"/>
      <c r="AE14" s="497"/>
      <c r="AF14" s="497"/>
      <c r="AG14" s="497"/>
      <c r="AH14" s="497"/>
      <c r="AI14" s="497"/>
      <c r="AJ14" s="497"/>
      <c r="AK14" s="497"/>
    </row>
    <row r="15" spans="1:37" ht="24.65" customHeight="1">
      <c r="A15" s="629" t="s">
        <v>707</v>
      </c>
      <c r="B15" s="630">
        <v>2023</v>
      </c>
      <c r="C15" s="627"/>
      <c r="D15" s="627"/>
      <c r="E15" s="620" t="s">
        <v>976</v>
      </c>
      <c r="F15" s="621">
        <v>-2108759.9300000002</v>
      </c>
      <c r="G15" s="621">
        <v>-2103790.5099999998</v>
      </c>
      <c r="H15" s="621">
        <v>4969.4200000003912</v>
      </c>
      <c r="I15" s="621">
        <v>-4969.4200000003912</v>
      </c>
      <c r="J15" s="631">
        <f t="shared" si="0"/>
        <v>0</v>
      </c>
      <c r="K15" s="621"/>
      <c r="L15" s="621"/>
      <c r="M15" s="631">
        <f t="shared" si="1"/>
        <v>0</v>
      </c>
      <c r="N15" s="632" t="s">
        <v>983</v>
      </c>
      <c r="O15" s="633"/>
      <c r="P15" s="497"/>
      <c r="Q15" s="497"/>
      <c r="R15" s="497"/>
      <c r="S15" s="497"/>
      <c r="T15" s="497"/>
      <c r="U15" s="497"/>
      <c r="V15" s="497"/>
      <c r="W15" s="497"/>
      <c r="X15" s="497"/>
      <c r="Y15" s="497"/>
      <c r="Z15" s="497"/>
      <c r="AA15" s="497"/>
      <c r="AB15" s="497"/>
      <c r="AC15" s="497"/>
      <c r="AD15" s="497"/>
      <c r="AE15" s="497"/>
      <c r="AF15" s="497"/>
      <c r="AG15" s="497"/>
      <c r="AH15" s="497"/>
      <c r="AI15" s="497"/>
      <c r="AJ15" s="497"/>
      <c r="AK15" s="497"/>
    </row>
    <row r="16" spans="1:37" ht="22.25" customHeight="1">
      <c r="A16" s="629" t="s">
        <v>708</v>
      </c>
      <c r="B16" s="630">
        <v>2023</v>
      </c>
      <c r="C16" s="627"/>
      <c r="D16" s="627"/>
      <c r="E16" s="620" t="s">
        <v>940</v>
      </c>
      <c r="F16" s="621">
        <v>709359.17000000004</v>
      </c>
      <c r="G16" s="621">
        <v>638352.25</v>
      </c>
      <c r="H16" s="621">
        <v>-71006.920000000042</v>
      </c>
      <c r="I16" s="621">
        <v>0</v>
      </c>
      <c r="J16" s="631">
        <f t="shared" si="0"/>
        <v>71006.920000000042</v>
      </c>
      <c r="K16" s="621"/>
      <c r="L16" s="621"/>
      <c r="M16" s="631">
        <f>+L16+K16+J16</f>
        <v>71006.920000000042</v>
      </c>
      <c r="N16" s="632" t="s">
        <v>829</v>
      </c>
      <c r="O16" s="633">
        <v>182.30000000000001</v>
      </c>
      <c r="P16" s="497"/>
      <c r="Q16" s="497"/>
      <c r="R16" s="497"/>
      <c r="S16" s="497"/>
      <c r="T16" s="497"/>
      <c r="U16" s="497"/>
      <c r="V16" s="497"/>
      <c r="W16" s="497"/>
      <c r="X16" s="497"/>
      <c r="Y16" s="497"/>
      <c r="Z16" s="497"/>
      <c r="AA16" s="497"/>
      <c r="AB16" s="497"/>
      <c r="AC16" s="497"/>
      <c r="AD16" s="497"/>
      <c r="AE16" s="497"/>
      <c r="AF16" s="497"/>
      <c r="AG16" s="497"/>
      <c r="AH16" s="497"/>
      <c r="AI16" s="497"/>
      <c r="AJ16" s="497"/>
      <c r="AK16" s="497"/>
    </row>
    <row r="17" spans="1:37" ht="21" customHeight="1">
      <c r="A17" s="629" t="s">
        <v>709</v>
      </c>
      <c r="B17" s="630">
        <v>2023</v>
      </c>
      <c r="C17" s="627"/>
      <c r="D17" s="627"/>
      <c r="E17" s="620" t="s">
        <v>977</v>
      </c>
      <c r="F17" s="621">
        <v>668024.23999999999</v>
      </c>
      <c r="G17" s="621">
        <v>666450</v>
      </c>
      <c r="H17" s="621">
        <v>-1574.2399999999907</v>
      </c>
      <c r="I17" s="621">
        <v>1574.2399999999907</v>
      </c>
      <c r="J17" s="631">
        <f t="shared" si="0"/>
        <v>0</v>
      </c>
      <c r="K17" s="621"/>
      <c r="L17" s="621"/>
      <c r="M17" s="631">
        <f t="shared" si="1"/>
        <v>0</v>
      </c>
      <c r="N17" s="632" t="s">
        <v>983</v>
      </c>
      <c r="O17" s="633"/>
      <c r="P17" s="497"/>
      <c r="Q17" s="497"/>
      <c r="R17" s="497"/>
      <c r="S17" s="497"/>
      <c r="T17" s="497"/>
      <c r="U17" s="497"/>
      <c r="V17" s="497"/>
      <c r="W17" s="497"/>
      <c r="X17" s="497"/>
      <c r="Y17" s="497"/>
      <c r="Z17" s="497"/>
      <c r="AA17" s="497"/>
      <c r="AB17" s="497"/>
      <c r="AC17" s="497"/>
      <c r="AD17" s="497"/>
      <c r="AE17" s="497"/>
      <c r="AF17" s="497"/>
      <c r="AG17" s="497"/>
      <c r="AH17" s="497"/>
      <c r="AI17" s="497"/>
      <c r="AJ17" s="497"/>
      <c r="AK17" s="497"/>
    </row>
    <row r="18" spans="1:37" ht="18" customHeight="1">
      <c r="A18" s="629" t="s">
        <v>968</v>
      </c>
      <c r="B18" s="630">
        <v>2023</v>
      </c>
      <c r="C18" s="627"/>
      <c r="D18" s="627"/>
      <c r="E18" s="620" t="s">
        <v>978</v>
      </c>
      <c r="F18" s="621">
        <v>-14808.379999999999</v>
      </c>
      <c r="G18" s="621">
        <v>-14773.49</v>
      </c>
      <c r="H18" s="621">
        <v>34.889999999999418</v>
      </c>
      <c r="I18" s="621">
        <v>-34.889999999999418</v>
      </c>
      <c r="J18" s="631">
        <f t="shared" si="0"/>
        <v>0</v>
      </c>
      <c r="K18" s="621"/>
      <c r="L18" s="621"/>
      <c r="M18" s="631">
        <f t="shared" si="1"/>
        <v>0</v>
      </c>
      <c r="N18" s="632" t="s">
        <v>983</v>
      </c>
      <c r="O18" s="633"/>
      <c r="P18" s="497"/>
      <c r="Q18" s="497"/>
      <c r="R18" s="497"/>
      <c r="S18" s="497"/>
      <c r="T18" s="497"/>
      <c r="U18" s="497"/>
      <c r="V18" s="497"/>
      <c r="W18" s="497"/>
      <c r="X18" s="497"/>
      <c r="Y18" s="497"/>
      <c r="Z18" s="497"/>
      <c r="AA18" s="497"/>
      <c r="AB18" s="497"/>
      <c r="AC18" s="497"/>
      <c r="AD18" s="497"/>
      <c r="AE18" s="497"/>
      <c r="AF18" s="497"/>
      <c r="AG18" s="497"/>
      <c r="AH18" s="497"/>
      <c r="AI18" s="497"/>
      <c r="AJ18" s="497"/>
      <c r="AK18" s="497"/>
    </row>
    <row r="19" spans="1:37" ht="18.65" customHeight="1">
      <c r="A19" s="629" t="s">
        <v>969</v>
      </c>
      <c r="B19" s="630">
        <v>2023</v>
      </c>
      <c r="C19" s="627"/>
      <c r="D19" s="627"/>
      <c r="E19" s="620" t="s">
        <v>979</v>
      </c>
      <c r="F19" s="621">
        <v>10125578.07</v>
      </c>
      <c r="G19" s="621">
        <v>10101716.529999999</v>
      </c>
      <c r="H19" s="621">
        <v>-23861.540000000969</v>
      </c>
      <c r="I19" s="621">
        <v>23861.540000000969</v>
      </c>
      <c r="J19" s="631">
        <f t="shared" si="0"/>
        <v>0</v>
      </c>
      <c r="K19" s="621"/>
      <c r="L19" s="621"/>
      <c r="M19" s="631">
        <f t="shared" si="1"/>
        <v>0</v>
      </c>
      <c r="N19" s="632" t="s">
        <v>983</v>
      </c>
      <c r="O19" s="633"/>
      <c r="P19" s="497"/>
      <c r="Q19" s="497"/>
      <c r="R19" s="497"/>
      <c r="S19" s="497"/>
      <c r="T19" s="497"/>
      <c r="U19" s="497"/>
      <c r="V19" s="497"/>
      <c r="W19" s="497"/>
      <c r="X19" s="497"/>
      <c r="Y19" s="497"/>
      <c r="Z19" s="497"/>
      <c r="AA19" s="497"/>
      <c r="AB19" s="497"/>
      <c r="AC19" s="497"/>
      <c r="AD19" s="497"/>
      <c r="AE19" s="497"/>
      <c r="AF19" s="497"/>
      <c r="AG19" s="497"/>
      <c r="AH19" s="497"/>
      <c r="AI19" s="497"/>
      <c r="AJ19" s="497"/>
      <c r="AK19" s="497"/>
    </row>
    <row r="20" spans="1:37" ht="20.4" customHeight="1">
      <c r="A20" s="629" t="s">
        <v>970</v>
      </c>
      <c r="B20" s="630">
        <v>2023</v>
      </c>
      <c r="C20" s="627"/>
      <c r="D20" s="627"/>
      <c r="E20" s="620" t="s">
        <v>980</v>
      </c>
      <c r="F20" s="621">
        <v>-9564174.5500000007</v>
      </c>
      <c r="G20" s="621">
        <v>-9541635.9900000002</v>
      </c>
      <c r="H20" s="621">
        <v>22538.560000000522</v>
      </c>
      <c r="I20" s="621">
        <v>-22538.560000000522</v>
      </c>
      <c r="J20" s="631">
        <f t="shared" si="0"/>
        <v>0</v>
      </c>
      <c r="K20" s="621"/>
      <c r="L20" s="621"/>
      <c r="M20" s="631">
        <f t="shared" si="1"/>
        <v>0</v>
      </c>
      <c r="N20" s="632" t="s">
        <v>983</v>
      </c>
      <c r="O20" s="633"/>
      <c r="P20" s="497"/>
      <c r="Q20" s="497"/>
      <c r="R20" s="497"/>
      <c r="S20" s="497"/>
      <c r="T20" s="497"/>
      <c r="U20" s="497"/>
      <c r="V20" s="497"/>
      <c r="W20" s="497"/>
      <c r="X20" s="497"/>
      <c r="Y20" s="497"/>
      <c r="Z20" s="497"/>
      <c r="AA20" s="497"/>
      <c r="AB20" s="497"/>
      <c r="AC20" s="497"/>
      <c r="AD20" s="497"/>
      <c r="AE20" s="497"/>
      <c r="AF20" s="497"/>
      <c r="AG20" s="497"/>
      <c r="AH20" s="497"/>
      <c r="AI20" s="497"/>
      <c r="AJ20" s="497"/>
      <c r="AK20" s="497"/>
    </row>
    <row r="21" spans="1:37" ht="26.4" customHeight="1">
      <c r="A21" s="629" t="s">
        <v>971</v>
      </c>
      <c r="B21" s="630">
        <v>2023</v>
      </c>
      <c r="C21" s="627"/>
      <c r="D21" s="627"/>
      <c r="E21" s="620" t="s">
        <v>981</v>
      </c>
      <c r="F21" s="621">
        <v>3656.02</v>
      </c>
      <c r="G21" s="621">
        <v>3647.4000000000001</v>
      </c>
      <c r="H21" s="621">
        <v>-8.6199999999998909</v>
      </c>
      <c r="I21" s="621">
        <v>8.6199999999998909</v>
      </c>
      <c r="J21" s="631">
        <f t="shared" si="0"/>
        <v>0</v>
      </c>
      <c r="K21" s="621"/>
      <c r="L21" s="621"/>
      <c r="M21" s="631">
        <f t="shared" si="1"/>
        <v>0</v>
      </c>
      <c r="N21" s="632" t="s">
        <v>983</v>
      </c>
      <c r="O21" s="633"/>
      <c r="P21" s="497"/>
      <c r="Q21" s="497"/>
      <c r="R21" s="497"/>
      <c r="S21" s="497"/>
      <c r="T21" s="497"/>
      <c r="U21" s="497"/>
      <c r="V21" s="497"/>
      <c r="W21" s="497"/>
      <c r="X21" s="497"/>
      <c r="Y21" s="497"/>
      <c r="Z21" s="497"/>
      <c r="AA21" s="497"/>
      <c r="AB21" s="497"/>
      <c r="AC21" s="497"/>
      <c r="AD21" s="497"/>
      <c r="AE21" s="497"/>
      <c r="AF21" s="497"/>
      <c r="AG21" s="497"/>
      <c r="AH21" s="497"/>
      <c r="AI21" s="497"/>
      <c r="AJ21" s="497"/>
      <c r="AK21" s="497"/>
    </row>
    <row r="22" spans="1:37" ht="27.65" customHeight="1">
      <c r="A22" s="629" t="s">
        <v>982</v>
      </c>
      <c r="B22" s="630">
        <v>2023</v>
      </c>
      <c r="C22" s="627"/>
      <c r="D22" s="627"/>
      <c r="E22" s="620" t="s">
        <v>954</v>
      </c>
      <c r="F22" s="621">
        <v>-1666776.6100000001</v>
      </c>
      <c r="G22" s="621">
        <v>-1662848.75</v>
      </c>
      <c r="H22" s="621">
        <v>3927.8600000001024</v>
      </c>
      <c r="I22" s="621">
        <v>0</v>
      </c>
      <c r="J22" s="631">
        <f t="shared" si="0"/>
        <v>-3927.8600000001024</v>
      </c>
      <c r="K22" s="621"/>
      <c r="L22" s="621"/>
      <c r="M22" s="631">
        <f t="shared" si="1"/>
        <v>-3927.8600000001024</v>
      </c>
      <c r="N22" s="632" t="s">
        <v>829</v>
      </c>
      <c r="O22" s="633">
        <v>182.30000000000001</v>
      </c>
      <c r="P22" s="497"/>
      <c r="Q22" s="497"/>
      <c r="R22" s="497"/>
      <c r="S22" s="497"/>
      <c r="T22" s="497"/>
      <c r="U22" s="497"/>
      <c r="V22" s="497"/>
      <c r="W22" s="497"/>
      <c r="X22" s="497"/>
      <c r="Y22" s="497"/>
      <c r="Z22" s="497"/>
      <c r="AA22" s="497"/>
      <c r="AB22" s="497"/>
      <c r="AC22" s="497"/>
      <c r="AD22" s="497"/>
      <c r="AE22" s="497"/>
      <c r="AF22" s="497"/>
      <c r="AG22" s="497"/>
      <c r="AH22" s="497"/>
      <c r="AI22" s="497"/>
      <c r="AJ22" s="497"/>
      <c r="AK22" s="497"/>
    </row>
    <row r="23" spans="1:15" ht="14.5">
      <c r="A23" s="629">
        <v>2</v>
      </c>
      <c r="B23" s="489"/>
      <c r="C23" s="627"/>
      <c r="D23" s="627" t="s">
        <v>831</v>
      </c>
      <c r="E23" s="627"/>
      <c r="F23" s="634">
        <f>SUM(F10:F22)</f>
        <v>-867703.70000000135</v>
      </c>
      <c r="G23" s="634">
        <f>SUM(G10:G22)</f>
        <v>-934875.07000000065</v>
      </c>
      <c r="H23" s="634">
        <f>SUM(H10:H22)</f>
        <v>-67171.369999999995</v>
      </c>
      <c r="I23" s="634">
        <f>SUM(I10:I22)</f>
        <v>-400.47999999994772</v>
      </c>
      <c r="J23" s="634">
        <f>SUM(J10:J22)</f>
        <v>67571.849999999948</v>
      </c>
      <c r="K23" s="634">
        <f t="shared" si="2" ref="K23:M23">SUM(K10:K22)</f>
        <v>0</v>
      </c>
      <c r="L23" s="634">
        <f t="shared" si="2"/>
        <v>0</v>
      </c>
      <c r="M23" s="634">
        <f t="shared" si="2"/>
        <v>67571.849999999948</v>
      </c>
      <c r="N23" s="487"/>
      <c r="O23" s="627"/>
    </row>
    <row r="24" spans="1:15" ht="14.5">
      <c r="A24" s="629">
        <v>3</v>
      </c>
      <c r="B24" s="489"/>
      <c r="C24" s="627" t="s">
        <v>832</v>
      </c>
      <c r="D24" s="627"/>
      <c r="E24" s="627"/>
      <c r="F24" s="631"/>
      <c r="G24" s="631"/>
      <c r="H24" s="631"/>
      <c r="I24" s="631"/>
      <c r="J24" s="631"/>
      <c r="K24" s="631"/>
      <c r="L24" s="631"/>
      <c r="M24" s="631"/>
      <c r="N24" s="487"/>
      <c r="O24" s="627"/>
    </row>
    <row r="25" spans="1:15" ht="14.5">
      <c r="A25" s="629" t="s">
        <v>665</v>
      </c>
      <c r="B25" s="630">
        <v>2023</v>
      </c>
      <c r="C25" s="627"/>
      <c r="D25" s="627"/>
      <c r="E25" s="620"/>
      <c r="F25" s="621"/>
      <c r="G25" s="621"/>
      <c r="H25" s="621"/>
      <c r="I25" s="621"/>
      <c r="J25" s="631">
        <f t="shared" si="3" ref="J25">-(H25+I25)</f>
        <v>0</v>
      </c>
      <c r="K25" s="621"/>
      <c r="L25" s="621"/>
      <c r="M25" s="631">
        <v>0</v>
      </c>
      <c r="N25" s="632"/>
      <c r="O25" s="633"/>
    </row>
    <row r="26" spans="1:15" ht="14.5">
      <c r="A26" s="629">
        <v>4</v>
      </c>
      <c r="B26" s="489"/>
      <c r="C26" s="627"/>
      <c r="D26" s="627" t="s">
        <v>833</v>
      </c>
      <c r="E26" s="627"/>
      <c r="F26" s="634">
        <f t="shared" si="4" ref="F26:M26">SUM(F25:F25)</f>
        <v>0</v>
      </c>
      <c r="G26" s="634">
        <f t="shared" si="4"/>
        <v>0</v>
      </c>
      <c r="H26" s="634">
        <f t="shared" si="4"/>
        <v>0</v>
      </c>
      <c r="I26" s="634">
        <f t="shared" si="4"/>
        <v>0</v>
      </c>
      <c r="J26" s="634">
        <f t="shared" si="4"/>
        <v>0</v>
      </c>
      <c r="K26" s="634">
        <f t="shared" si="4"/>
        <v>0</v>
      </c>
      <c r="L26" s="634">
        <f t="shared" si="4"/>
        <v>0</v>
      </c>
      <c r="M26" s="634">
        <f t="shared" si="4"/>
        <v>0</v>
      </c>
      <c r="N26" s="487"/>
      <c r="O26" s="627"/>
    </row>
    <row r="27" spans="1:15" ht="14.5">
      <c r="A27" s="629">
        <v>5</v>
      </c>
      <c r="B27" s="489"/>
      <c r="C27" s="627" t="s">
        <v>834</v>
      </c>
      <c r="D27" s="627"/>
      <c r="E27" s="627"/>
      <c r="F27" s="631"/>
      <c r="G27" s="631"/>
      <c r="H27" s="631"/>
      <c r="I27" s="631"/>
      <c r="J27" s="631"/>
      <c r="K27" s="631"/>
      <c r="L27" s="631"/>
      <c r="M27" s="631"/>
      <c r="N27" s="487"/>
      <c r="O27" s="627"/>
    </row>
    <row r="28" spans="1:37" ht="26.4" customHeight="1">
      <c r="A28" s="629" t="s">
        <v>73</v>
      </c>
      <c r="B28" s="630">
        <v>2023</v>
      </c>
      <c r="C28" s="627"/>
      <c r="D28" s="627"/>
      <c r="E28" s="620" t="s">
        <v>960</v>
      </c>
      <c r="F28" s="621">
        <v>-150454.70000000001</v>
      </c>
      <c r="G28" s="621">
        <v>-150100.14000000001</v>
      </c>
      <c r="H28" s="621">
        <v>354.55999999999767</v>
      </c>
      <c r="I28" s="621">
        <v>0</v>
      </c>
      <c r="J28" s="631">
        <f>-(H28+I28)</f>
        <v>-354.55999999999767</v>
      </c>
      <c r="K28" s="621"/>
      <c r="L28" s="621"/>
      <c r="M28" s="631">
        <f t="shared" si="5" ref="M28:M33">+L28+K28+J28</f>
        <v>-354.55999999999767</v>
      </c>
      <c r="N28" s="632" t="s">
        <v>829</v>
      </c>
      <c r="O28" s="633">
        <v>182.30000000000001</v>
      </c>
      <c r="P28" s="497"/>
      <c r="Q28" s="497"/>
      <c r="R28" s="497"/>
      <c r="S28" s="497"/>
      <c r="T28" s="497"/>
      <c r="U28" s="497"/>
      <c r="V28" s="497"/>
      <c r="W28" s="497"/>
      <c r="X28" s="497"/>
      <c r="Y28" s="497"/>
      <c r="Z28" s="497"/>
      <c r="AA28" s="497"/>
      <c r="AB28" s="497"/>
      <c r="AC28" s="497"/>
      <c r="AD28" s="497"/>
      <c r="AE28" s="497"/>
      <c r="AF28" s="497"/>
      <c r="AG28" s="497"/>
      <c r="AH28" s="497"/>
      <c r="AI28" s="497"/>
      <c r="AJ28" s="497"/>
      <c r="AK28" s="497"/>
    </row>
    <row r="29" spans="1:37" ht="28.25" customHeight="1">
      <c r="A29" s="629" t="s">
        <v>217</v>
      </c>
      <c r="B29" s="630">
        <v>2023</v>
      </c>
      <c r="C29" s="627"/>
      <c r="D29" s="627"/>
      <c r="E29" s="620" t="s">
        <v>986</v>
      </c>
      <c r="F29" s="621">
        <v>-143.12</v>
      </c>
      <c r="G29" s="621">
        <v>-142.78</v>
      </c>
      <c r="H29" s="621">
        <v>0.34000000000000341</v>
      </c>
      <c r="I29" s="621">
        <v>-0.34000000000000341</v>
      </c>
      <c r="J29" s="631">
        <f t="shared" si="6" ref="J29:J33">-(H29+I29)</f>
        <v>0</v>
      </c>
      <c r="K29" s="621"/>
      <c r="L29" s="621"/>
      <c r="M29" s="631">
        <f t="shared" si="5"/>
        <v>0</v>
      </c>
      <c r="N29" s="632" t="s">
        <v>983</v>
      </c>
      <c r="O29" s="633"/>
      <c r="P29" s="497"/>
      <c r="Q29" s="497"/>
      <c r="R29" s="497"/>
      <c r="S29" s="497"/>
      <c r="T29" s="497"/>
      <c r="U29" s="497"/>
      <c r="V29" s="497"/>
      <c r="W29" s="497"/>
      <c r="X29" s="497"/>
      <c r="Y29" s="497"/>
      <c r="Z29" s="497"/>
      <c r="AA29" s="497"/>
      <c r="AB29" s="497"/>
      <c r="AC29" s="497"/>
      <c r="AD29" s="497"/>
      <c r="AE29" s="497"/>
      <c r="AF29" s="497"/>
      <c r="AG29" s="497"/>
      <c r="AH29" s="497"/>
      <c r="AI29" s="497"/>
      <c r="AJ29" s="497"/>
      <c r="AK29" s="497"/>
    </row>
    <row r="30" spans="1:37" ht="24.65" customHeight="1">
      <c r="A30" s="629" t="s">
        <v>226</v>
      </c>
      <c r="B30" s="630">
        <v>2023</v>
      </c>
      <c r="C30" s="627"/>
      <c r="D30" s="627"/>
      <c r="E30" s="620" t="s">
        <v>961</v>
      </c>
      <c r="F30" s="621">
        <v>-222897.03</v>
      </c>
      <c r="G30" s="621">
        <v>-222371.76999999999</v>
      </c>
      <c r="H30" s="621">
        <v>525.26000000000931</v>
      </c>
      <c r="I30" s="621">
        <v>0</v>
      </c>
      <c r="J30" s="631">
        <f t="shared" si="6"/>
        <v>-525.26000000000931</v>
      </c>
      <c r="K30" s="621"/>
      <c r="L30" s="621"/>
      <c r="M30" s="631">
        <f t="shared" si="5"/>
        <v>-525.26000000000931</v>
      </c>
      <c r="N30" s="632" t="s">
        <v>829</v>
      </c>
      <c r="O30" s="633">
        <v>182.30000000000001</v>
      </c>
      <c r="P30" s="497"/>
      <c r="Q30" s="497"/>
      <c r="R30" s="497"/>
      <c r="S30" s="497"/>
      <c r="T30" s="497"/>
      <c r="U30" s="497"/>
      <c r="V30" s="497"/>
      <c r="W30" s="497"/>
      <c r="X30" s="497"/>
      <c r="Y30" s="497"/>
      <c r="Z30" s="497"/>
      <c r="AA30" s="497"/>
      <c r="AB30" s="497"/>
      <c r="AC30" s="497"/>
      <c r="AD30" s="497"/>
      <c r="AE30" s="497"/>
      <c r="AF30" s="497"/>
      <c r="AG30" s="497"/>
      <c r="AH30" s="497"/>
      <c r="AI30" s="497"/>
      <c r="AJ30" s="497"/>
      <c r="AK30" s="497"/>
    </row>
    <row r="31" spans="1:37" ht="24" customHeight="1">
      <c r="A31" s="629" t="s">
        <v>218</v>
      </c>
      <c r="B31" s="630">
        <v>2023</v>
      </c>
      <c r="C31" s="627"/>
      <c r="D31" s="627"/>
      <c r="E31" s="620" t="s">
        <v>944</v>
      </c>
      <c r="F31" s="621">
        <v>-7592714.1600000001</v>
      </c>
      <c r="G31" s="621">
        <v>-7574821.46</v>
      </c>
      <c r="H31" s="621">
        <v>17892.700000000186</v>
      </c>
      <c r="I31" s="621">
        <v>0</v>
      </c>
      <c r="J31" s="631">
        <f t="shared" si="6"/>
        <v>-17892.700000000186</v>
      </c>
      <c r="K31" s="621"/>
      <c r="L31" s="621"/>
      <c r="M31" s="631">
        <f t="shared" si="5"/>
        <v>-17892.700000000186</v>
      </c>
      <c r="N31" s="632" t="s">
        <v>829</v>
      </c>
      <c r="O31" s="633">
        <v>182.30000000000001</v>
      </c>
      <c r="P31" s="497"/>
      <c r="Q31" s="497"/>
      <c r="R31" s="497"/>
      <c r="S31" s="497"/>
      <c r="T31" s="497"/>
      <c r="U31" s="497"/>
      <c r="V31" s="497"/>
      <c r="W31" s="497"/>
      <c r="X31" s="497"/>
      <c r="Y31" s="497"/>
      <c r="Z31" s="497"/>
      <c r="AA31" s="497"/>
      <c r="AB31" s="497"/>
      <c r="AC31" s="497"/>
      <c r="AD31" s="497"/>
      <c r="AE31" s="497"/>
      <c r="AF31" s="497"/>
      <c r="AG31" s="497"/>
      <c r="AH31" s="497"/>
      <c r="AI31" s="497"/>
      <c r="AJ31" s="497"/>
      <c r="AK31" s="497"/>
    </row>
    <row r="32" spans="1:37" ht="24" customHeight="1">
      <c r="A32" s="629" t="s">
        <v>984</v>
      </c>
      <c r="B32" s="630">
        <v>2023</v>
      </c>
      <c r="C32" s="627"/>
      <c r="D32" s="627"/>
      <c r="E32" s="620" t="s">
        <v>987</v>
      </c>
      <c r="F32" s="621">
        <v>2136.3800000000001</v>
      </c>
      <c r="G32" s="621">
        <v>2131.3499999999999</v>
      </c>
      <c r="H32" s="621">
        <v>-5.0300000000002001</v>
      </c>
      <c r="I32" s="621">
        <v>5.0300000000002001</v>
      </c>
      <c r="J32" s="631">
        <f t="shared" si="6"/>
        <v>0</v>
      </c>
      <c r="K32" s="621"/>
      <c r="L32" s="621"/>
      <c r="M32" s="631">
        <f t="shared" si="5"/>
        <v>0</v>
      </c>
      <c r="N32" s="632" t="s">
        <v>983</v>
      </c>
      <c r="O32" s="633"/>
      <c r="P32" s="497"/>
      <c r="Q32" s="497"/>
      <c r="R32" s="497"/>
      <c r="S32" s="497"/>
      <c r="T32" s="497"/>
      <c r="U32" s="497"/>
      <c r="V32" s="497"/>
      <c r="W32" s="497"/>
      <c r="X32" s="497"/>
      <c r="Y32" s="497"/>
      <c r="Z32" s="497"/>
      <c r="AA32" s="497"/>
      <c r="AB32" s="497"/>
      <c r="AC32" s="497"/>
      <c r="AD32" s="497"/>
      <c r="AE32" s="497"/>
      <c r="AF32" s="497"/>
      <c r="AG32" s="497"/>
      <c r="AH32" s="497"/>
      <c r="AI32" s="497"/>
      <c r="AJ32" s="497"/>
      <c r="AK32" s="497"/>
    </row>
    <row r="33" spans="1:37" ht="24" customHeight="1">
      <c r="A33" s="629" t="s">
        <v>985</v>
      </c>
      <c r="B33" s="630">
        <v>2023</v>
      </c>
      <c r="C33" s="627"/>
      <c r="D33" s="627"/>
      <c r="E33" s="620" t="s">
        <v>948</v>
      </c>
      <c r="F33" s="621">
        <v>-71125.600000000006</v>
      </c>
      <c r="G33" s="621">
        <v>-70957.979999999996</v>
      </c>
      <c r="H33" s="621">
        <v>167.6200000000099</v>
      </c>
      <c r="I33" s="621">
        <v>0</v>
      </c>
      <c r="J33" s="631">
        <f t="shared" si="6"/>
        <v>-167.6200000000099</v>
      </c>
      <c r="K33" s="621"/>
      <c r="L33" s="621"/>
      <c r="M33" s="631">
        <f t="shared" si="5"/>
        <v>-167.6200000000099</v>
      </c>
      <c r="N33" s="632" t="s">
        <v>829</v>
      </c>
      <c r="O33" s="633">
        <v>182.30000000000001</v>
      </c>
      <c r="P33" s="497"/>
      <c r="Q33" s="497"/>
      <c r="R33" s="497"/>
      <c r="S33" s="497"/>
      <c r="T33" s="497"/>
      <c r="U33" s="497"/>
      <c r="V33" s="497"/>
      <c r="W33" s="497"/>
      <c r="X33" s="497"/>
      <c r="Y33" s="497"/>
      <c r="Z33" s="497"/>
      <c r="AA33" s="497"/>
      <c r="AB33" s="497"/>
      <c r="AC33" s="497"/>
      <c r="AD33" s="497"/>
      <c r="AE33" s="497"/>
      <c r="AF33" s="497"/>
      <c r="AG33" s="497"/>
      <c r="AH33" s="497"/>
      <c r="AI33" s="497"/>
      <c r="AJ33" s="497"/>
      <c r="AK33" s="497"/>
    </row>
    <row r="34" spans="1:15" ht="14.5">
      <c r="A34" s="629">
        <v>6</v>
      </c>
      <c r="B34" s="489"/>
      <c r="C34" s="627"/>
      <c r="D34" s="627" t="s">
        <v>835</v>
      </c>
      <c r="E34" s="627"/>
      <c r="F34" s="634">
        <f>SUM(F28:F33)</f>
        <v>-8035198.2299999995</v>
      </c>
      <c r="G34" s="634">
        <f t="shared" si="7" ref="G34:K34">SUM(G28:G33)</f>
        <v>-8016262.7800000012</v>
      </c>
      <c r="H34" s="634">
        <f t="shared" si="7"/>
        <v>18935.450000000204</v>
      </c>
      <c r="I34" s="634">
        <f t="shared" si="7"/>
        <v>4.6900000000001967</v>
      </c>
      <c r="J34" s="634">
        <f t="shared" si="7"/>
        <v>-18940.140000000203</v>
      </c>
      <c r="K34" s="634">
        <f t="shared" si="7"/>
        <v>0</v>
      </c>
      <c r="L34" s="634">
        <f>SUM(L28:L33)</f>
        <v>0</v>
      </c>
      <c r="M34" s="634">
        <f>SUM(M28:M33)</f>
        <v>-18940.140000000203</v>
      </c>
      <c r="N34" s="487"/>
      <c r="O34" s="627"/>
    </row>
    <row r="35" spans="1:15" ht="14.5">
      <c r="A35" s="489"/>
      <c r="B35" s="489"/>
      <c r="C35" s="635" t="s">
        <v>836</v>
      </c>
      <c r="D35" s="635"/>
      <c r="E35" s="635"/>
      <c r="F35" s="636"/>
      <c r="G35" s="636"/>
      <c r="H35" s="636"/>
      <c r="I35" s="627"/>
      <c r="J35" s="637"/>
      <c r="K35" s="636"/>
      <c r="L35" s="636"/>
      <c r="M35" s="637"/>
      <c r="N35" s="487"/>
      <c r="O35" s="627"/>
    </row>
    <row r="36" spans="1:15" ht="14.5">
      <c r="A36" s="629">
        <v>7</v>
      </c>
      <c r="B36" s="630">
        <v>2023</v>
      </c>
      <c r="C36" s="627"/>
      <c r="D36" s="627"/>
      <c r="E36" s="627" t="s">
        <v>837</v>
      </c>
      <c r="F36" s="636"/>
      <c r="G36" s="636"/>
      <c r="H36" s="636"/>
      <c r="I36" s="636"/>
      <c r="J36" s="636">
        <f>+J23+J26+J34</f>
        <v>48631.709999999744</v>
      </c>
      <c r="K36" s="636">
        <f>+K23+K26+K34</f>
        <v>0</v>
      </c>
      <c r="L36" s="636">
        <f>+L23+L26+L34</f>
        <v>0</v>
      </c>
      <c r="M36" s="636">
        <f>+M23+M26+M34</f>
        <v>48631.709999999744</v>
      </c>
      <c r="N36" s="487"/>
      <c r="O36" s="627"/>
    </row>
    <row r="37" spans="1:15" ht="14.5">
      <c r="A37" s="629">
        <v>8</v>
      </c>
      <c r="B37" s="630">
        <v>2023</v>
      </c>
      <c r="C37" s="627"/>
      <c r="D37" s="627"/>
      <c r="E37" s="627" t="s">
        <v>838</v>
      </c>
      <c r="F37" s="636"/>
      <c r="G37" s="636"/>
      <c r="H37" s="636"/>
      <c r="I37" s="636"/>
      <c r="J37" s="638">
        <v>13909.504439261907</v>
      </c>
      <c r="K37" s="638"/>
      <c r="L37" s="638"/>
      <c r="M37" s="636">
        <f>+L37+K37+J37</f>
        <v>13909.504439261907</v>
      </c>
      <c r="N37" s="487"/>
      <c r="O37" s="627"/>
    </row>
    <row r="38" spans="1:15" s="485" customFormat="1" ht="15" thickBot="1">
      <c r="A38" s="639">
        <v>9</v>
      </c>
      <c r="B38" s="630">
        <v>2023</v>
      </c>
      <c r="C38" s="635"/>
      <c r="D38" s="635"/>
      <c r="E38" s="635" t="s">
        <v>839</v>
      </c>
      <c r="F38" s="640"/>
      <c r="G38" s="640"/>
      <c r="H38" s="640"/>
      <c r="I38" s="640"/>
      <c r="J38" s="641">
        <f>SUM(J36:J37)</f>
        <v>62541.214439261654</v>
      </c>
      <c r="K38" s="641">
        <f t="shared" si="8" ref="K38:M38">SUM(K36:K37)</f>
        <v>0</v>
      </c>
      <c r="L38" s="641">
        <f t="shared" si="8"/>
        <v>0</v>
      </c>
      <c r="M38" s="641">
        <f t="shared" si="8"/>
        <v>62541.214439261654</v>
      </c>
      <c r="N38" s="642"/>
      <c r="O38" s="635"/>
    </row>
    <row r="39" spans="1:15" s="498" customFormat="1" ht="16" thickTop="1">
      <c r="A39" s="643"/>
      <c r="B39" s="643"/>
      <c r="C39" s="643"/>
      <c r="D39" s="643"/>
      <c r="E39" s="643"/>
      <c r="F39" s="643"/>
      <c r="G39" s="643"/>
      <c r="H39" s="643"/>
      <c r="I39" s="643"/>
      <c r="J39" s="643"/>
      <c r="K39" s="643"/>
      <c r="L39" s="643"/>
      <c r="M39" s="643"/>
      <c r="N39" s="643"/>
      <c r="O39" s="643"/>
    </row>
    <row r="40" spans="1:15" ht="14.5">
      <c r="A40" s="489"/>
      <c r="B40" s="489"/>
      <c r="C40" s="628" t="s">
        <v>840</v>
      </c>
      <c r="D40" s="627"/>
      <c r="E40" s="627"/>
      <c r="F40" s="631"/>
      <c r="G40" s="631"/>
      <c r="H40" s="631"/>
      <c r="I40" s="644"/>
      <c r="J40" s="631"/>
      <c r="K40" s="631"/>
      <c r="L40" s="631"/>
      <c r="M40" s="631"/>
      <c r="N40" s="487"/>
      <c r="O40" s="627"/>
    </row>
    <row r="41" spans="1:15" ht="14.5">
      <c r="A41" s="629">
        <v>10</v>
      </c>
      <c r="B41" s="489"/>
      <c r="C41" s="627" t="s">
        <v>828</v>
      </c>
      <c r="D41" s="627"/>
      <c r="E41" s="627"/>
      <c r="F41" s="631"/>
      <c r="G41" s="631"/>
      <c r="H41" s="631"/>
      <c r="I41" s="631"/>
      <c r="J41" s="631"/>
      <c r="K41" s="631"/>
      <c r="L41" s="631"/>
      <c r="M41" s="631"/>
      <c r="N41" s="487"/>
      <c r="O41" s="627"/>
    </row>
    <row r="42" spans="1:36" ht="23.4" customHeight="1">
      <c r="A42" s="629" t="s">
        <v>850</v>
      </c>
      <c r="B42" s="630">
        <v>2023</v>
      </c>
      <c r="C42" s="627"/>
      <c r="D42" s="487"/>
      <c r="E42" s="620" t="s">
        <v>993</v>
      </c>
      <c r="F42" s="621">
        <v>141527.79000000001</v>
      </c>
      <c r="G42" s="621">
        <v>127360.85000000001</v>
      </c>
      <c r="H42" s="621">
        <v>-14166.940000000002</v>
      </c>
      <c r="I42" s="621">
        <v>14166.940000000002</v>
      </c>
      <c r="J42" s="631">
        <f t="shared" si="9" ref="J42:J47">-(H42+I42)</f>
        <v>0</v>
      </c>
      <c r="K42" s="621"/>
      <c r="L42" s="621"/>
      <c r="M42" s="631">
        <f t="shared" si="10" ref="M42:M47">+L42+K42+J42</f>
        <v>0</v>
      </c>
      <c r="N42" s="632" t="s">
        <v>983</v>
      </c>
      <c r="O42" s="633"/>
      <c r="P42" s="497"/>
      <c r="Q42" s="497"/>
      <c r="R42" s="497"/>
      <c r="S42" s="497"/>
      <c r="T42" s="497"/>
      <c r="U42" s="497"/>
      <c r="V42" s="497"/>
      <c r="W42" s="497"/>
      <c r="X42" s="497"/>
      <c r="Y42" s="497"/>
      <c r="Z42" s="497"/>
      <c r="AA42" s="497"/>
      <c r="AB42" s="497"/>
      <c r="AC42" s="497"/>
      <c r="AD42" s="497"/>
      <c r="AE42" s="497"/>
      <c r="AF42" s="497"/>
      <c r="AG42" s="497"/>
      <c r="AH42" s="497"/>
      <c r="AI42" s="497"/>
      <c r="AJ42" s="497"/>
    </row>
    <row r="43" spans="1:36" ht="27" customHeight="1">
      <c r="A43" s="629" t="s">
        <v>988</v>
      </c>
      <c r="B43" s="630">
        <v>2023</v>
      </c>
      <c r="C43" s="627"/>
      <c r="D43" s="487"/>
      <c r="E43" s="620" t="s">
        <v>994</v>
      </c>
      <c r="F43" s="621">
        <v>156358.34</v>
      </c>
      <c r="G43" s="621">
        <v>140706.85999999999</v>
      </c>
      <c r="H43" s="621">
        <v>-15651.48000000001</v>
      </c>
      <c r="I43" s="621">
        <v>15651.48000000001</v>
      </c>
      <c r="J43" s="631">
        <f t="shared" si="9"/>
        <v>0</v>
      </c>
      <c r="K43" s="621"/>
      <c r="L43" s="621"/>
      <c r="M43" s="631">
        <f t="shared" si="10"/>
        <v>0</v>
      </c>
      <c r="N43" s="632" t="s">
        <v>983</v>
      </c>
      <c r="O43" s="633"/>
      <c r="P43" s="497"/>
      <c r="Q43" s="497"/>
      <c r="R43" s="497"/>
      <c r="S43" s="497"/>
      <c r="T43" s="497"/>
      <c r="U43" s="497"/>
      <c r="V43" s="497"/>
      <c r="W43" s="497"/>
      <c r="X43" s="497"/>
      <c r="Y43" s="497"/>
      <c r="Z43" s="497"/>
      <c r="AA43" s="497"/>
      <c r="AB43" s="497"/>
      <c r="AC43" s="497"/>
      <c r="AD43" s="497"/>
      <c r="AE43" s="497"/>
      <c r="AF43" s="497"/>
      <c r="AG43" s="497"/>
      <c r="AH43" s="497"/>
      <c r="AI43" s="497"/>
      <c r="AJ43" s="497"/>
    </row>
    <row r="44" spans="1:36" ht="26.4" customHeight="1">
      <c r="A44" s="629" t="s">
        <v>989</v>
      </c>
      <c r="B44" s="630">
        <v>2023</v>
      </c>
      <c r="C44" s="627"/>
      <c r="D44" s="487"/>
      <c r="E44" s="620" t="s">
        <v>995</v>
      </c>
      <c r="F44" s="621">
        <v>-156358.34</v>
      </c>
      <c r="G44" s="621">
        <v>-140706.86000000002</v>
      </c>
      <c r="H44" s="621">
        <v>15651.479999999981</v>
      </c>
      <c r="I44" s="621">
        <v>-15651.479999999981</v>
      </c>
      <c r="J44" s="631">
        <f t="shared" si="9"/>
        <v>0</v>
      </c>
      <c r="K44" s="621"/>
      <c r="L44" s="621"/>
      <c r="M44" s="631">
        <f t="shared" si="10"/>
        <v>0</v>
      </c>
      <c r="N44" s="632" t="s">
        <v>983</v>
      </c>
      <c r="O44" s="633"/>
      <c r="P44" s="497"/>
      <c r="Q44" s="497"/>
      <c r="R44" s="497"/>
      <c r="S44" s="497"/>
      <c r="T44" s="497"/>
      <c r="U44" s="497"/>
      <c r="V44" s="497"/>
      <c r="W44" s="497"/>
      <c r="X44" s="497"/>
      <c r="Y44" s="497"/>
      <c r="Z44" s="497"/>
      <c r="AA44" s="497"/>
      <c r="AB44" s="497"/>
      <c r="AC44" s="497"/>
      <c r="AD44" s="497"/>
      <c r="AE44" s="497"/>
      <c r="AF44" s="497"/>
      <c r="AG44" s="497"/>
      <c r="AH44" s="497"/>
      <c r="AI44" s="497"/>
      <c r="AJ44" s="497"/>
    </row>
    <row r="45" spans="1:36" ht="27" customHeight="1">
      <c r="A45" s="629" t="s">
        <v>990</v>
      </c>
      <c r="B45" s="630">
        <v>2023</v>
      </c>
      <c r="C45" s="627"/>
      <c r="D45" s="487"/>
      <c r="E45" s="620" t="s">
        <v>996</v>
      </c>
      <c r="F45" s="621">
        <v>281588.25</v>
      </c>
      <c r="G45" s="621">
        <v>253401.26000000001</v>
      </c>
      <c r="H45" s="621">
        <v>-28186.989999999991</v>
      </c>
      <c r="I45" s="621"/>
      <c r="J45" s="631">
        <f t="shared" si="9"/>
        <v>28186.989999999991</v>
      </c>
      <c r="K45" s="621"/>
      <c r="L45" s="621"/>
      <c r="M45" s="631">
        <f t="shared" si="10"/>
        <v>28186.989999999991</v>
      </c>
      <c r="N45" s="632" t="s">
        <v>829</v>
      </c>
      <c r="O45" s="633">
        <v>254</v>
      </c>
      <c r="P45" s="497"/>
      <c r="Q45" s="497"/>
      <c r="R45" s="497"/>
      <c r="S45" s="497"/>
      <c r="T45" s="497"/>
      <c r="U45" s="497"/>
      <c r="V45" s="497"/>
      <c r="W45" s="497"/>
      <c r="X45" s="497"/>
      <c r="Y45" s="497"/>
      <c r="Z45" s="497"/>
      <c r="AA45" s="497"/>
      <c r="AB45" s="497"/>
      <c r="AC45" s="497"/>
      <c r="AD45" s="497"/>
      <c r="AE45" s="497"/>
      <c r="AF45" s="497"/>
      <c r="AG45" s="497"/>
      <c r="AH45" s="497"/>
      <c r="AI45" s="497"/>
      <c r="AJ45" s="497"/>
    </row>
    <row r="46" spans="1:36" ht="28.25" customHeight="1">
      <c r="A46" s="629" t="s">
        <v>991</v>
      </c>
      <c r="B46" s="630">
        <v>2023</v>
      </c>
      <c r="C46" s="627"/>
      <c r="D46" s="487"/>
      <c r="E46" s="620" t="s">
        <v>997</v>
      </c>
      <c r="F46" s="621">
        <v>589227.01000000001</v>
      </c>
      <c r="G46" s="621">
        <v>530245.37</v>
      </c>
      <c r="H46" s="621">
        <v>-58981.640000000014</v>
      </c>
      <c r="I46" s="621"/>
      <c r="J46" s="631">
        <f t="shared" si="9"/>
        <v>58981.640000000014</v>
      </c>
      <c r="K46" s="621"/>
      <c r="L46" s="621"/>
      <c r="M46" s="631">
        <f t="shared" si="10"/>
        <v>58981.640000000014</v>
      </c>
      <c r="N46" s="632" t="s">
        <v>829</v>
      </c>
      <c r="O46" s="633">
        <v>254</v>
      </c>
      <c r="P46" s="497"/>
      <c r="Q46" s="497"/>
      <c r="R46" s="497"/>
      <c r="S46" s="497"/>
      <c r="T46" s="497"/>
      <c r="U46" s="497"/>
      <c r="V46" s="497"/>
      <c r="W46" s="497"/>
      <c r="X46" s="497"/>
      <c r="Y46" s="497"/>
      <c r="Z46" s="497"/>
      <c r="AA46" s="497"/>
      <c r="AB46" s="497"/>
      <c r="AC46" s="497"/>
      <c r="AD46" s="497"/>
      <c r="AE46" s="497"/>
      <c r="AF46" s="497"/>
      <c r="AG46" s="497"/>
      <c r="AH46" s="497"/>
      <c r="AI46" s="497"/>
      <c r="AJ46" s="497"/>
    </row>
    <row r="47" spans="1:36" ht="31.75" customHeight="1">
      <c r="A47" s="629" t="s">
        <v>992</v>
      </c>
      <c r="B47" s="630">
        <v>2023</v>
      </c>
      <c r="C47" s="627"/>
      <c r="D47" s="487"/>
      <c r="E47" s="620" t="s">
        <v>998</v>
      </c>
      <c r="F47" s="621">
        <v>-477010.94</v>
      </c>
      <c r="G47" s="621">
        <v>-429262.12</v>
      </c>
      <c r="H47" s="621">
        <v>47748.820000000007</v>
      </c>
      <c r="I47" s="621"/>
      <c r="J47" s="631">
        <f t="shared" si="9"/>
        <v>-47748.820000000007</v>
      </c>
      <c r="K47" s="621"/>
      <c r="L47" s="621"/>
      <c r="M47" s="631">
        <f t="shared" si="10"/>
        <v>-47748.820000000007</v>
      </c>
      <c r="N47" s="632" t="s">
        <v>829</v>
      </c>
      <c r="O47" s="633">
        <v>254</v>
      </c>
      <c r="P47" s="497"/>
      <c r="Q47" s="497"/>
      <c r="R47" s="497"/>
      <c r="S47" s="497"/>
      <c r="T47" s="497"/>
      <c r="U47" s="497"/>
      <c r="V47" s="497"/>
      <c r="W47" s="497"/>
      <c r="X47" s="497"/>
      <c r="Y47" s="497"/>
      <c r="Z47" s="497"/>
      <c r="AA47" s="497"/>
      <c r="AB47" s="497"/>
      <c r="AC47" s="497"/>
      <c r="AD47" s="497"/>
      <c r="AE47" s="497"/>
      <c r="AF47" s="497"/>
      <c r="AG47" s="497"/>
      <c r="AH47" s="497"/>
      <c r="AI47" s="497"/>
      <c r="AJ47" s="497"/>
    </row>
    <row r="48" spans="1:15" ht="28.25" customHeight="1">
      <c r="A48" s="629">
        <v>11</v>
      </c>
      <c r="B48" s="489"/>
      <c r="C48" s="627"/>
      <c r="D48" s="627" t="s">
        <v>831</v>
      </c>
      <c r="E48" s="627"/>
      <c r="F48" s="634">
        <f>SUM(F42:F47)</f>
        <v>535332.1100000001</v>
      </c>
      <c r="G48" s="634">
        <f t="shared" si="11" ref="G48:M48">SUM(G42:G47)</f>
        <v>481745.35999999999</v>
      </c>
      <c r="H48" s="634">
        <f t="shared" si="11"/>
        <v>-53586.750000000029</v>
      </c>
      <c r="I48" s="634">
        <f t="shared" si="11"/>
        <v>14166.940000000031</v>
      </c>
      <c r="J48" s="634">
        <f t="shared" si="11"/>
        <v>39419.809999999998</v>
      </c>
      <c r="K48" s="634">
        <f t="shared" si="11"/>
        <v>0</v>
      </c>
      <c r="L48" s="634">
        <f t="shared" si="11"/>
        <v>0</v>
      </c>
      <c r="M48" s="634">
        <f t="shared" si="11"/>
        <v>39419.809999999998</v>
      </c>
      <c r="N48" s="487"/>
      <c r="O48" s="627"/>
    </row>
    <row r="49" spans="1:15" ht="22.75" customHeight="1">
      <c r="A49" s="629">
        <v>12</v>
      </c>
      <c r="B49" s="489"/>
      <c r="C49" s="627" t="s">
        <v>832</v>
      </c>
      <c r="D49" s="627"/>
      <c r="E49" s="627"/>
      <c r="F49" s="631"/>
      <c r="G49" s="631"/>
      <c r="H49" s="631"/>
      <c r="I49" s="631"/>
      <c r="J49" s="631"/>
      <c r="K49" s="631"/>
      <c r="L49" s="631"/>
      <c r="M49" s="631"/>
      <c r="N49" s="487"/>
      <c r="O49" s="627"/>
    </row>
    <row r="50" spans="1:38" ht="30" customHeight="1">
      <c r="A50" s="629" t="s">
        <v>851</v>
      </c>
      <c r="B50" s="630">
        <v>2023</v>
      </c>
      <c r="C50" s="627"/>
      <c r="D50" s="487"/>
      <c r="E50" s="620" t="s">
        <v>1027</v>
      </c>
      <c r="F50" s="621">
        <v>-25378.25</v>
      </c>
      <c r="G50" s="621">
        <v>-22837.879999999997</v>
      </c>
      <c r="H50" s="621">
        <v>2540.3700000000026</v>
      </c>
      <c r="I50" s="621"/>
      <c r="J50" s="631">
        <f t="shared" si="12" ref="J50:J78">-(H50+I50)</f>
        <v>-2540.3700000000026</v>
      </c>
      <c r="K50" s="621"/>
      <c r="L50" s="621"/>
      <c r="M50" s="631">
        <f t="shared" si="13" ref="M50:M78">+L50+K50+J50</f>
        <v>-2540.3700000000026</v>
      </c>
      <c r="N50" s="632" t="s">
        <v>829</v>
      </c>
      <c r="O50" s="633">
        <v>254</v>
      </c>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row>
    <row r="51" spans="1:38" ht="30.65" customHeight="1">
      <c r="A51" s="629" t="s">
        <v>999</v>
      </c>
      <c r="B51" s="630">
        <v>2023</v>
      </c>
      <c r="C51" s="627"/>
      <c r="D51" s="487"/>
      <c r="E51" s="620" t="s">
        <v>1028</v>
      </c>
      <c r="F51" s="621">
        <v>-2498322.3899999997</v>
      </c>
      <c r="G51" s="621">
        <v>-2248240.23</v>
      </c>
      <c r="H51" s="621">
        <v>250082.15999999968</v>
      </c>
      <c r="I51" s="621"/>
      <c r="J51" s="631">
        <f t="shared" si="12"/>
        <v>-250082.15999999968</v>
      </c>
      <c r="K51" s="621"/>
      <c r="L51" s="621"/>
      <c r="M51" s="631">
        <f t="shared" si="13"/>
        <v>-250082.15999999968</v>
      </c>
      <c r="N51" s="632" t="s">
        <v>829</v>
      </c>
      <c r="O51" s="633">
        <v>254</v>
      </c>
      <c r="P51" s="497"/>
      <c r="Q51" s="497"/>
      <c r="R51" s="497"/>
      <c r="S51" s="497"/>
      <c r="T51" s="497"/>
      <c r="U51" s="497"/>
      <c r="V51" s="497"/>
      <c r="W51" s="497"/>
      <c r="X51" s="497"/>
      <c r="Y51" s="497"/>
      <c r="Z51" s="497"/>
      <c r="AA51" s="497"/>
      <c r="AB51" s="497"/>
      <c r="AC51" s="497"/>
      <c r="AD51" s="497"/>
      <c r="AE51" s="497"/>
      <c r="AF51" s="497"/>
      <c r="AG51" s="497"/>
      <c r="AH51" s="497"/>
      <c r="AI51" s="497"/>
      <c r="AJ51" s="497"/>
      <c r="AK51" s="497"/>
      <c r="AL51" s="497"/>
    </row>
    <row r="52" spans="1:38" ht="25.25" customHeight="1">
      <c r="A52" s="629" t="s">
        <v>1000</v>
      </c>
      <c r="B52" s="630">
        <v>2023</v>
      </c>
      <c r="C52" s="627"/>
      <c r="D52" s="487"/>
      <c r="E52" s="620" t="s">
        <v>1029</v>
      </c>
      <c r="F52" s="621">
        <v>-7233155.6600000001</v>
      </c>
      <c r="G52" s="621">
        <v>-6509116.54</v>
      </c>
      <c r="H52" s="621">
        <v>724039.12000000011</v>
      </c>
      <c r="I52" s="621"/>
      <c r="J52" s="631">
        <f t="shared" si="12"/>
        <v>-724039.12000000011</v>
      </c>
      <c r="K52" s="621"/>
      <c r="L52" s="621"/>
      <c r="M52" s="631">
        <f t="shared" si="13"/>
        <v>-724039.12000000011</v>
      </c>
      <c r="N52" s="632" t="s">
        <v>830</v>
      </c>
      <c r="O52" s="633">
        <v>254</v>
      </c>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row>
    <row r="53" spans="1:38" ht="31.75" customHeight="1">
      <c r="A53" s="629" t="s">
        <v>1001</v>
      </c>
      <c r="B53" s="630">
        <v>2023</v>
      </c>
      <c r="C53" s="627"/>
      <c r="D53" s="487"/>
      <c r="E53" s="620" t="s">
        <v>1030</v>
      </c>
      <c r="F53" s="621">
        <v>-171828.07999999999</v>
      </c>
      <c r="G53" s="621">
        <v>-154628.09999999998</v>
      </c>
      <c r="H53" s="621">
        <v>17199.98000000001</v>
      </c>
      <c r="I53" s="621"/>
      <c r="J53" s="631">
        <f t="shared" si="12"/>
        <v>-17199.98000000001</v>
      </c>
      <c r="K53" s="621"/>
      <c r="L53" s="621"/>
      <c r="M53" s="631">
        <f t="shared" si="13"/>
        <v>-17199.98000000001</v>
      </c>
      <c r="N53" s="632" t="s">
        <v>829</v>
      </c>
      <c r="O53" s="633">
        <v>254</v>
      </c>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row>
    <row r="54" spans="1:38" ht="27" customHeight="1">
      <c r="A54" s="629" t="s">
        <v>1002</v>
      </c>
      <c r="B54" s="630">
        <v>2023</v>
      </c>
      <c r="C54" s="627"/>
      <c r="D54" s="487"/>
      <c r="E54" s="620" t="s">
        <v>1031</v>
      </c>
      <c r="F54" s="621">
        <v>-338398.94</v>
      </c>
      <c r="G54" s="621">
        <v>-304525.19</v>
      </c>
      <c r="H54" s="621">
        <v>33873.75</v>
      </c>
      <c r="I54" s="621"/>
      <c r="J54" s="631">
        <f t="shared" si="12"/>
        <v>-33873.75</v>
      </c>
      <c r="K54" s="621"/>
      <c r="L54" s="621"/>
      <c r="M54" s="631">
        <f t="shared" si="13"/>
        <v>-33873.75</v>
      </c>
      <c r="N54" s="632" t="s">
        <v>829</v>
      </c>
      <c r="O54" s="633">
        <v>254</v>
      </c>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row>
    <row r="55" spans="1:38" ht="28.25" customHeight="1">
      <c r="A55" s="629" t="s">
        <v>1003</v>
      </c>
      <c r="B55" s="630">
        <v>2023</v>
      </c>
      <c r="C55" s="627"/>
      <c r="D55" s="487"/>
      <c r="E55" s="620" t="s">
        <v>1032</v>
      </c>
      <c r="F55" s="621">
        <v>301743.01999999996</v>
      </c>
      <c r="G55" s="621">
        <v>271538.52999999997</v>
      </c>
      <c r="H55" s="621">
        <v>-30204.489999999991</v>
      </c>
      <c r="I55" s="621"/>
      <c r="J55" s="631">
        <f t="shared" si="12"/>
        <v>30204.489999999991</v>
      </c>
      <c r="K55" s="621"/>
      <c r="L55" s="621"/>
      <c r="M55" s="631">
        <f t="shared" si="13"/>
        <v>30204.489999999991</v>
      </c>
      <c r="N55" s="632" t="s">
        <v>829</v>
      </c>
      <c r="O55" s="633">
        <v>254</v>
      </c>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row>
    <row r="56" spans="1:38" ht="28.25" customHeight="1">
      <c r="A56" s="629" t="s">
        <v>1004</v>
      </c>
      <c r="B56" s="630">
        <v>2023</v>
      </c>
      <c r="C56" s="627"/>
      <c r="D56" s="487"/>
      <c r="E56" s="620" t="s">
        <v>1033</v>
      </c>
      <c r="F56" s="621">
        <v>-526323.81999999995</v>
      </c>
      <c r="G56" s="621">
        <v>-473638.78000000003</v>
      </c>
      <c r="H56" s="621">
        <v>52685.039999999921</v>
      </c>
      <c r="I56" s="621"/>
      <c r="J56" s="631">
        <f t="shared" si="12"/>
        <v>-52685.039999999921</v>
      </c>
      <c r="K56" s="621">
        <v>52685.039999999921</v>
      </c>
      <c r="L56" s="621"/>
      <c r="M56" s="631">
        <f t="shared" si="13"/>
        <v>0</v>
      </c>
      <c r="N56" s="632" t="s">
        <v>983</v>
      </c>
      <c r="O56" s="633"/>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row>
    <row r="57" spans="1:38" ht="30" customHeight="1">
      <c r="A57" s="629" t="s">
        <v>1005</v>
      </c>
      <c r="B57" s="630">
        <v>2023</v>
      </c>
      <c r="C57" s="627"/>
      <c r="D57" s="487"/>
      <c r="E57" s="620" t="s">
        <v>1034</v>
      </c>
      <c r="F57" s="621">
        <v>-740733.87</v>
      </c>
      <c r="G57" s="621">
        <v>-666586.38</v>
      </c>
      <c r="H57" s="621">
        <v>74147.489999999991</v>
      </c>
      <c r="I57" s="621"/>
      <c r="J57" s="631">
        <f t="shared" si="12"/>
        <v>-74147.489999999991</v>
      </c>
      <c r="K57" s="621">
        <v>74147.489999999991</v>
      </c>
      <c r="L57" s="621"/>
      <c r="M57" s="631">
        <f t="shared" si="13"/>
        <v>0</v>
      </c>
      <c r="N57" s="632" t="s">
        <v>983</v>
      </c>
      <c r="O57" s="633"/>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row>
    <row r="58" spans="1:38" ht="27.65" customHeight="1">
      <c r="A58" s="629" t="s">
        <v>1006</v>
      </c>
      <c r="B58" s="630">
        <v>2023</v>
      </c>
      <c r="C58" s="627"/>
      <c r="D58" s="487"/>
      <c r="E58" s="620" t="s">
        <v>1035</v>
      </c>
      <c r="F58" s="621">
        <v>643814.15000000002</v>
      </c>
      <c r="G58" s="621">
        <v>579368.31999999995</v>
      </c>
      <c r="H58" s="621">
        <v>-64445.830000000075</v>
      </c>
      <c r="I58" s="621"/>
      <c r="J58" s="631">
        <f t="shared" si="12"/>
        <v>64445.830000000075</v>
      </c>
      <c r="K58" s="621">
        <v>-64445.830000000075</v>
      </c>
      <c r="L58" s="621"/>
      <c r="M58" s="631">
        <f t="shared" si="13"/>
        <v>0</v>
      </c>
      <c r="N58" s="632" t="s">
        <v>983</v>
      </c>
      <c r="O58" s="633"/>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row>
    <row r="59" spans="1:38" ht="27" customHeight="1">
      <c r="A59" s="629" t="s">
        <v>1007</v>
      </c>
      <c r="B59" s="630">
        <v>2023</v>
      </c>
      <c r="C59" s="627"/>
      <c r="D59" s="487"/>
      <c r="E59" s="620" t="s">
        <v>1036</v>
      </c>
      <c r="F59" s="621">
        <v>-13.950000000000001</v>
      </c>
      <c r="G59" s="621">
        <v>-12.550000000000001</v>
      </c>
      <c r="H59" s="621">
        <v>1.4000000000000004</v>
      </c>
      <c r="I59" s="621"/>
      <c r="J59" s="631">
        <f t="shared" si="12"/>
        <v>-1.4000000000000004</v>
      </c>
      <c r="K59" s="621"/>
      <c r="L59" s="621"/>
      <c r="M59" s="631">
        <f t="shared" si="13"/>
        <v>-1.4000000000000004</v>
      </c>
      <c r="N59" s="632" t="s">
        <v>829</v>
      </c>
      <c r="O59" s="633">
        <v>254</v>
      </c>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row>
    <row r="60" spans="1:38" ht="29.4" customHeight="1">
      <c r="A60" s="629" t="s">
        <v>1008</v>
      </c>
      <c r="B60" s="630">
        <v>2023</v>
      </c>
      <c r="C60" s="627"/>
      <c r="D60" s="487"/>
      <c r="E60" s="620" t="s">
        <v>1037</v>
      </c>
      <c r="F60" s="621">
        <v>-188778</v>
      </c>
      <c r="G60" s="621">
        <v>-169881.32000000001</v>
      </c>
      <c r="H60" s="621">
        <v>18896.679999999993</v>
      </c>
      <c r="I60" s="621"/>
      <c r="J60" s="631">
        <f t="shared" si="12"/>
        <v>-18896.679999999993</v>
      </c>
      <c r="K60" s="621"/>
      <c r="L60" s="621"/>
      <c r="M60" s="631">
        <f t="shared" si="13"/>
        <v>-18896.679999999993</v>
      </c>
      <c r="N60" s="632" t="s">
        <v>829</v>
      </c>
      <c r="O60" s="633">
        <v>254</v>
      </c>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row>
    <row r="61" spans="1:38" ht="27.65" customHeight="1">
      <c r="A61" s="629" t="s">
        <v>1009</v>
      </c>
      <c r="B61" s="630">
        <v>2023</v>
      </c>
      <c r="C61" s="627"/>
      <c r="D61" s="487"/>
      <c r="E61" s="620" t="s">
        <v>1038</v>
      </c>
      <c r="F61" s="621">
        <v>-14367.610000000001</v>
      </c>
      <c r="G61" s="621">
        <v>-12929.42</v>
      </c>
      <c r="H61" s="621">
        <v>1438.1900000000005</v>
      </c>
      <c r="I61" s="621"/>
      <c r="J61" s="631">
        <f t="shared" si="12"/>
        <v>-1438.1900000000005</v>
      </c>
      <c r="K61" s="621"/>
      <c r="L61" s="621"/>
      <c r="M61" s="631">
        <f t="shared" si="13"/>
        <v>-1438.1900000000005</v>
      </c>
      <c r="N61" s="632" t="s">
        <v>829</v>
      </c>
      <c r="O61" s="633">
        <v>254</v>
      </c>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row>
    <row r="62" spans="1:38" ht="31.25" customHeight="1">
      <c r="A62" s="629" t="s">
        <v>1010</v>
      </c>
      <c r="B62" s="630">
        <v>2023</v>
      </c>
      <c r="C62" s="627"/>
      <c r="D62" s="487"/>
      <c r="E62" s="620" t="s">
        <v>1039</v>
      </c>
      <c r="F62" s="621">
        <v>-270833.69</v>
      </c>
      <c r="G62" s="621">
        <v>-243723.22</v>
      </c>
      <c r="H62" s="621">
        <v>27110.470000000001</v>
      </c>
      <c r="I62" s="621"/>
      <c r="J62" s="631">
        <f t="shared" si="12"/>
        <v>-27110.470000000001</v>
      </c>
      <c r="K62" s="621"/>
      <c r="L62" s="621"/>
      <c r="M62" s="631">
        <f t="shared" si="13"/>
        <v>-27110.470000000001</v>
      </c>
      <c r="N62" s="632" t="s">
        <v>829</v>
      </c>
      <c r="O62" s="633">
        <v>254</v>
      </c>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row>
    <row r="63" spans="1:38" ht="29.4" customHeight="1">
      <c r="A63" s="629" t="s">
        <v>1011</v>
      </c>
      <c r="B63" s="630">
        <v>2023</v>
      </c>
      <c r="C63" s="627"/>
      <c r="D63" s="487"/>
      <c r="E63" s="620" t="s">
        <v>1040</v>
      </c>
      <c r="F63" s="621">
        <v>0.050000000000000044</v>
      </c>
      <c r="G63" s="621">
        <v>0.040000000000000036</v>
      </c>
      <c r="H63" s="621">
        <v>-0.010000000000000009</v>
      </c>
      <c r="I63" s="621"/>
      <c r="J63" s="631">
        <f t="shared" si="12"/>
        <v>0.010000000000000009</v>
      </c>
      <c r="K63" s="621"/>
      <c r="L63" s="621"/>
      <c r="M63" s="631">
        <f t="shared" si="13"/>
        <v>0.010000000000000009</v>
      </c>
      <c r="N63" s="632" t="s">
        <v>829</v>
      </c>
      <c r="O63" s="633">
        <v>254</v>
      </c>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row>
    <row r="64" spans="1:38" ht="28.25" customHeight="1">
      <c r="A64" s="629" t="s">
        <v>1012</v>
      </c>
      <c r="B64" s="630">
        <v>2023</v>
      </c>
      <c r="C64" s="627"/>
      <c r="D64" s="487"/>
      <c r="E64" s="620" t="s">
        <v>1041</v>
      </c>
      <c r="F64" s="621">
        <v>-5.5300000000000002</v>
      </c>
      <c r="G64" s="621">
        <v>-4.9800000000000004</v>
      </c>
      <c r="H64" s="621">
        <v>0.54999999999999982</v>
      </c>
      <c r="I64" s="621"/>
      <c r="J64" s="631">
        <f t="shared" si="12"/>
        <v>-0.54999999999999982</v>
      </c>
      <c r="K64" s="621"/>
      <c r="L64" s="621"/>
      <c r="M64" s="631">
        <f t="shared" si="13"/>
        <v>-0.54999999999999982</v>
      </c>
      <c r="N64" s="632" t="s">
        <v>829</v>
      </c>
      <c r="O64" s="633">
        <v>254</v>
      </c>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row>
    <row r="65" spans="1:38" ht="26.4" customHeight="1">
      <c r="A65" s="629" t="s">
        <v>1013</v>
      </c>
      <c r="B65" s="630">
        <v>2023</v>
      </c>
      <c r="C65" s="627"/>
      <c r="D65" s="487"/>
      <c r="E65" s="620" t="s">
        <v>1042</v>
      </c>
      <c r="F65" s="621">
        <v>-34067.169999999998</v>
      </c>
      <c r="G65" s="621">
        <v>-30657.049999999999</v>
      </c>
      <c r="H65" s="621">
        <v>3410.119999999999</v>
      </c>
      <c r="I65" s="621"/>
      <c r="J65" s="631">
        <f t="shared" si="12"/>
        <v>-3410.119999999999</v>
      </c>
      <c r="K65" s="621"/>
      <c r="L65" s="621"/>
      <c r="M65" s="631">
        <f t="shared" si="13"/>
        <v>-3410.119999999999</v>
      </c>
      <c r="N65" s="632" t="s">
        <v>829</v>
      </c>
      <c r="O65" s="633">
        <v>254</v>
      </c>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row>
    <row r="66" spans="1:38" ht="29.4" customHeight="1">
      <c r="A66" s="629" t="s">
        <v>1014</v>
      </c>
      <c r="B66" s="630">
        <v>2023</v>
      </c>
      <c r="C66" s="627"/>
      <c r="D66" s="487"/>
      <c r="E66" s="620" t="s">
        <v>1043</v>
      </c>
      <c r="F66" s="621">
        <v>711.34000000000003</v>
      </c>
      <c r="G66" s="621">
        <v>640.1400000000001</v>
      </c>
      <c r="H66" s="621">
        <v>-71.199999999999932</v>
      </c>
      <c r="I66" s="621"/>
      <c r="J66" s="631">
        <f t="shared" si="12"/>
        <v>71.199999999999932</v>
      </c>
      <c r="K66" s="621"/>
      <c r="L66" s="621"/>
      <c r="M66" s="631">
        <f t="shared" si="13"/>
        <v>71.199999999999932</v>
      </c>
      <c r="N66" s="632" t="s">
        <v>829</v>
      </c>
      <c r="O66" s="633">
        <v>254</v>
      </c>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row>
    <row r="67" spans="1:38" ht="31.25" customHeight="1">
      <c r="A67" s="629" t="s">
        <v>1015</v>
      </c>
      <c r="B67" s="630">
        <v>2023</v>
      </c>
      <c r="C67" s="627"/>
      <c r="D67" s="487"/>
      <c r="E67" s="620" t="s">
        <v>1044</v>
      </c>
      <c r="F67" s="621">
        <v>-1006.67</v>
      </c>
      <c r="G67" s="621">
        <v>-905.89999999999998</v>
      </c>
      <c r="H67" s="621">
        <v>100.76999999999998</v>
      </c>
      <c r="I67" s="621"/>
      <c r="J67" s="631">
        <f t="shared" si="12"/>
        <v>-100.76999999999998</v>
      </c>
      <c r="K67" s="621"/>
      <c r="L67" s="621"/>
      <c r="M67" s="631">
        <f t="shared" si="13"/>
        <v>-100.76999999999998</v>
      </c>
      <c r="N67" s="632" t="s">
        <v>829</v>
      </c>
      <c r="O67" s="633">
        <v>254</v>
      </c>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row>
    <row r="68" spans="1:38" ht="26.4" customHeight="1">
      <c r="A68" s="629" t="s">
        <v>1016</v>
      </c>
      <c r="B68" s="630">
        <v>2023</v>
      </c>
      <c r="C68" s="627"/>
      <c r="D68" s="487"/>
      <c r="E68" s="620" t="s">
        <v>1045</v>
      </c>
      <c r="F68" s="621">
        <v>1652.27</v>
      </c>
      <c r="G68" s="621">
        <v>1486.8699999999999</v>
      </c>
      <c r="H68" s="621">
        <v>-165.40000000000009</v>
      </c>
      <c r="I68" s="621"/>
      <c r="J68" s="631">
        <f t="shared" si="12"/>
        <v>165.40000000000009</v>
      </c>
      <c r="K68" s="621"/>
      <c r="L68" s="621"/>
      <c r="M68" s="631">
        <f t="shared" si="13"/>
        <v>165.40000000000009</v>
      </c>
      <c r="N68" s="632" t="s">
        <v>829</v>
      </c>
      <c r="O68" s="633">
        <v>254</v>
      </c>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row>
    <row r="69" spans="1:38" ht="30.65" customHeight="1">
      <c r="A69" s="629" t="s">
        <v>1017</v>
      </c>
      <c r="B69" s="630">
        <v>2023</v>
      </c>
      <c r="C69" s="627"/>
      <c r="D69" s="487"/>
      <c r="E69" s="620" t="s">
        <v>1046</v>
      </c>
      <c r="F69" s="621">
        <v>1286136.8</v>
      </c>
      <c r="G69" s="621">
        <v>1157394.47</v>
      </c>
      <c r="H69" s="621">
        <v>-128742.33000000007</v>
      </c>
      <c r="I69" s="621"/>
      <c r="J69" s="631">
        <f t="shared" si="12"/>
        <v>128742.33000000007</v>
      </c>
      <c r="K69" s="621"/>
      <c r="L69" s="621"/>
      <c r="M69" s="631">
        <f t="shared" si="13"/>
        <v>128742.33000000007</v>
      </c>
      <c r="N69" s="632" t="s">
        <v>829</v>
      </c>
      <c r="O69" s="633">
        <v>254</v>
      </c>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row>
    <row r="70" spans="1:38" ht="26.4" customHeight="1">
      <c r="A70" s="629" t="s">
        <v>1018</v>
      </c>
      <c r="B70" s="630">
        <v>2023</v>
      </c>
      <c r="C70" s="627"/>
      <c r="D70" s="487"/>
      <c r="E70" s="620" t="s">
        <v>1047</v>
      </c>
      <c r="F70" s="621">
        <v>621.5200000000001</v>
      </c>
      <c r="G70" s="621">
        <v>559.31000000000006</v>
      </c>
      <c r="H70" s="621">
        <v>-62.210000000000036</v>
      </c>
      <c r="I70" s="621"/>
      <c r="J70" s="631">
        <f t="shared" si="12"/>
        <v>62.210000000000036</v>
      </c>
      <c r="K70" s="621"/>
      <c r="L70" s="621"/>
      <c r="M70" s="631">
        <f t="shared" si="13"/>
        <v>62.210000000000036</v>
      </c>
      <c r="N70" s="632" t="s">
        <v>829</v>
      </c>
      <c r="O70" s="633">
        <v>254</v>
      </c>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row>
    <row r="71" spans="1:38" ht="31.75" customHeight="1">
      <c r="A71" s="629" t="s">
        <v>1019</v>
      </c>
      <c r="B71" s="630">
        <v>2023</v>
      </c>
      <c r="C71" s="627"/>
      <c r="D71" s="487"/>
      <c r="E71" s="620" t="s">
        <v>1048</v>
      </c>
      <c r="F71" s="621">
        <v>936.72000000000003</v>
      </c>
      <c r="G71" s="621">
        <v>842.95000000000005</v>
      </c>
      <c r="H71" s="621">
        <v>-93.769999999999982</v>
      </c>
      <c r="I71" s="621"/>
      <c r="J71" s="631">
        <f t="shared" si="12"/>
        <v>93.769999999999982</v>
      </c>
      <c r="K71" s="621"/>
      <c r="L71" s="621"/>
      <c r="M71" s="631">
        <f t="shared" si="13"/>
        <v>93.769999999999982</v>
      </c>
      <c r="N71" s="632" t="s">
        <v>829</v>
      </c>
      <c r="O71" s="633">
        <v>254</v>
      </c>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row>
    <row r="72" spans="1:38" ht="30.65" customHeight="1">
      <c r="A72" s="629" t="s">
        <v>1020</v>
      </c>
      <c r="B72" s="630">
        <v>2023</v>
      </c>
      <c r="C72" s="627"/>
      <c r="D72" s="487"/>
      <c r="E72" s="620" t="s">
        <v>1049</v>
      </c>
      <c r="F72" s="621">
        <v>-927.22000000000003</v>
      </c>
      <c r="G72" s="621">
        <v>-834.40000000000009</v>
      </c>
      <c r="H72" s="621">
        <v>92.819999999999936</v>
      </c>
      <c r="I72" s="621"/>
      <c r="J72" s="631">
        <f t="shared" si="12"/>
        <v>-92.819999999999936</v>
      </c>
      <c r="K72" s="621"/>
      <c r="L72" s="621"/>
      <c r="M72" s="631">
        <f t="shared" si="13"/>
        <v>-92.819999999999936</v>
      </c>
      <c r="N72" s="632" t="s">
        <v>829</v>
      </c>
      <c r="O72" s="633">
        <v>254</v>
      </c>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row>
    <row r="73" spans="1:38" ht="31.25" customHeight="1">
      <c r="A73" s="629" t="s">
        <v>1021</v>
      </c>
      <c r="B73" s="630">
        <v>2023</v>
      </c>
      <c r="C73" s="627"/>
      <c r="D73" s="487"/>
      <c r="E73" s="620" t="s">
        <v>1050</v>
      </c>
      <c r="F73" s="621">
        <v>-80174.01999999999</v>
      </c>
      <c r="G73" s="621">
        <v>-72148.600000000006</v>
      </c>
      <c r="H73" s="621">
        <v>8025.4199999999837</v>
      </c>
      <c r="I73" s="621"/>
      <c r="J73" s="631">
        <f t="shared" si="12"/>
        <v>-8025.4199999999837</v>
      </c>
      <c r="K73" s="621"/>
      <c r="L73" s="621"/>
      <c r="M73" s="631">
        <f t="shared" si="13"/>
        <v>-8025.4199999999837</v>
      </c>
      <c r="N73" s="632" t="s">
        <v>829</v>
      </c>
      <c r="O73" s="633">
        <v>254</v>
      </c>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row>
    <row r="74" spans="1:38" ht="27" customHeight="1">
      <c r="A74" s="629" t="s">
        <v>1022</v>
      </c>
      <c r="B74" s="630">
        <v>2023</v>
      </c>
      <c r="C74" s="627"/>
      <c r="D74" s="487"/>
      <c r="E74" s="620" t="s">
        <v>1051</v>
      </c>
      <c r="F74" s="621">
        <v>-19994.27</v>
      </c>
      <c r="G74" s="621">
        <v>-17992.84</v>
      </c>
      <c r="H74" s="621">
        <v>2001.4300000000003</v>
      </c>
      <c r="I74" s="621"/>
      <c r="J74" s="631">
        <f t="shared" si="12"/>
        <v>-2001.4300000000003</v>
      </c>
      <c r="K74" s="621"/>
      <c r="L74" s="621"/>
      <c r="M74" s="631">
        <f t="shared" si="13"/>
        <v>-2001.4300000000003</v>
      </c>
      <c r="N74" s="632" t="s">
        <v>829</v>
      </c>
      <c r="O74" s="633">
        <v>254</v>
      </c>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row>
    <row r="75" spans="1:38" ht="31.75" customHeight="1">
      <c r="A75" s="629" t="s">
        <v>1023</v>
      </c>
      <c r="B75" s="630">
        <v>2023</v>
      </c>
      <c r="C75" s="627"/>
      <c r="D75" s="487"/>
      <c r="E75" s="620" t="s">
        <v>1052</v>
      </c>
      <c r="F75" s="621">
        <v>77.099999999999994</v>
      </c>
      <c r="G75" s="621">
        <v>69.390000000000001</v>
      </c>
      <c r="H75" s="621">
        <v>-7.7099999999999937</v>
      </c>
      <c r="I75" s="621"/>
      <c r="J75" s="631">
        <f t="shared" si="12"/>
        <v>7.7099999999999937</v>
      </c>
      <c r="K75" s="621"/>
      <c r="L75" s="621"/>
      <c r="M75" s="631">
        <f t="shared" si="13"/>
        <v>7.7099999999999937</v>
      </c>
      <c r="N75" s="632" t="s">
        <v>829</v>
      </c>
      <c r="O75" s="633">
        <v>254</v>
      </c>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row>
    <row r="76" spans="1:38" ht="33.65" customHeight="1">
      <c r="A76" s="629" t="s">
        <v>1024</v>
      </c>
      <c r="B76" s="630">
        <v>2023</v>
      </c>
      <c r="C76" s="627"/>
      <c r="D76" s="487"/>
      <c r="E76" s="620" t="s">
        <v>1053</v>
      </c>
      <c r="F76" s="621">
        <v>-2396884.1600000001</v>
      </c>
      <c r="G76" s="621">
        <v>-2156955.9700000002</v>
      </c>
      <c r="H76" s="621">
        <v>239928.18999999994</v>
      </c>
      <c r="I76" s="621"/>
      <c r="J76" s="631">
        <f t="shared" si="12"/>
        <v>-239928.18999999994</v>
      </c>
      <c r="K76" s="621"/>
      <c r="L76" s="621"/>
      <c r="M76" s="631">
        <f t="shared" si="13"/>
        <v>-239928.18999999994</v>
      </c>
      <c r="N76" s="632" t="s">
        <v>829</v>
      </c>
      <c r="O76" s="633">
        <v>254</v>
      </c>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row>
    <row r="77" spans="1:38" ht="28.25" customHeight="1">
      <c r="A77" s="629" t="s">
        <v>1025</v>
      </c>
      <c r="B77" s="630">
        <v>2023</v>
      </c>
      <c r="C77" s="627"/>
      <c r="D77" s="487"/>
      <c r="E77" s="620" t="s">
        <v>1054</v>
      </c>
      <c r="F77" s="621">
        <v>-2596582.0900000003</v>
      </c>
      <c r="G77" s="621">
        <v>-2336664.1400000001</v>
      </c>
      <c r="H77" s="621">
        <v>259917.95000000019</v>
      </c>
      <c r="I77" s="621"/>
      <c r="J77" s="631">
        <f t="shared" si="12"/>
        <v>-259917.95000000019</v>
      </c>
      <c r="K77" s="621"/>
      <c r="L77" s="621"/>
      <c r="M77" s="631">
        <f t="shared" si="13"/>
        <v>-259917.95000000019</v>
      </c>
      <c r="N77" s="632" t="s">
        <v>829</v>
      </c>
      <c r="O77" s="633">
        <v>254</v>
      </c>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row>
    <row r="78" spans="1:38" ht="32.4" customHeight="1">
      <c r="A78" s="629" t="s">
        <v>1026</v>
      </c>
      <c r="B78" s="630">
        <v>2023</v>
      </c>
      <c r="C78" s="627"/>
      <c r="D78" s="487"/>
      <c r="E78" s="620" t="s">
        <v>1055</v>
      </c>
      <c r="F78" s="621">
        <v>2588200.9299999997</v>
      </c>
      <c r="G78" s="621">
        <v>2329121.9399999999</v>
      </c>
      <c r="H78" s="621">
        <v>-259078.98999999976</v>
      </c>
      <c r="I78" s="621"/>
      <c r="J78" s="631">
        <f t="shared" si="12"/>
        <v>259078.98999999976</v>
      </c>
      <c r="K78" s="621"/>
      <c r="L78" s="621"/>
      <c r="M78" s="631">
        <f t="shared" si="13"/>
        <v>259078.98999999976</v>
      </c>
      <c r="N78" s="632" t="s">
        <v>829</v>
      </c>
      <c r="O78" s="633">
        <v>254</v>
      </c>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row>
    <row r="79" spans="1:15" ht="27" customHeight="1">
      <c r="A79" s="629">
        <v>13</v>
      </c>
      <c r="B79" s="489"/>
      <c r="C79" s="627"/>
      <c r="D79" s="627" t="s">
        <v>833</v>
      </c>
      <c r="E79" s="627"/>
      <c r="F79" s="634">
        <f>SUM(F50:F78)</f>
        <v>-12313881.489999996</v>
      </c>
      <c r="G79" s="634">
        <f t="shared" si="14" ref="G79:L79">SUM(G50:G78)</f>
        <v>-11081261.530000005</v>
      </c>
      <c r="H79" s="634">
        <f t="shared" si="14"/>
        <v>1232619.96</v>
      </c>
      <c r="I79" s="634">
        <f t="shared" si="14"/>
        <v>0</v>
      </c>
      <c r="J79" s="634">
        <f t="shared" si="14"/>
        <v>-1232619.96</v>
      </c>
      <c r="K79" s="634">
        <f t="shared" si="14"/>
        <v>62386.699999999837</v>
      </c>
      <c r="L79" s="634">
        <f t="shared" si="14"/>
        <v>0</v>
      </c>
      <c r="M79" s="634">
        <f>SUM(M50:M78)</f>
        <v>-1170233.2600000002</v>
      </c>
      <c r="N79" s="487"/>
      <c r="O79" s="627"/>
    </row>
    <row r="80" spans="1:15" ht="18" customHeight="1">
      <c r="A80" s="489"/>
      <c r="B80" s="489"/>
      <c r="C80" s="635" t="s">
        <v>841</v>
      </c>
      <c r="D80" s="627"/>
      <c r="E80" s="627"/>
      <c r="F80" s="636"/>
      <c r="G80" s="636"/>
      <c r="H80" s="636"/>
      <c r="I80" s="627"/>
      <c r="J80" s="627"/>
      <c r="K80" s="636"/>
      <c r="L80" s="636"/>
      <c r="M80" s="627"/>
      <c r="N80" s="487"/>
      <c r="O80" s="627"/>
    </row>
    <row r="81" spans="1:15" ht="28.25" customHeight="1">
      <c r="A81" s="629">
        <v>14</v>
      </c>
      <c r="B81" s="630"/>
      <c r="C81" s="627"/>
      <c r="D81" s="627"/>
      <c r="E81" s="627" t="s">
        <v>837</v>
      </c>
      <c r="F81" s="631"/>
      <c r="G81" s="631"/>
      <c r="H81" s="631"/>
      <c r="I81" s="631"/>
      <c r="J81" s="631">
        <f>+J48+J79</f>
        <v>-1193200.1499999999</v>
      </c>
      <c r="K81" s="631">
        <f>+K48+K79</f>
        <v>62386.699999999837</v>
      </c>
      <c r="L81" s="631">
        <f>+L48+L79</f>
        <v>0</v>
      </c>
      <c r="M81" s="631">
        <f>+M48+M79</f>
        <v>-1130813.4500000002</v>
      </c>
      <c r="N81" s="487"/>
      <c r="O81" s="627"/>
    </row>
    <row r="82" spans="1:15" ht="28.75" customHeight="1">
      <c r="A82" s="629">
        <v>15</v>
      </c>
      <c r="B82" s="630"/>
      <c r="C82" s="627"/>
      <c r="D82" s="627"/>
      <c r="E82" s="627" t="s">
        <v>838</v>
      </c>
      <c r="F82" s="631"/>
      <c r="G82" s="631"/>
      <c r="H82" s="631"/>
      <c r="I82" s="631"/>
      <c r="J82" s="621">
        <v>-137310.47</v>
      </c>
      <c r="K82" s="621"/>
      <c r="L82" s="621"/>
      <c r="M82" s="631">
        <f>+L82+K82+J82</f>
        <v>-137310.47</v>
      </c>
      <c r="N82" s="487"/>
      <c r="O82" s="627"/>
    </row>
    <row r="83" spans="1:15" s="485" customFormat="1" ht="28.25" customHeight="1" thickBot="1">
      <c r="A83" s="629">
        <v>16</v>
      </c>
      <c r="B83" s="630"/>
      <c r="C83" s="635"/>
      <c r="D83" s="635"/>
      <c r="E83" s="635" t="s">
        <v>839</v>
      </c>
      <c r="F83" s="645"/>
      <c r="G83" s="645"/>
      <c r="H83" s="645"/>
      <c r="I83" s="645"/>
      <c r="J83" s="641">
        <f>+J81+J82</f>
        <v>-1330510.6199999999</v>
      </c>
      <c r="K83" s="641">
        <f>+K81+K82</f>
        <v>62386.699999999837</v>
      </c>
      <c r="L83" s="641">
        <f>+L81+L82</f>
        <v>0</v>
      </c>
      <c r="M83" s="641">
        <f>+M81+M82</f>
        <v>-1268123.9200000002</v>
      </c>
      <c r="N83" s="642"/>
      <c r="O83" s="635"/>
    </row>
    <row r="84" spans="1:15" s="485" customFormat="1" ht="21.65" customHeight="1" thickTop="1">
      <c r="A84" s="489"/>
      <c r="B84" s="489"/>
      <c r="C84" s="635" t="s">
        <v>842</v>
      </c>
      <c r="D84" s="635"/>
      <c r="E84" s="635"/>
      <c r="F84" s="645"/>
      <c r="G84" s="645"/>
      <c r="H84" s="645"/>
      <c r="I84" s="627"/>
      <c r="J84" s="637"/>
      <c r="K84" s="640"/>
      <c r="L84" s="640"/>
      <c r="M84" s="637"/>
      <c r="N84" s="642"/>
      <c r="O84" s="635"/>
    </row>
    <row r="85" spans="1:15" s="485" customFormat="1" ht="30" customHeight="1">
      <c r="A85" s="629">
        <v>17</v>
      </c>
      <c r="B85" s="630"/>
      <c r="C85" s="635"/>
      <c r="D85" s="635"/>
      <c r="E85" s="627" t="s">
        <v>837</v>
      </c>
      <c r="F85" s="645"/>
      <c r="G85" s="645"/>
      <c r="H85" s="645"/>
      <c r="I85" s="645"/>
      <c r="J85" s="621">
        <v>-1144568.4400000002</v>
      </c>
      <c r="K85" s="621">
        <v>62386.699999999837</v>
      </c>
      <c r="L85" s="621"/>
      <c r="M85" s="621">
        <v>-1082181.7400000005</v>
      </c>
      <c r="N85" s="642"/>
      <c r="O85" s="635"/>
    </row>
    <row r="86" spans="1:15" s="485" customFormat="1" ht="26.4" customHeight="1">
      <c r="A86" s="629">
        <v>18</v>
      </c>
      <c r="B86" s="630"/>
      <c r="C86" s="635"/>
      <c r="D86" s="635"/>
      <c r="E86" s="627" t="s">
        <v>838</v>
      </c>
      <c r="F86" s="645"/>
      <c r="G86" s="645"/>
      <c r="H86" s="645"/>
      <c r="I86" s="645"/>
      <c r="J86" s="621">
        <v>-123400.9655607381</v>
      </c>
      <c r="K86" s="621"/>
      <c r="L86" s="621"/>
      <c r="M86" s="621">
        <v>-123400.9655607381</v>
      </c>
      <c r="N86" s="642"/>
      <c r="O86" s="635"/>
    </row>
    <row r="87" spans="1:15" ht="28.75" customHeight="1" thickBot="1">
      <c r="A87" s="629">
        <v>19</v>
      </c>
      <c r="B87" s="630"/>
      <c r="C87" s="635"/>
      <c r="D87" s="627"/>
      <c r="E87" s="635" t="s">
        <v>839</v>
      </c>
      <c r="F87" s="627"/>
      <c r="G87" s="627"/>
      <c r="H87" s="627"/>
      <c r="I87" s="627"/>
      <c r="J87" s="641">
        <f>SUM(J85:J86)</f>
        <v>-1267969.4055607382</v>
      </c>
      <c r="K87" s="641">
        <f t="shared" si="15" ref="K87:M87">SUM(K85:K86)</f>
        <v>62386.699999999837</v>
      </c>
      <c r="L87" s="641">
        <f t="shared" si="15"/>
        <v>0</v>
      </c>
      <c r="M87" s="641">
        <f t="shared" si="15"/>
        <v>-1205582.7055607385</v>
      </c>
      <c r="N87" s="487"/>
      <c r="O87" s="627"/>
    </row>
    <row r="88" spans="1:15" s="498" customFormat="1" ht="16" thickTop="1">
      <c r="A88" s="643"/>
      <c r="B88" s="643"/>
      <c r="C88" s="643"/>
      <c r="D88" s="643"/>
      <c r="E88" s="643"/>
      <c r="F88" s="643"/>
      <c r="G88" s="643"/>
      <c r="H88" s="643"/>
      <c r="I88" s="643"/>
      <c r="J88" s="643"/>
      <c r="K88" s="643"/>
      <c r="L88" s="643"/>
      <c r="M88" s="643"/>
      <c r="N88" s="643"/>
      <c r="O88" s="643"/>
    </row>
    <row r="89" spans="1:15" ht="15.5">
      <c r="A89" s="489"/>
      <c r="B89" s="489"/>
      <c r="C89" s="627"/>
      <c r="D89" s="627"/>
      <c r="E89" s="627"/>
      <c r="F89" s="627"/>
      <c r="G89" s="627"/>
      <c r="H89" s="627"/>
      <c r="I89" s="627"/>
      <c r="J89" s="627"/>
      <c r="K89" s="627"/>
      <c r="L89" s="627"/>
      <c r="M89" s="627"/>
      <c r="N89" s="487"/>
      <c r="O89" s="646" t="s">
        <v>856</v>
      </c>
    </row>
    <row r="90" spans="1:15" ht="15.5">
      <c r="A90" s="489"/>
      <c r="B90" s="489"/>
      <c r="C90" s="627"/>
      <c r="D90" s="627"/>
      <c r="E90" s="627"/>
      <c r="F90" s="627"/>
      <c r="G90" s="627"/>
      <c r="H90" s="627"/>
      <c r="I90" s="627"/>
      <c r="J90" s="627"/>
      <c r="K90" s="627"/>
      <c r="L90" s="627"/>
      <c r="M90" s="627"/>
      <c r="N90" s="487"/>
      <c r="O90" s="466" t="s">
        <v>857</v>
      </c>
    </row>
    <row r="91" spans="1:15" ht="15.5">
      <c r="A91" s="489"/>
      <c r="B91" s="489"/>
      <c r="C91" s="627"/>
      <c r="D91" s="627"/>
      <c r="E91" s="627"/>
      <c r="F91" s="627"/>
      <c r="G91" s="627"/>
      <c r="H91" s="627"/>
      <c r="I91" s="627"/>
      <c r="J91" s="627"/>
      <c r="K91" s="627"/>
      <c r="L91" s="627"/>
      <c r="M91" s="627"/>
      <c r="N91" s="487"/>
      <c r="O91" s="646" t="str">
        <f>O3</f>
        <v>For the 12 months ended 12/31/2022</v>
      </c>
    </row>
    <row r="92" spans="1:15" ht="14.5">
      <c r="A92" s="489"/>
      <c r="B92" s="489"/>
      <c r="C92" s="627"/>
      <c r="D92" s="627"/>
      <c r="E92" s="635"/>
      <c r="F92" s="627"/>
      <c r="G92" s="627"/>
      <c r="H92" s="627"/>
      <c r="I92" s="627"/>
      <c r="J92" s="627"/>
      <c r="K92" s="627"/>
      <c r="L92" s="627"/>
      <c r="M92" s="647"/>
      <c r="N92" s="487"/>
      <c r="O92" s="627"/>
    </row>
    <row r="93" spans="1:15" s="405" customFormat="1" ht="30.65" customHeight="1">
      <c r="A93" s="622"/>
      <c r="B93" s="623" t="s">
        <v>652</v>
      </c>
      <c r="C93" s="624"/>
      <c r="D93" s="624"/>
      <c r="E93" s="623" t="s">
        <v>653</v>
      </c>
      <c r="F93" s="623" t="s">
        <v>654</v>
      </c>
      <c r="G93" s="623" t="s">
        <v>655</v>
      </c>
      <c r="H93" s="623" t="s">
        <v>656</v>
      </c>
      <c r="I93" s="623" t="s">
        <v>657</v>
      </c>
      <c r="J93" s="623" t="s">
        <v>658</v>
      </c>
      <c r="K93" s="623" t="s">
        <v>659</v>
      </c>
      <c r="L93" s="623" t="s">
        <v>843</v>
      </c>
      <c r="M93" s="623" t="s">
        <v>844</v>
      </c>
      <c r="N93" s="623" t="s">
        <v>848</v>
      </c>
      <c r="O93" s="623" t="s">
        <v>853</v>
      </c>
    </row>
    <row r="94" spans="1:15" ht="60" customHeight="1">
      <c r="A94" s="489"/>
      <c r="B94" s="489"/>
      <c r="C94" s="487"/>
      <c r="D94" s="487"/>
      <c r="E94" s="487"/>
      <c r="F94" s="683" t="s">
        <v>881</v>
      </c>
      <c r="G94" s="684"/>
      <c r="H94" s="685"/>
      <c r="I94" s="488" t="s">
        <v>882</v>
      </c>
      <c r="J94" s="488" t="s">
        <v>883</v>
      </c>
      <c r="K94" s="686" t="s">
        <v>884</v>
      </c>
      <c r="L94" s="687"/>
      <c r="M94" s="688"/>
      <c r="N94" s="625"/>
      <c r="O94" s="625"/>
    </row>
    <row r="95" spans="1:15" ht="93" customHeight="1">
      <c r="A95" s="626" t="s">
        <v>255</v>
      </c>
      <c r="B95" s="626" t="s">
        <v>869</v>
      </c>
      <c r="C95" s="627"/>
      <c r="D95" s="627"/>
      <c r="E95" s="489" t="s">
        <v>880</v>
      </c>
      <c r="F95" s="490" t="s">
        <v>872</v>
      </c>
      <c r="G95" s="490" t="s">
        <v>873</v>
      </c>
      <c r="H95" s="490" t="s">
        <v>874</v>
      </c>
      <c r="I95" s="488" t="s">
        <v>824</v>
      </c>
      <c r="J95" s="488" t="s">
        <v>885</v>
      </c>
      <c r="K95" s="491" t="s">
        <v>825</v>
      </c>
      <c r="L95" s="490" t="s">
        <v>860</v>
      </c>
      <c r="M95" s="488" t="s">
        <v>875</v>
      </c>
      <c r="N95" s="492" t="s">
        <v>826</v>
      </c>
      <c r="O95" s="493" t="s">
        <v>861</v>
      </c>
    </row>
    <row r="96" spans="1:15" ht="14.5">
      <c r="A96" s="489"/>
      <c r="B96" s="489"/>
      <c r="C96" s="628" t="s">
        <v>827</v>
      </c>
      <c r="D96" s="627"/>
      <c r="E96" s="627"/>
      <c r="F96" s="494"/>
      <c r="G96" s="494"/>
      <c r="H96" s="494"/>
      <c r="I96" s="494"/>
      <c r="J96" s="494"/>
      <c r="K96" s="627"/>
      <c r="L96" s="494"/>
      <c r="M96" s="494"/>
      <c r="N96" s="487"/>
      <c r="O96" s="627"/>
    </row>
    <row r="97" spans="1:15" s="485" customFormat="1" ht="14.5">
      <c r="A97" s="629">
        <v>20</v>
      </c>
      <c r="B97" s="489"/>
      <c r="C97" s="627" t="s">
        <v>828</v>
      </c>
      <c r="D97" s="627"/>
      <c r="E97" s="627"/>
      <c r="F97" s="627"/>
      <c r="G97" s="627"/>
      <c r="H97" s="627"/>
      <c r="I97" s="627"/>
      <c r="J97" s="627"/>
      <c r="K97" s="627"/>
      <c r="L97" s="627"/>
      <c r="M97" s="627"/>
      <c r="N97" s="487"/>
      <c r="O97" s="448"/>
    </row>
    <row r="98" spans="1:15" s="485" customFormat="1" ht="14.5">
      <c r="A98" s="629" t="s">
        <v>864</v>
      </c>
      <c r="B98" s="630"/>
      <c r="C98" s="627"/>
      <c r="D98" s="627"/>
      <c r="E98" s="620"/>
      <c r="F98" s="621"/>
      <c r="G98" s="621"/>
      <c r="H98" s="621"/>
      <c r="I98" s="621"/>
      <c r="J98" s="631">
        <f>-(H98+I98)</f>
        <v>0</v>
      </c>
      <c r="K98" s="621"/>
      <c r="L98" s="621"/>
      <c r="M98" s="631">
        <f>+L98+K98+J98</f>
        <v>0</v>
      </c>
      <c r="N98" s="632"/>
      <c r="O98" s="633"/>
    </row>
    <row r="99" spans="1:15" s="485" customFormat="1" ht="14.5">
      <c r="A99" s="629">
        <f>A97+1</f>
        <v>21</v>
      </c>
      <c r="B99" s="489"/>
      <c r="C99" s="627"/>
      <c r="D99" s="627" t="s">
        <v>831</v>
      </c>
      <c r="E99" s="627"/>
      <c r="F99" s="634">
        <f t="shared" si="16" ref="F99:M99">SUM(F98:F98)</f>
        <v>0</v>
      </c>
      <c r="G99" s="634">
        <f t="shared" si="16"/>
        <v>0</v>
      </c>
      <c r="H99" s="634">
        <f t="shared" si="16"/>
        <v>0</v>
      </c>
      <c r="I99" s="634">
        <f t="shared" si="16"/>
        <v>0</v>
      </c>
      <c r="J99" s="634">
        <f t="shared" si="16"/>
        <v>0</v>
      </c>
      <c r="K99" s="634">
        <f t="shared" si="16"/>
        <v>0</v>
      </c>
      <c r="L99" s="634">
        <f t="shared" si="16"/>
        <v>0</v>
      </c>
      <c r="M99" s="634">
        <f t="shared" si="16"/>
        <v>0</v>
      </c>
      <c r="N99" s="487"/>
      <c r="O99" s="627"/>
    </row>
    <row r="100" spans="1:15" s="485" customFormat="1" ht="14.5">
      <c r="A100" s="629">
        <f>A99+1</f>
        <v>22</v>
      </c>
      <c r="B100" s="489"/>
      <c r="C100" s="627" t="s">
        <v>832</v>
      </c>
      <c r="D100" s="627"/>
      <c r="E100" s="627"/>
      <c r="F100" s="631"/>
      <c r="G100" s="631"/>
      <c r="H100" s="631"/>
      <c r="I100" s="631"/>
      <c r="J100" s="631"/>
      <c r="K100" s="631"/>
      <c r="L100" s="631"/>
      <c r="M100" s="631"/>
      <c r="N100" s="487"/>
      <c r="O100" s="627"/>
    </row>
    <row r="101" spans="1:15" s="485" customFormat="1" ht="14.5">
      <c r="A101" s="629" t="s">
        <v>863</v>
      </c>
      <c r="B101" s="630"/>
      <c r="C101" s="627"/>
      <c r="D101" s="627"/>
      <c r="E101" s="620"/>
      <c r="F101" s="621"/>
      <c r="G101" s="621"/>
      <c r="H101" s="621"/>
      <c r="I101" s="621"/>
      <c r="J101" s="631">
        <f t="shared" si="17" ref="J101">-(H101+I101)</f>
        <v>0</v>
      </c>
      <c r="K101" s="621"/>
      <c r="L101" s="621"/>
      <c r="M101" s="631">
        <v>0</v>
      </c>
      <c r="N101" s="632"/>
      <c r="O101" s="633"/>
    </row>
    <row r="102" spans="1:15" s="485" customFormat="1" ht="14.5">
      <c r="A102" s="629">
        <f>A100+1</f>
        <v>23</v>
      </c>
      <c r="B102" s="489"/>
      <c r="C102" s="627"/>
      <c r="D102" s="627" t="s">
        <v>833</v>
      </c>
      <c r="E102" s="627"/>
      <c r="F102" s="634">
        <f t="shared" si="18" ref="F102:M102">SUM(F101:F101)</f>
        <v>0</v>
      </c>
      <c r="G102" s="634">
        <f t="shared" si="18"/>
        <v>0</v>
      </c>
      <c r="H102" s="634">
        <f t="shared" si="18"/>
        <v>0</v>
      </c>
      <c r="I102" s="634">
        <f t="shared" si="18"/>
        <v>0</v>
      </c>
      <c r="J102" s="634">
        <f t="shared" si="18"/>
        <v>0</v>
      </c>
      <c r="K102" s="634">
        <f t="shared" si="18"/>
        <v>0</v>
      </c>
      <c r="L102" s="634">
        <f t="shared" si="18"/>
        <v>0</v>
      </c>
      <c r="M102" s="634">
        <f t="shared" si="18"/>
        <v>0</v>
      </c>
      <c r="N102" s="487"/>
      <c r="O102" s="627"/>
    </row>
    <row r="103" spans="1:15" s="485" customFormat="1" ht="14.5">
      <c r="A103" s="629">
        <f>A102+1</f>
        <v>24</v>
      </c>
      <c r="B103" s="489"/>
      <c r="C103" s="627" t="s">
        <v>834</v>
      </c>
      <c r="D103" s="627"/>
      <c r="E103" s="627"/>
      <c r="F103" s="631"/>
      <c r="G103" s="631"/>
      <c r="H103" s="631"/>
      <c r="I103" s="631"/>
      <c r="J103" s="631"/>
      <c r="K103" s="631"/>
      <c r="L103" s="631"/>
      <c r="M103" s="631"/>
      <c r="N103" s="487"/>
      <c r="O103" s="627"/>
    </row>
    <row r="104" spans="1:15" s="485" customFormat="1" ht="14.5">
      <c r="A104" s="629" t="s">
        <v>865</v>
      </c>
      <c r="B104" s="630"/>
      <c r="C104" s="627"/>
      <c r="D104" s="627"/>
      <c r="E104" s="620"/>
      <c r="F104" s="621"/>
      <c r="G104" s="621"/>
      <c r="H104" s="621"/>
      <c r="I104" s="621"/>
      <c r="J104" s="631">
        <f t="shared" si="19" ref="J104">-(H104+I104)</f>
        <v>0</v>
      </c>
      <c r="K104" s="621"/>
      <c r="L104" s="621"/>
      <c r="M104" s="631">
        <f t="shared" si="20" ref="M104">+L104+K104+J104</f>
        <v>0</v>
      </c>
      <c r="N104" s="632"/>
      <c r="O104" s="633"/>
    </row>
    <row r="105" spans="1:15" s="485" customFormat="1" ht="14.5">
      <c r="A105" s="629">
        <f>A103+1</f>
        <v>25</v>
      </c>
      <c r="B105" s="489"/>
      <c r="C105" s="627"/>
      <c r="D105" s="627" t="s">
        <v>835</v>
      </c>
      <c r="E105" s="627"/>
      <c r="F105" s="634">
        <f t="shared" si="21" ref="F105:M105">SUM(F104:F104)</f>
        <v>0</v>
      </c>
      <c r="G105" s="634">
        <f t="shared" si="21"/>
        <v>0</v>
      </c>
      <c r="H105" s="634">
        <f t="shared" si="21"/>
        <v>0</v>
      </c>
      <c r="I105" s="634">
        <f t="shared" si="21"/>
        <v>0</v>
      </c>
      <c r="J105" s="634">
        <f t="shared" si="21"/>
        <v>0</v>
      </c>
      <c r="K105" s="634">
        <f t="shared" si="21"/>
        <v>0</v>
      </c>
      <c r="L105" s="634">
        <f t="shared" si="21"/>
        <v>0</v>
      </c>
      <c r="M105" s="634">
        <f t="shared" si="21"/>
        <v>0</v>
      </c>
      <c r="N105" s="487"/>
      <c r="O105" s="627"/>
    </row>
    <row r="106" spans="1:15" s="485" customFormat="1" ht="14.5">
      <c r="A106" s="489"/>
      <c r="B106" s="489"/>
      <c r="C106" s="635" t="s">
        <v>836</v>
      </c>
      <c r="D106" s="635"/>
      <c r="E106" s="635"/>
      <c r="F106" s="636"/>
      <c r="G106" s="636"/>
      <c r="H106" s="636"/>
      <c r="I106" s="627"/>
      <c r="J106" s="637"/>
      <c r="K106" s="636"/>
      <c r="L106" s="636"/>
      <c r="M106" s="637"/>
      <c r="N106" s="487"/>
      <c r="O106" s="627"/>
    </row>
    <row r="107" spans="1:15" s="485" customFormat="1" ht="14.5">
      <c r="A107" s="629">
        <f>A105+1</f>
        <v>26</v>
      </c>
      <c r="B107" s="630"/>
      <c r="C107" s="627"/>
      <c r="D107" s="627"/>
      <c r="E107" s="627" t="s">
        <v>837</v>
      </c>
      <c r="F107" s="636"/>
      <c r="G107" s="636"/>
      <c r="H107" s="636"/>
      <c r="I107" s="636"/>
      <c r="J107" s="636">
        <f>+J99+J102+J105</f>
        <v>0</v>
      </c>
      <c r="K107" s="636">
        <f>+K99+K102+K105</f>
        <v>0</v>
      </c>
      <c r="L107" s="636">
        <f>+L99+L102+L105</f>
        <v>0</v>
      </c>
      <c r="M107" s="636">
        <f>+M99+M102+M105</f>
        <v>0</v>
      </c>
      <c r="N107" s="487"/>
      <c r="O107" s="627"/>
    </row>
    <row r="108" spans="1:15" s="485" customFormat="1" ht="14.5">
      <c r="A108" s="629">
        <f>A107+1</f>
        <v>27</v>
      </c>
      <c r="B108" s="630"/>
      <c r="C108" s="627"/>
      <c r="D108" s="627"/>
      <c r="E108" s="627" t="s">
        <v>838</v>
      </c>
      <c r="F108" s="636"/>
      <c r="G108" s="636"/>
      <c r="H108" s="636"/>
      <c r="I108" s="636"/>
      <c r="J108" s="638"/>
      <c r="K108" s="638"/>
      <c r="L108" s="638"/>
      <c r="M108" s="636">
        <f>+L108+K108+J108</f>
        <v>0</v>
      </c>
      <c r="N108" s="487"/>
      <c r="O108" s="627"/>
    </row>
    <row r="109" spans="1:15" s="485" customFormat="1" ht="22.75" customHeight="1" thickBot="1">
      <c r="A109" s="629">
        <f>A108+1</f>
        <v>28</v>
      </c>
      <c r="B109" s="630"/>
      <c r="C109" s="635"/>
      <c r="D109" s="635"/>
      <c r="E109" s="635" t="s">
        <v>839</v>
      </c>
      <c r="F109" s="640"/>
      <c r="G109" s="640"/>
      <c r="H109" s="640"/>
      <c r="I109" s="640"/>
      <c r="J109" s="641">
        <f>SUM(J107:J108)</f>
        <v>0</v>
      </c>
      <c r="K109" s="641">
        <f t="shared" si="22" ref="K109:M109">SUM(K107:K108)</f>
        <v>0</v>
      </c>
      <c r="L109" s="641">
        <f t="shared" si="22"/>
        <v>0</v>
      </c>
      <c r="M109" s="641">
        <f t="shared" si="22"/>
        <v>0</v>
      </c>
      <c r="N109" s="642"/>
      <c r="O109" s="635"/>
    </row>
    <row r="110" spans="1:15" s="485" customFormat="1" ht="15" thickTop="1">
      <c r="A110" s="648"/>
      <c r="B110" s="648"/>
      <c r="C110" s="635"/>
      <c r="D110" s="635"/>
      <c r="E110" s="635"/>
      <c r="F110" s="640"/>
      <c r="G110" s="640"/>
      <c r="H110" s="640"/>
      <c r="I110" s="640"/>
      <c r="J110" s="640"/>
      <c r="K110" s="640"/>
      <c r="L110" s="640"/>
      <c r="M110" s="640"/>
      <c r="N110" s="642"/>
      <c r="O110" s="635"/>
    </row>
    <row r="111" spans="1:15" ht="14.5">
      <c r="A111" s="489"/>
      <c r="B111" s="489"/>
      <c r="C111" s="628" t="s">
        <v>840</v>
      </c>
      <c r="D111" s="627"/>
      <c r="E111" s="627"/>
      <c r="F111" s="631"/>
      <c r="G111" s="631"/>
      <c r="H111" s="631"/>
      <c r="I111" s="644"/>
      <c r="J111" s="631"/>
      <c r="K111" s="631"/>
      <c r="L111" s="631"/>
      <c r="M111" s="631"/>
      <c r="N111" s="487"/>
      <c r="O111" s="627"/>
    </row>
    <row r="112" spans="1:15" ht="14.5">
      <c r="A112" s="629">
        <f>A109+1</f>
        <v>29</v>
      </c>
      <c r="B112" s="489"/>
      <c r="C112" s="627" t="s">
        <v>828</v>
      </c>
      <c r="D112" s="627"/>
      <c r="E112" s="627"/>
      <c r="F112" s="631"/>
      <c r="G112" s="631"/>
      <c r="H112" s="631"/>
      <c r="I112" s="631"/>
      <c r="J112" s="631"/>
      <c r="K112" s="631"/>
      <c r="L112" s="631"/>
      <c r="M112" s="631"/>
      <c r="N112" s="487"/>
      <c r="O112" s="627"/>
    </row>
    <row r="113" spans="1:36" ht="14.5">
      <c r="A113" s="629" t="s">
        <v>866</v>
      </c>
      <c r="B113" s="630"/>
      <c r="C113" s="627"/>
      <c r="D113" s="487"/>
      <c r="E113" s="620"/>
      <c r="F113" s="621"/>
      <c r="G113" s="621"/>
      <c r="H113" s="621"/>
      <c r="I113" s="621"/>
      <c r="J113" s="631">
        <f t="shared" si="23" ref="J113">-(H113+I113)</f>
        <v>0</v>
      </c>
      <c r="K113" s="621"/>
      <c r="L113" s="621"/>
      <c r="M113" s="631">
        <f t="shared" si="24" ref="M113">+L113+K113+J113</f>
        <v>0</v>
      </c>
      <c r="N113" s="632"/>
      <c r="O113" s="633"/>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row>
    <row r="114" spans="1:15" ht="14.5">
      <c r="A114" s="629">
        <f>A112+1</f>
        <v>30</v>
      </c>
      <c r="B114" s="489"/>
      <c r="C114" s="627"/>
      <c r="D114" s="627" t="s">
        <v>831</v>
      </c>
      <c r="E114" s="627"/>
      <c r="F114" s="634">
        <f t="shared" si="25" ref="F114:M114">SUM(F113:F113)</f>
        <v>0</v>
      </c>
      <c r="G114" s="634">
        <f t="shared" si="25"/>
        <v>0</v>
      </c>
      <c r="H114" s="634">
        <f t="shared" si="25"/>
        <v>0</v>
      </c>
      <c r="I114" s="634">
        <f t="shared" si="25"/>
        <v>0</v>
      </c>
      <c r="J114" s="634">
        <f t="shared" si="25"/>
        <v>0</v>
      </c>
      <c r="K114" s="634">
        <f t="shared" si="25"/>
        <v>0</v>
      </c>
      <c r="L114" s="634">
        <f t="shared" si="25"/>
        <v>0</v>
      </c>
      <c r="M114" s="634">
        <f t="shared" si="25"/>
        <v>0</v>
      </c>
      <c r="N114" s="487"/>
      <c r="O114" s="627"/>
    </row>
    <row r="115" spans="1:15" ht="14.5">
      <c r="A115" s="629">
        <f>A114+1</f>
        <v>31</v>
      </c>
      <c r="B115" s="489"/>
      <c r="C115" s="627" t="s">
        <v>832</v>
      </c>
      <c r="D115" s="627"/>
      <c r="E115" s="627"/>
      <c r="F115" s="631"/>
      <c r="G115" s="631"/>
      <c r="H115" s="631"/>
      <c r="I115" s="631"/>
      <c r="J115" s="631"/>
      <c r="K115" s="631"/>
      <c r="L115" s="631"/>
      <c r="M115" s="631"/>
      <c r="N115" s="487"/>
      <c r="O115" s="627"/>
    </row>
    <row r="116" spans="1:38" ht="14.5">
      <c r="A116" s="629" t="s">
        <v>867</v>
      </c>
      <c r="B116" s="630"/>
      <c r="C116" s="627"/>
      <c r="D116" s="487"/>
      <c r="E116" s="620"/>
      <c r="F116" s="621"/>
      <c r="G116" s="621"/>
      <c r="H116" s="621"/>
      <c r="I116" s="621"/>
      <c r="J116" s="631">
        <f t="shared" si="26" ref="J116">-(H116+I116)</f>
        <v>0</v>
      </c>
      <c r="K116" s="621"/>
      <c r="L116" s="621"/>
      <c r="M116" s="631">
        <f t="shared" si="27" ref="M116">+L116+K116+J116</f>
        <v>0</v>
      </c>
      <c r="N116" s="632"/>
      <c r="O116" s="633"/>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row>
    <row r="117" spans="1:15" ht="14.5">
      <c r="A117" s="629">
        <f>A115+1</f>
        <v>32</v>
      </c>
      <c r="B117" s="489"/>
      <c r="C117" s="627"/>
      <c r="D117" s="627" t="s">
        <v>833</v>
      </c>
      <c r="E117" s="627"/>
      <c r="F117" s="634">
        <f t="shared" si="28" ref="F117:M117">SUM(F116:F116)</f>
        <v>0</v>
      </c>
      <c r="G117" s="634">
        <f t="shared" si="28"/>
        <v>0</v>
      </c>
      <c r="H117" s="634">
        <f t="shared" si="28"/>
        <v>0</v>
      </c>
      <c r="I117" s="634">
        <f t="shared" si="28"/>
        <v>0</v>
      </c>
      <c r="J117" s="634">
        <f t="shared" si="28"/>
        <v>0</v>
      </c>
      <c r="K117" s="634">
        <f t="shared" si="28"/>
        <v>0</v>
      </c>
      <c r="L117" s="634">
        <f t="shared" si="28"/>
        <v>0</v>
      </c>
      <c r="M117" s="634">
        <f t="shared" si="28"/>
        <v>0</v>
      </c>
      <c r="N117" s="487"/>
      <c r="O117" s="627"/>
    </row>
    <row r="118" spans="1:15" ht="18" customHeight="1">
      <c r="A118" s="489"/>
      <c r="B118" s="489"/>
      <c r="C118" s="635" t="s">
        <v>841</v>
      </c>
      <c r="D118" s="627"/>
      <c r="E118" s="627"/>
      <c r="F118" s="636"/>
      <c r="G118" s="636"/>
      <c r="H118" s="636"/>
      <c r="I118" s="627"/>
      <c r="J118" s="627"/>
      <c r="K118" s="636"/>
      <c r="L118" s="636"/>
      <c r="M118" s="627"/>
      <c r="N118" s="487"/>
      <c r="O118" s="627"/>
    </row>
    <row r="119" spans="1:15" ht="14.5">
      <c r="A119" s="629">
        <f>A117+1</f>
        <v>33</v>
      </c>
      <c r="B119" s="630"/>
      <c r="C119" s="627"/>
      <c r="D119" s="627"/>
      <c r="E119" s="627" t="s">
        <v>837</v>
      </c>
      <c r="F119" s="631"/>
      <c r="G119" s="631"/>
      <c r="H119" s="631"/>
      <c r="I119" s="631"/>
      <c r="J119" s="631">
        <f>+J114+J117</f>
        <v>0</v>
      </c>
      <c r="K119" s="631">
        <f>+K114+K117</f>
        <v>0</v>
      </c>
      <c r="L119" s="631">
        <f>+L114+L117</f>
        <v>0</v>
      </c>
      <c r="M119" s="631">
        <f>+M114+M117</f>
        <v>0</v>
      </c>
      <c r="N119" s="487"/>
      <c r="O119" s="627"/>
    </row>
    <row r="120" spans="1:15" ht="14.5">
      <c r="A120" s="629">
        <f>A119+1</f>
        <v>34</v>
      </c>
      <c r="B120" s="630"/>
      <c r="C120" s="627"/>
      <c r="D120" s="627"/>
      <c r="E120" s="627" t="s">
        <v>838</v>
      </c>
      <c r="F120" s="631"/>
      <c r="G120" s="631"/>
      <c r="H120" s="631"/>
      <c r="I120" s="631"/>
      <c r="J120" s="621"/>
      <c r="K120" s="621"/>
      <c r="L120" s="621"/>
      <c r="M120" s="631">
        <f>+L120+K120+J120</f>
        <v>0</v>
      </c>
      <c r="N120" s="487"/>
      <c r="O120" s="627"/>
    </row>
    <row r="121" spans="1:15" s="485" customFormat="1" ht="19.25" customHeight="1" thickBot="1">
      <c r="A121" s="629">
        <f>A120+1</f>
        <v>35</v>
      </c>
      <c r="B121" s="630"/>
      <c r="C121" s="635"/>
      <c r="D121" s="635"/>
      <c r="E121" s="635" t="s">
        <v>839</v>
      </c>
      <c r="F121" s="645"/>
      <c r="G121" s="645"/>
      <c r="H121" s="645"/>
      <c r="I121" s="645"/>
      <c r="J121" s="641">
        <f>+J119+J120</f>
        <v>0</v>
      </c>
      <c r="K121" s="641">
        <f>+K119+K120</f>
        <v>0</v>
      </c>
      <c r="L121" s="641">
        <f>+L119+L120</f>
        <v>0</v>
      </c>
      <c r="M121" s="641">
        <f>+M119+M120</f>
        <v>0</v>
      </c>
      <c r="N121" s="642"/>
      <c r="O121" s="635"/>
    </row>
    <row r="122" spans="1:15" s="485" customFormat="1" ht="15" thickTop="1">
      <c r="A122" s="489"/>
      <c r="B122" s="489"/>
      <c r="C122" s="635" t="s">
        <v>842</v>
      </c>
      <c r="D122" s="635"/>
      <c r="E122" s="635"/>
      <c r="F122" s="645"/>
      <c r="G122" s="645"/>
      <c r="H122" s="645"/>
      <c r="I122" s="627"/>
      <c r="J122" s="637"/>
      <c r="K122" s="640"/>
      <c r="L122" s="640"/>
      <c r="M122" s="637"/>
      <c r="N122" s="642"/>
      <c r="O122" s="635"/>
    </row>
    <row r="123" spans="1:15" s="485" customFormat="1" ht="14.5">
      <c r="A123" s="629">
        <f>A121+1</f>
        <v>36</v>
      </c>
      <c r="B123" s="630"/>
      <c r="C123" s="635"/>
      <c r="D123" s="635"/>
      <c r="E123" s="627" t="s">
        <v>837</v>
      </c>
      <c r="F123" s="645"/>
      <c r="G123" s="645"/>
      <c r="H123" s="645"/>
      <c r="I123" s="645"/>
      <c r="J123" s="621">
        <f t="shared" si="29" ref="J123:M124">J119+J107</f>
        <v>0</v>
      </c>
      <c r="K123" s="621">
        <f t="shared" si="29"/>
        <v>0</v>
      </c>
      <c r="L123" s="621">
        <f t="shared" si="29"/>
        <v>0</v>
      </c>
      <c r="M123" s="621">
        <f t="shared" si="29"/>
        <v>0</v>
      </c>
      <c r="N123" s="642"/>
      <c r="O123" s="635"/>
    </row>
    <row r="124" spans="1:15" s="485" customFormat="1" ht="14.5">
      <c r="A124" s="629">
        <f>A123+1</f>
        <v>37</v>
      </c>
      <c r="B124" s="630"/>
      <c r="C124" s="635"/>
      <c r="D124" s="635"/>
      <c r="E124" s="627" t="s">
        <v>838</v>
      </c>
      <c r="F124" s="645"/>
      <c r="G124" s="645"/>
      <c r="H124" s="645"/>
      <c r="I124" s="645"/>
      <c r="J124" s="621">
        <f t="shared" si="29"/>
        <v>0</v>
      </c>
      <c r="K124" s="621">
        <f t="shared" si="29"/>
        <v>0</v>
      </c>
      <c r="L124" s="621">
        <f t="shared" si="29"/>
        <v>0</v>
      </c>
      <c r="M124" s="621">
        <f t="shared" si="29"/>
        <v>0</v>
      </c>
      <c r="N124" s="642"/>
      <c r="O124" s="635"/>
    </row>
    <row r="125" spans="1:15" ht="22.25" customHeight="1" thickBot="1">
      <c r="A125" s="629">
        <f>A124+1</f>
        <v>38</v>
      </c>
      <c r="B125" s="630"/>
      <c r="C125" s="635"/>
      <c r="D125" s="627"/>
      <c r="E125" s="635" t="s">
        <v>839</v>
      </c>
      <c r="F125" s="627"/>
      <c r="G125" s="627"/>
      <c r="H125" s="627"/>
      <c r="I125" s="627"/>
      <c r="J125" s="641">
        <f>SUM(J123:J124)</f>
        <v>0</v>
      </c>
      <c r="K125" s="641">
        <f t="shared" si="30" ref="K125">SUM(K123:K124)</f>
        <v>0</v>
      </c>
      <c r="L125" s="641">
        <f t="shared" si="31" ref="L125">SUM(L123:L124)</f>
        <v>0</v>
      </c>
      <c r="M125" s="641">
        <f t="shared" si="32" ref="M125">SUM(M123:M124)</f>
        <v>0</v>
      </c>
      <c r="N125" s="487"/>
      <c r="O125" s="627"/>
    </row>
    <row r="126" spans="1:15" ht="15" thickTop="1">
      <c r="A126" s="489"/>
      <c r="B126" s="489"/>
      <c r="C126" s="627"/>
      <c r="D126" s="627"/>
      <c r="E126" s="627"/>
      <c r="F126" s="627"/>
      <c r="G126" s="627"/>
      <c r="H126" s="627"/>
      <c r="I126" s="627"/>
      <c r="J126" s="627"/>
      <c r="K126" s="627"/>
      <c r="L126" s="627"/>
      <c r="M126" s="627"/>
      <c r="N126" s="487"/>
      <c r="O126" s="627"/>
    </row>
    <row r="127" spans="1:15" ht="15.5">
      <c r="A127" s="489"/>
      <c r="B127" s="489"/>
      <c r="C127" s="627"/>
      <c r="D127" s="627"/>
      <c r="E127" s="627"/>
      <c r="F127" s="627"/>
      <c r="G127" s="627"/>
      <c r="H127" s="627"/>
      <c r="I127" s="627"/>
      <c r="J127" s="627"/>
      <c r="K127" s="627"/>
      <c r="L127" s="627"/>
      <c r="M127" s="627"/>
      <c r="N127" s="487"/>
      <c r="O127" s="646" t="s">
        <v>856</v>
      </c>
    </row>
    <row r="128" spans="1:15" ht="15.5">
      <c r="A128" s="489"/>
      <c r="B128" s="489"/>
      <c r="C128" s="627"/>
      <c r="D128" s="627"/>
      <c r="E128" s="627"/>
      <c r="F128" s="627"/>
      <c r="G128" s="627"/>
      <c r="H128" s="627"/>
      <c r="I128" s="627"/>
      <c r="J128" s="627"/>
      <c r="K128" s="627"/>
      <c r="L128" s="627"/>
      <c r="M128" s="627"/>
      <c r="N128" s="487"/>
      <c r="O128" s="466" t="s">
        <v>854</v>
      </c>
    </row>
    <row r="129" spans="1:15" ht="15.5">
      <c r="A129" s="489"/>
      <c r="B129" s="489"/>
      <c r="C129" s="627"/>
      <c r="D129" s="627"/>
      <c r="E129" s="627"/>
      <c r="F129" s="627"/>
      <c r="G129" s="627"/>
      <c r="H129" s="627"/>
      <c r="I129" s="627"/>
      <c r="J129" s="627"/>
      <c r="K129" s="627"/>
      <c r="L129" s="627"/>
      <c r="M129" s="627"/>
      <c r="N129" s="487"/>
      <c r="O129" s="646" t="str">
        <f>$O$3</f>
        <v>For the 12 months ended 12/31/2022</v>
      </c>
    </row>
    <row r="130" spans="1:15" ht="14.5">
      <c r="A130" s="489"/>
      <c r="B130" s="489"/>
      <c r="C130" s="635"/>
      <c r="D130" s="627"/>
      <c r="E130" s="635"/>
      <c r="F130" s="627"/>
      <c r="G130" s="627"/>
      <c r="H130" s="631"/>
      <c r="I130" s="644"/>
      <c r="J130" s="631"/>
      <c r="K130" s="627"/>
      <c r="L130" s="627"/>
      <c r="M130" s="631"/>
      <c r="N130" s="487"/>
      <c r="O130" s="627"/>
    </row>
    <row r="131" spans="1:15" ht="14.5">
      <c r="A131" s="649" t="s">
        <v>364</v>
      </c>
      <c r="B131" s="649"/>
      <c r="C131" s="650"/>
      <c r="D131" s="650"/>
      <c r="E131" s="651"/>
      <c r="F131" s="651"/>
      <c r="G131" s="651"/>
      <c r="H131" s="652"/>
      <c r="I131" s="653"/>
      <c r="J131" s="627"/>
      <c r="K131" s="627"/>
      <c r="L131" s="653"/>
      <c r="M131" s="627"/>
      <c r="N131" s="487"/>
      <c r="O131" s="627"/>
    </row>
    <row r="132" spans="1:15" ht="14.5">
      <c r="A132" s="654" t="s">
        <v>141</v>
      </c>
      <c r="B132" s="467" t="s">
        <v>871</v>
      </c>
      <c r="C132" s="650"/>
      <c r="D132" s="650"/>
      <c r="E132" s="655"/>
      <c r="F132" s="655"/>
      <c r="G132" s="655"/>
      <c r="H132" s="652"/>
      <c r="I132" s="653"/>
      <c r="J132" s="627"/>
      <c r="K132" s="627"/>
      <c r="L132" s="653"/>
      <c r="M132" s="627"/>
      <c r="N132" s="487"/>
      <c r="O132" s="627"/>
    </row>
    <row r="133" spans="1:15" ht="83.4" customHeight="1">
      <c r="A133" s="654" t="s">
        <v>142</v>
      </c>
      <c r="B133" s="689" t="s">
        <v>886</v>
      </c>
      <c r="C133" s="689"/>
      <c r="D133" s="689"/>
      <c r="E133" s="689"/>
      <c r="F133" s="689"/>
      <c r="G133" s="689"/>
      <c r="H133" s="689"/>
      <c r="I133" s="689"/>
      <c r="J133" s="689"/>
      <c r="K133" s="689"/>
      <c r="L133" s="689"/>
      <c r="M133" s="689"/>
      <c r="N133" s="689"/>
      <c r="O133" s="689"/>
    </row>
    <row r="134" spans="1:15" ht="14.5">
      <c r="A134" s="654" t="s">
        <v>143</v>
      </c>
      <c r="B134" s="650" t="s">
        <v>879</v>
      </c>
      <c r="C134" s="650"/>
      <c r="D134" s="655"/>
      <c r="E134" s="627"/>
      <c r="F134" s="655"/>
      <c r="G134" s="655"/>
      <c r="H134" s="652"/>
      <c r="I134" s="650"/>
      <c r="J134" s="627"/>
      <c r="K134" s="627"/>
      <c r="L134" s="650"/>
      <c r="M134" s="627"/>
      <c r="N134" s="487"/>
      <c r="O134" s="627"/>
    </row>
  </sheetData>
  <mergeCells count="5">
    <mergeCell ref="F6:H6"/>
    <mergeCell ref="K6:M6"/>
    <mergeCell ref="F94:H94"/>
    <mergeCell ref="K94:M94"/>
    <mergeCell ref="B133:O133"/>
  </mergeCells>
  <pageMargins left="0.2" right="0.2" top="0.25" bottom="0.25" header="0.05" footer="0.05"/>
  <pageSetup fitToHeight="10" orientation="landscape" paperSize="7" scale="14" r:id="rId1"/>
  <rowBreaks count="2" manualBreakCount="2">
    <brk id="88" max="14" man="1"/>
    <brk id="126"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P71"/>
  <sheetViews>
    <sheetView view="pageBreakPreview" zoomScale="80" zoomScaleNormal="85" zoomScaleSheetLayoutView="80" workbookViewId="0" topLeftCell="A1">
      <selection pane="topLeft" activeCell="K10" sqref="K10"/>
    </sheetView>
  </sheetViews>
  <sheetFormatPr defaultColWidth="8.91714285714286" defaultRowHeight="20.15" customHeight="1"/>
  <cols>
    <col min="1" max="1" width="5.42857142857143" style="374" customWidth="1"/>
    <col min="2" max="2" width="33.0714285714286" style="70" bestFit="1" customWidth="1"/>
    <col min="3" max="3" width="5.35714285714286" style="186" customWidth="1"/>
    <col min="4" max="4" width="3.07142857142857" style="70" bestFit="1" customWidth="1"/>
    <col min="5" max="6" width="13.5" style="76" bestFit="1" customWidth="1"/>
    <col min="7" max="7" width="13.2142857142857" style="76" bestFit="1" customWidth="1"/>
    <col min="8" max="8" width="12.0714285714286" style="76" customWidth="1"/>
    <col min="9" max="9" width="13.2142857142857" style="76" bestFit="1" customWidth="1"/>
    <col min="10" max="13" width="14.3571428571429" style="70" bestFit="1" customWidth="1"/>
    <col min="14" max="16" width="13.8571428571429" style="70" bestFit="1" customWidth="1"/>
    <col min="17" max="16384" width="8.92857142857143" style="70"/>
  </cols>
  <sheetData>
    <row r="1" spans="1:16" ht="20.15" customHeight="1">
      <c r="A1" s="373"/>
      <c r="E1" s="436"/>
      <c r="F1" s="436"/>
      <c r="G1" s="436"/>
      <c r="H1" s="436"/>
      <c r="P1" s="3" t="s">
        <v>855</v>
      </c>
    </row>
    <row r="2" spans="1:16" s="201" customFormat="1" ht="20.15" customHeight="1">
      <c r="A2" s="374"/>
      <c r="B2" s="70"/>
      <c r="C2" s="186"/>
      <c r="D2" s="70"/>
      <c r="E2" s="434"/>
      <c r="F2" s="76"/>
      <c r="G2" s="76"/>
      <c r="H2" s="76"/>
      <c r="I2" s="76"/>
      <c r="J2" s="70"/>
      <c r="K2" s="70"/>
      <c r="L2" s="70"/>
      <c r="M2" s="70"/>
      <c r="N2" s="70"/>
      <c r="P2" s="117" t="s">
        <v>275</v>
      </c>
    </row>
    <row r="3" spans="1:16" s="201" customFormat="1" ht="20.15" customHeight="1">
      <c r="A3" s="374"/>
      <c r="B3" s="70"/>
      <c r="C3" s="186"/>
      <c r="D3" s="70"/>
      <c r="E3" s="78" t="s">
        <v>369</v>
      </c>
      <c r="F3" s="78" t="s">
        <v>370</v>
      </c>
      <c r="G3" s="78" t="s">
        <v>371</v>
      </c>
      <c r="H3" s="78" t="s">
        <v>372</v>
      </c>
      <c r="I3" s="78" t="s">
        <v>373</v>
      </c>
      <c r="J3" s="70"/>
      <c r="K3" s="78"/>
      <c r="L3" s="78"/>
      <c r="M3" s="78"/>
      <c r="N3" s="78"/>
      <c r="P3" s="3" t="str">
        <f>'Attachment H-21-A ATSI '!K4</f>
        <v>For the 12 months ended 12/31/2022</v>
      </c>
    </row>
    <row r="4" spans="1:14" s="201" customFormat="1" ht="20.15" customHeight="1">
      <c r="A4" s="374"/>
      <c r="B4" s="70"/>
      <c r="C4" s="186"/>
      <c r="D4" s="381" t="s">
        <v>363</v>
      </c>
      <c r="E4" s="76" t="s">
        <v>56</v>
      </c>
      <c r="F4" s="76" t="s">
        <v>593</v>
      </c>
      <c r="G4" s="76" t="s">
        <v>594</v>
      </c>
      <c r="H4" s="76" t="s">
        <v>595</v>
      </c>
      <c r="I4" s="76" t="s">
        <v>596</v>
      </c>
      <c r="J4" s="70"/>
      <c r="K4" s="70"/>
      <c r="L4" s="70"/>
      <c r="M4" s="70"/>
      <c r="N4" s="70"/>
    </row>
    <row r="5" spans="1:14" s="201" customFormat="1" ht="20.15" customHeight="1">
      <c r="A5" s="374"/>
      <c r="B5" s="70" t="s">
        <v>773</v>
      </c>
      <c r="C5" s="186"/>
      <c r="D5" s="381"/>
      <c r="E5" s="76"/>
      <c r="F5" s="76"/>
      <c r="G5" s="76"/>
      <c r="H5" s="76"/>
      <c r="I5" s="76"/>
      <c r="J5" s="70"/>
      <c r="K5" s="70"/>
      <c r="L5" s="70"/>
      <c r="M5" s="70"/>
      <c r="N5" s="70"/>
    </row>
    <row r="6" spans="1:14" s="201" customFormat="1" ht="20.15" customHeight="1">
      <c r="A6" s="374">
        <v>1</v>
      </c>
      <c r="B6" s="83" t="s">
        <v>375</v>
      </c>
      <c r="C6" s="186">
        <f>C7-1</f>
        <v>2021</v>
      </c>
      <c r="D6" s="381"/>
      <c r="E6" s="372"/>
      <c r="F6" s="372"/>
      <c r="G6" s="372"/>
      <c r="H6" s="372"/>
      <c r="I6" s="372"/>
      <c r="J6" s="70"/>
      <c r="K6" s="70"/>
      <c r="L6" s="70"/>
      <c r="M6" s="70"/>
      <c r="N6" s="70"/>
    </row>
    <row r="7" spans="1:14" s="201" customFormat="1" ht="20.15" customHeight="1">
      <c r="A7" s="374">
        <v>2</v>
      </c>
      <c r="B7" s="83" t="s">
        <v>375</v>
      </c>
      <c r="C7" s="184">
        <f>'WP01 Plant'!C18</f>
        <v>2022</v>
      </c>
      <c r="D7" s="381"/>
      <c r="E7" s="372"/>
      <c r="F7" s="372">
        <v>712139774</v>
      </c>
      <c r="G7" s="372">
        <v>73039738</v>
      </c>
      <c r="H7" s="372">
        <v>218937141</v>
      </c>
      <c r="I7" s="372"/>
      <c r="J7" s="70"/>
      <c r="K7" s="618"/>
      <c r="L7" s="618"/>
      <c r="M7" s="618"/>
      <c r="N7" s="70"/>
    </row>
    <row r="8" spans="1:14" s="201" customFormat="1" ht="20.15" customHeight="1">
      <c r="A8" s="374"/>
      <c r="B8" s="70"/>
      <c r="C8" s="186"/>
      <c r="D8" s="381"/>
      <c r="E8" s="76"/>
      <c r="F8" s="76"/>
      <c r="G8" s="76"/>
      <c r="H8" s="76"/>
      <c r="I8" s="76"/>
      <c r="J8" s="70"/>
      <c r="K8" s="618"/>
      <c r="L8" s="618"/>
      <c r="M8" s="618"/>
      <c r="N8" s="70"/>
    </row>
    <row r="9" spans="1:14" s="201" customFormat="1" ht="20.15" customHeight="1">
      <c r="A9" s="374"/>
      <c r="B9" s="83" t="s">
        <v>806</v>
      </c>
      <c r="C9" s="186"/>
      <c r="D9" s="381"/>
      <c r="E9" s="76"/>
      <c r="F9" s="76"/>
      <c r="G9" s="76"/>
      <c r="H9" s="76"/>
      <c r="I9" s="76"/>
      <c r="J9" s="70"/>
      <c r="K9" s="618"/>
      <c r="L9" s="618"/>
      <c r="M9" s="618"/>
      <c r="N9" s="70"/>
    </row>
    <row r="10" spans="1:14" s="201" customFormat="1" ht="20.15" customHeight="1">
      <c r="A10" s="374">
        <v>3</v>
      </c>
      <c r="B10" s="83" t="s">
        <v>375</v>
      </c>
      <c r="C10" s="186">
        <f>C7</f>
        <v>2022</v>
      </c>
      <c r="D10" s="70"/>
      <c r="E10" s="372"/>
      <c r="F10" s="383">
        <v>712139774</v>
      </c>
      <c r="G10" s="383">
        <f>85184342-2398544-9746060</f>
        <v>73039738</v>
      </c>
      <c r="H10" s="383">
        <f>225950113-350162-666450-5996360</f>
        <v>218937141</v>
      </c>
      <c r="I10" s="372"/>
      <c r="J10" s="382"/>
      <c r="K10" s="618"/>
      <c r="L10" s="618"/>
      <c r="M10" s="618"/>
      <c r="N10" s="382"/>
    </row>
    <row r="11" spans="1:14" s="201" customFormat="1" ht="20.15" customHeight="1">
      <c r="A11" s="374"/>
      <c r="B11" s="83"/>
      <c r="C11" s="186"/>
      <c r="D11" s="70"/>
      <c r="E11" s="383"/>
      <c r="F11" s="383"/>
      <c r="G11" s="383"/>
      <c r="H11" s="383"/>
      <c r="I11" s="383"/>
      <c r="J11" s="382"/>
      <c r="K11" s="618"/>
      <c r="L11" s="618"/>
      <c r="M11" s="618"/>
      <c r="N11" s="382"/>
    </row>
    <row r="12" spans="1:14" s="201" customFormat="1" ht="20.15" customHeight="1">
      <c r="A12" s="374"/>
      <c r="B12" s="83" t="s">
        <v>807</v>
      </c>
      <c r="C12" s="186"/>
      <c r="D12" s="70"/>
      <c r="E12" s="383"/>
      <c r="F12" s="383"/>
      <c r="G12" s="383"/>
      <c r="H12" s="383"/>
      <c r="I12" s="383"/>
      <c r="J12" s="382"/>
      <c r="K12" s="618"/>
      <c r="L12" s="618"/>
      <c r="M12" s="618"/>
      <c r="N12" s="382"/>
    </row>
    <row r="13" spans="1:14" s="201" customFormat="1" ht="20.15" customHeight="1">
      <c r="A13" s="374">
        <v>4</v>
      </c>
      <c r="B13" s="83" t="s">
        <v>375</v>
      </c>
      <c r="C13" s="186">
        <f>C14-1</f>
        <v>2021</v>
      </c>
      <c r="D13" s="70"/>
      <c r="E13" s="372"/>
      <c r="F13" s="383">
        <f>'WP03-B - ADIT Detail'!I32+'WP03-B - ADIT Detail'!I45</f>
        <v>0</v>
      </c>
      <c r="G13" s="383">
        <f>'WP03-B - ADIT Detail'!I53+'WP03-B - ADIT Detail'!I63</f>
        <v>0</v>
      </c>
      <c r="H13" s="383">
        <f>'WP03-B - ADIT Detail'!I13+'WP03-B - ADIT Detail'!I24</f>
        <v>0</v>
      </c>
      <c r="I13" s="372"/>
      <c r="J13" s="384"/>
      <c r="K13" s="618"/>
      <c r="L13" s="618"/>
      <c r="M13" s="618"/>
      <c r="N13" s="384"/>
    </row>
    <row r="14" spans="1:14" s="201" customFormat="1" ht="20.15" customHeight="1">
      <c r="A14" s="374">
        <v>5</v>
      </c>
      <c r="B14" s="83" t="s">
        <v>375</v>
      </c>
      <c r="C14" s="186">
        <f>C10</f>
        <v>2022</v>
      </c>
      <c r="D14" s="70"/>
      <c r="E14" s="372"/>
      <c r="F14" s="383">
        <f>'WP03-B - ADIT Detail'!J32+'WP03-B - ADIT Detail'!J45</f>
        <v>0</v>
      </c>
      <c r="G14" s="383">
        <f>'WP03-B - ADIT Detail'!J53+'WP03-B - ADIT Detail'!J63</f>
        <v>0</v>
      </c>
      <c r="H14" s="383">
        <f>'WP03-B - ADIT Detail'!J13+'WP03-B - ADIT Detail'!J24</f>
        <v>0</v>
      </c>
      <c r="I14" s="372"/>
      <c r="J14" s="382"/>
      <c r="K14" s="618"/>
      <c r="L14" s="618"/>
      <c r="M14" s="618"/>
      <c r="N14" s="382"/>
    </row>
    <row r="15" spans="1:14" s="201" customFormat="1" ht="20.15" customHeight="1" thickBot="1">
      <c r="A15" s="374"/>
      <c r="B15" s="83"/>
      <c r="C15" s="186"/>
      <c r="D15" s="70"/>
      <c r="E15" s="383"/>
      <c r="F15" s="383"/>
      <c r="G15" s="383"/>
      <c r="H15" s="383"/>
      <c r="I15" s="383"/>
      <c r="J15" s="384"/>
      <c r="K15" s="618"/>
      <c r="L15" s="618"/>
      <c r="M15" s="618"/>
      <c r="N15" s="384"/>
    </row>
    <row r="16" spans="1:14" s="201" customFormat="1" ht="20.15" customHeight="1">
      <c r="A16" s="375" t="s">
        <v>699</v>
      </c>
      <c r="B16" s="202"/>
      <c r="C16" s="365"/>
      <c r="D16" s="203"/>
      <c r="E16" s="385"/>
      <c r="F16" s="385"/>
      <c r="G16" s="385"/>
      <c r="H16" s="385"/>
      <c r="I16" s="385"/>
      <c r="J16" s="386"/>
      <c r="K16" s="387"/>
      <c r="L16" s="384"/>
      <c r="M16" s="384"/>
      <c r="N16" s="384"/>
    </row>
    <row r="17" spans="1:14" s="201" customFormat="1" ht="20.15" customHeight="1" thickBot="1">
      <c r="A17" s="376" t="s">
        <v>597</v>
      </c>
      <c r="B17" s="204"/>
      <c r="C17" s="366"/>
      <c r="D17" s="205"/>
      <c r="E17" s="388"/>
      <c r="F17" s="388"/>
      <c r="G17" s="388"/>
      <c r="H17" s="388"/>
      <c r="I17" s="388"/>
      <c r="J17" s="389"/>
      <c r="K17" s="390"/>
      <c r="L17" s="384"/>
      <c r="M17" s="384"/>
      <c r="N17" s="384"/>
    </row>
    <row r="18" spans="1:14" s="201" customFormat="1" ht="20.15" customHeight="1">
      <c r="A18" s="377"/>
      <c r="B18" s="70"/>
      <c r="C18" s="186"/>
      <c r="D18" s="70"/>
      <c r="E18" s="78" t="s">
        <v>376</v>
      </c>
      <c r="F18" s="78" t="s">
        <v>376</v>
      </c>
      <c r="G18" s="78" t="s">
        <v>376</v>
      </c>
      <c r="H18" s="78"/>
      <c r="I18" s="78" t="s">
        <v>376</v>
      </c>
      <c r="J18" s="70"/>
      <c r="K18" s="206" t="s">
        <v>11</v>
      </c>
      <c r="L18" s="70"/>
      <c r="M18" s="70"/>
      <c r="N18" s="70"/>
    </row>
    <row r="19" spans="1:14" s="201" customFormat="1" ht="20.15" customHeight="1">
      <c r="A19" s="377"/>
      <c r="B19" s="70"/>
      <c r="C19" s="186"/>
      <c r="D19" s="381"/>
      <c r="E19" s="76"/>
      <c r="F19" s="76" t="s">
        <v>377</v>
      </c>
      <c r="G19" s="76" t="s">
        <v>506</v>
      </c>
      <c r="H19" s="76" t="s">
        <v>547</v>
      </c>
      <c r="I19" s="76" t="s">
        <v>550</v>
      </c>
      <c r="J19" s="70"/>
      <c r="K19" s="207"/>
      <c r="L19" s="70"/>
      <c r="M19" s="70"/>
      <c r="N19" s="70"/>
    </row>
    <row r="20" spans="1:14" s="201" customFormat="1" ht="20.15" customHeight="1">
      <c r="A20" s="377"/>
      <c r="B20" s="83" t="s">
        <v>806</v>
      </c>
      <c r="C20" s="186"/>
      <c r="D20" s="381"/>
      <c r="E20" s="76"/>
      <c r="F20" s="76"/>
      <c r="G20" s="76"/>
      <c r="H20" s="76"/>
      <c r="I20" s="76"/>
      <c r="J20" s="70"/>
      <c r="K20" s="207"/>
      <c r="L20" s="70"/>
      <c r="M20" s="70"/>
      <c r="N20" s="70"/>
    </row>
    <row r="21" spans="1:14" s="201" customFormat="1" ht="20.15" customHeight="1">
      <c r="A21" s="377">
        <v>6</v>
      </c>
      <c r="B21" s="83" t="s">
        <v>375</v>
      </c>
      <c r="C21" s="186">
        <f>C10</f>
        <v>2022</v>
      </c>
      <c r="D21" s="70"/>
      <c r="E21" s="391">
        <f>-(E10)</f>
        <v>0</v>
      </c>
      <c r="F21" s="391">
        <f>-(F10-SUM(E39:M39))</f>
        <v>-966077501.71349621</v>
      </c>
      <c r="G21" s="391">
        <f>-(G10-SUM(E50:J50))</f>
        <v>-57860222.971144952</v>
      </c>
      <c r="H21" s="391">
        <f>H10-SUM(E61:K61)</f>
        <v>155884921.86146665</v>
      </c>
      <c r="I21" s="391">
        <f>-(I10)</f>
        <v>0</v>
      </c>
      <c r="J21" s="392"/>
      <c r="K21" s="393"/>
      <c r="L21" s="382"/>
      <c r="M21" s="382"/>
      <c r="N21" s="382"/>
    </row>
    <row r="22" spans="1:14" s="201" customFormat="1" ht="20.15" customHeight="1">
      <c r="A22" s="377"/>
      <c r="B22" s="83"/>
      <c r="C22" s="186"/>
      <c r="D22" s="70"/>
      <c r="E22" s="391"/>
      <c r="F22" s="391"/>
      <c r="G22" s="391"/>
      <c r="H22" s="391"/>
      <c r="I22" s="391"/>
      <c r="J22" s="394"/>
      <c r="K22" s="395"/>
      <c r="L22" s="384"/>
      <c r="M22" s="384"/>
      <c r="N22" s="384"/>
    </row>
    <row r="23" spans="1:14" s="201" customFormat="1" ht="20.15" customHeight="1">
      <c r="A23" s="377"/>
      <c r="B23" s="83" t="s">
        <v>807</v>
      </c>
      <c r="C23" s="186"/>
      <c r="D23" s="70"/>
      <c r="E23" s="391"/>
      <c r="F23" s="391"/>
      <c r="G23" s="391"/>
      <c r="H23" s="391"/>
      <c r="I23" s="391"/>
      <c r="J23" s="394"/>
      <c r="K23" s="395"/>
      <c r="L23" s="384"/>
      <c r="M23" s="384"/>
      <c r="N23" s="384"/>
    </row>
    <row r="24" spans="1:14" s="201" customFormat="1" ht="20.15" customHeight="1">
      <c r="A24" s="377">
        <v>7</v>
      </c>
      <c r="B24" s="83" t="s">
        <v>375</v>
      </c>
      <c r="C24" s="186">
        <f>C13</f>
        <v>2021</v>
      </c>
      <c r="D24" s="70"/>
      <c r="E24" s="391">
        <f>-(E13)</f>
        <v>0</v>
      </c>
      <c r="F24" s="391">
        <f>-(F13-SUM(E42:L42))</f>
        <v>0</v>
      </c>
      <c r="G24" s="391">
        <f>-(G13-SUM(E53:I53))</f>
        <v>0</v>
      </c>
      <c r="H24" s="391">
        <f>H13-SUM(E64:J64)</f>
        <v>0</v>
      </c>
      <c r="I24" s="391">
        <f>-(I13)</f>
        <v>0</v>
      </c>
      <c r="J24" s="392"/>
      <c r="K24" s="393"/>
      <c r="L24" s="382"/>
      <c r="M24" s="382"/>
      <c r="N24" s="382"/>
    </row>
    <row r="25" spans="1:14" s="201" customFormat="1" ht="20.15" customHeight="1">
      <c r="A25" s="377">
        <v>8</v>
      </c>
      <c r="B25" s="83" t="s">
        <v>375</v>
      </c>
      <c r="C25" s="186">
        <f>C14</f>
        <v>2022</v>
      </c>
      <c r="D25" s="70"/>
      <c r="E25" s="391">
        <f>-(E14)</f>
        <v>0</v>
      </c>
      <c r="F25" s="391">
        <f>-(F14-SUM(E43:L43))</f>
        <v>0</v>
      </c>
      <c r="G25" s="391">
        <f>-(G14-SUM(E54:I54))</f>
        <v>0</v>
      </c>
      <c r="H25" s="391">
        <f>H14-SUM(E65:J65)</f>
        <v>0</v>
      </c>
      <c r="I25" s="391">
        <f>-(I14)</f>
        <v>0</v>
      </c>
      <c r="J25" s="392"/>
      <c r="K25" s="393"/>
      <c r="L25" s="382"/>
      <c r="M25" s="382"/>
      <c r="N25" s="382"/>
    </row>
    <row r="26" spans="1:14" s="201" customFormat="1" ht="20.15" customHeight="1">
      <c r="A26" s="377"/>
      <c r="B26" s="70"/>
      <c r="C26" s="186"/>
      <c r="D26" s="70"/>
      <c r="E26" s="396"/>
      <c r="F26" s="396"/>
      <c r="G26" s="396"/>
      <c r="H26" s="396"/>
      <c r="I26" s="396"/>
      <c r="J26" s="392"/>
      <c r="K26" s="393"/>
      <c r="L26" s="382"/>
      <c r="M26" s="382"/>
      <c r="N26" s="382"/>
    </row>
    <row r="27" spans="1:14" s="201" customFormat="1" ht="20.15" customHeight="1" thickBot="1">
      <c r="A27" s="380">
        <v>9</v>
      </c>
      <c r="B27" s="208" t="s">
        <v>900</v>
      </c>
      <c r="C27" s="367"/>
      <c r="D27" s="208"/>
      <c r="E27" s="397">
        <f>E21+AVERAGE(E24:E25)</f>
        <v>0</v>
      </c>
      <c r="F27" s="397">
        <f>F21+AVERAGE(F24:F25)</f>
        <v>-966077501.71349621</v>
      </c>
      <c r="G27" s="397">
        <f t="shared" si="0" ref="G27:H27">G21+AVERAGE(G24:G25)</f>
        <v>-57860222.971144952</v>
      </c>
      <c r="H27" s="397">
        <f t="shared" si="0"/>
        <v>155884921.86146665</v>
      </c>
      <c r="I27" s="397">
        <f>I21+AVERAGE(I24:I25)</f>
        <v>0</v>
      </c>
      <c r="J27" s="397"/>
      <c r="K27" s="398">
        <f>SUM(E27:I27)</f>
        <v>-868052802.82317448</v>
      </c>
      <c r="L27" s="383"/>
      <c r="M27" s="399"/>
      <c r="N27" s="399"/>
    </row>
    <row r="32" spans="1:14" s="201" customFormat="1" ht="20.15" customHeight="1">
      <c r="A32" s="186" t="s">
        <v>364</v>
      </c>
      <c r="B32" s="70"/>
      <c r="C32" s="186"/>
      <c r="D32" s="76"/>
      <c r="E32" s="76"/>
      <c r="F32" s="76"/>
      <c r="G32" s="76"/>
      <c r="H32" s="76"/>
      <c r="I32" s="70"/>
      <c r="J32" s="70"/>
      <c r="K32" s="70"/>
      <c r="L32" s="70"/>
      <c r="M32" s="70"/>
      <c r="N32" s="70"/>
    </row>
    <row r="33" spans="1:14" s="201" customFormat="1" ht="20.15" customHeight="1">
      <c r="A33" s="374" t="s">
        <v>363</v>
      </c>
      <c r="B33" s="692" t="s">
        <v>822</v>
      </c>
      <c r="C33" s="692"/>
      <c r="D33" s="692"/>
      <c r="E33" s="692"/>
      <c r="F33" s="692"/>
      <c r="G33" s="692"/>
      <c r="H33" s="692"/>
      <c r="I33" s="692"/>
      <c r="J33" s="692"/>
      <c r="K33" s="692"/>
      <c r="L33" s="363"/>
      <c r="M33" s="363"/>
      <c r="N33" s="70"/>
    </row>
    <row r="34" spans="1:13" ht="20.15" customHeight="1">
      <c r="A34" s="374" t="s">
        <v>377</v>
      </c>
      <c r="B34" s="692" t="s">
        <v>551</v>
      </c>
      <c r="C34" s="692"/>
      <c r="D34" s="692"/>
      <c r="E34" s="692"/>
      <c r="F34" s="692"/>
      <c r="G34" s="692"/>
      <c r="H34" s="692"/>
      <c r="I34" s="692"/>
      <c r="J34" s="692"/>
      <c r="K34" s="692"/>
      <c r="L34" s="363"/>
      <c r="M34" s="363"/>
    </row>
    <row r="35" spans="2:10" ht="20.15" customHeight="1">
      <c r="B35" s="363"/>
      <c r="C35" s="368"/>
      <c r="D35" s="363"/>
      <c r="E35" s="70"/>
      <c r="F35" s="76" t="s">
        <v>538</v>
      </c>
      <c r="G35" s="363"/>
      <c r="H35" s="363"/>
      <c r="I35" s="76" t="s">
        <v>676</v>
      </c>
      <c r="J35" s="76" t="s">
        <v>545</v>
      </c>
    </row>
    <row r="36" spans="2:14" ht="20.15" customHeight="1">
      <c r="B36" s="363"/>
      <c r="C36" s="368"/>
      <c r="D36" s="363"/>
      <c r="E36" s="363" t="s">
        <v>539</v>
      </c>
      <c r="F36" s="76" t="s">
        <v>540</v>
      </c>
      <c r="G36" s="76" t="s">
        <v>541</v>
      </c>
      <c r="H36" s="363"/>
      <c r="I36" s="76" t="s">
        <v>677</v>
      </c>
      <c r="J36" s="76" t="s">
        <v>598</v>
      </c>
      <c r="K36" s="76" t="s">
        <v>578</v>
      </c>
      <c r="L36" s="76"/>
      <c r="M36" s="76"/>
      <c r="N36" s="76"/>
    </row>
    <row r="37" spans="2:16" ht="20.15" customHeight="1">
      <c r="B37" s="363"/>
      <c r="C37" s="368"/>
      <c r="D37" s="363"/>
      <c r="E37" s="175" t="s">
        <v>542</v>
      </c>
      <c r="F37" s="175" t="s">
        <v>542</v>
      </c>
      <c r="G37" s="175" t="s">
        <v>543</v>
      </c>
      <c r="H37" s="175" t="s">
        <v>544</v>
      </c>
      <c r="I37" s="175" t="s">
        <v>678</v>
      </c>
      <c r="J37" s="175" t="s">
        <v>599</v>
      </c>
      <c r="K37" s="175" t="s">
        <v>579</v>
      </c>
      <c r="L37" s="175" t="s">
        <v>600</v>
      </c>
      <c r="M37" s="175" t="s">
        <v>823</v>
      </c>
      <c r="O37" s="76" t="s">
        <v>901</v>
      </c>
      <c r="P37" s="76" t="s">
        <v>902</v>
      </c>
    </row>
    <row r="38" spans="2:16" ht="20.15" customHeight="1">
      <c r="B38" s="83" t="s">
        <v>806</v>
      </c>
      <c r="C38" s="368"/>
      <c r="D38" s="363"/>
      <c r="E38" s="175"/>
      <c r="F38" s="175"/>
      <c r="G38" s="175"/>
      <c r="H38" s="175"/>
      <c r="I38" s="175"/>
      <c r="J38" s="175"/>
      <c r="K38" s="175"/>
      <c r="L38" s="175"/>
      <c r="M38" s="175"/>
      <c r="P38" s="174"/>
    </row>
    <row r="39" spans="1:16" s="174" customFormat="1" ht="20.15" customHeight="1">
      <c r="A39" s="374">
        <v>10</v>
      </c>
      <c r="B39" s="83" t="s">
        <v>375</v>
      </c>
      <c r="C39" s="176">
        <f>C21</f>
        <v>2022</v>
      </c>
      <c r="D39" s="363"/>
      <c r="E39" s="369">
        <v>968.62</v>
      </c>
      <c r="F39" s="369">
        <v>0</v>
      </c>
      <c r="G39" s="369">
        <v>0</v>
      </c>
      <c r="H39" s="370">
        <v>0</v>
      </c>
      <c r="I39" s="370">
        <v>0</v>
      </c>
      <c r="J39" s="369">
        <v>-270261820.63999999</v>
      </c>
      <c r="K39" s="384">
        <v>0</v>
      </c>
      <c r="L39" s="384">
        <v>379.42999999999995</v>
      </c>
      <c r="M39" s="384">
        <v>16322744.876503825</v>
      </c>
      <c r="O39" s="433">
        <v>-296673050.06</v>
      </c>
      <c r="P39" s="433">
        <v>26411229.420000017</v>
      </c>
    </row>
    <row r="40" spans="1:3" s="0" customFormat="1" ht="20.15" customHeight="1">
      <c r="A40" s="400"/>
      <c r="B40" s="83"/>
      <c r="C40" s="400"/>
    </row>
    <row r="41" spans="1:3" s="0" customFormat="1" ht="20.15" customHeight="1">
      <c r="A41" s="400"/>
      <c r="B41" s="83" t="s">
        <v>807</v>
      </c>
      <c r="C41" s="400"/>
    </row>
    <row r="42" spans="1:12" s="0" customFormat="1" ht="20.15" customHeight="1">
      <c r="A42" s="401">
        <v>11</v>
      </c>
      <c r="B42" s="83" t="s">
        <v>375</v>
      </c>
      <c r="C42" s="176">
        <f>C13</f>
        <v>2021</v>
      </c>
      <c r="E42" s="369">
        <f t="array" ref="E42:L42">TRANSPOSE('WP03-B - ADIT Detail'!I36:I43)</f>
        <v>0</v>
      </c>
      <c r="F42" s="369">
        <v>0</v>
      </c>
      <c r="G42" s="369">
        <v>0</v>
      </c>
      <c r="H42" s="369">
        <v>0</v>
      </c>
      <c r="I42" s="369">
        <v>0</v>
      </c>
      <c r="J42" s="369">
        <v>0</v>
      </c>
      <c r="K42" s="369">
        <v>0</v>
      </c>
      <c r="L42" s="369">
        <v>0</v>
      </c>
    </row>
    <row r="43" spans="1:16" s="0" customFormat="1" ht="20.15" customHeight="1">
      <c r="A43" s="401">
        <v>12</v>
      </c>
      <c r="B43" s="83" t="s">
        <v>375</v>
      </c>
      <c r="C43" s="176">
        <f>C14</f>
        <v>2022</v>
      </c>
      <c r="E43" s="369">
        <f t="array" ref="E43:L43">TRANSPOSE('WP03-B - ADIT Detail'!J36:J43)</f>
        <v>0</v>
      </c>
      <c r="F43" s="369">
        <v>0</v>
      </c>
      <c r="G43" s="369">
        <v>0</v>
      </c>
      <c r="H43" s="369">
        <v>0</v>
      </c>
      <c r="I43" s="369">
        <v>0</v>
      </c>
      <c r="J43" s="369">
        <v>0</v>
      </c>
      <c r="K43" s="369">
        <v>0</v>
      </c>
      <c r="L43" s="369">
        <v>0</v>
      </c>
      <c r="O43" s="433"/>
      <c r="P43" s="433"/>
    </row>
    <row r="44" spans="1:3" s="0" customFormat="1" ht="20.15" customHeight="1">
      <c r="A44" s="400"/>
      <c r="C44" s="400"/>
    </row>
    <row r="45" spans="1:13" s="174" customFormat="1" ht="20.15" customHeight="1">
      <c r="A45" s="374" t="s">
        <v>506</v>
      </c>
      <c r="B45" s="692" t="s">
        <v>546</v>
      </c>
      <c r="C45" s="692"/>
      <c r="D45" s="692"/>
      <c r="E45" s="692"/>
      <c r="F45" s="692"/>
      <c r="G45" s="692"/>
      <c r="H45" s="692"/>
      <c r="I45" s="692"/>
      <c r="J45" s="692"/>
      <c r="K45" s="692"/>
      <c r="L45" s="363"/>
      <c r="M45" s="363"/>
    </row>
    <row r="46" spans="2:10" ht="20.15" customHeight="1">
      <c r="B46" s="363"/>
      <c r="C46" s="368"/>
      <c r="D46" s="363"/>
      <c r="E46" s="70"/>
      <c r="F46" s="76" t="s">
        <v>538</v>
      </c>
      <c r="G46" s="363"/>
      <c r="H46" s="76" t="s">
        <v>676</v>
      </c>
      <c r="I46" s="76" t="s">
        <v>545</v>
      </c>
      <c r="J46" s="363"/>
    </row>
    <row r="47" spans="2:10" ht="20.15" customHeight="1">
      <c r="B47" s="363"/>
      <c r="C47" s="368"/>
      <c r="D47" s="363"/>
      <c r="E47" s="363" t="s">
        <v>539</v>
      </c>
      <c r="F47" s="76" t="s">
        <v>540</v>
      </c>
      <c r="G47" s="363"/>
      <c r="H47" s="76" t="s">
        <v>677</v>
      </c>
      <c r="I47" s="76" t="s">
        <v>598</v>
      </c>
      <c r="J47" s="363"/>
    </row>
    <row r="48" spans="2:13" ht="20.15" customHeight="1">
      <c r="B48" s="363"/>
      <c r="C48" s="368"/>
      <c r="D48" s="363"/>
      <c r="E48" s="175" t="s">
        <v>542</v>
      </c>
      <c r="F48" s="175" t="s">
        <v>542</v>
      </c>
      <c r="G48" s="175" t="s">
        <v>544</v>
      </c>
      <c r="H48" s="175" t="s">
        <v>678</v>
      </c>
      <c r="I48" s="175" t="s">
        <v>599</v>
      </c>
      <c r="J48" s="175" t="s">
        <v>823</v>
      </c>
      <c r="L48" s="76" t="s">
        <v>901</v>
      </c>
      <c r="M48" s="76" t="s">
        <v>902</v>
      </c>
    </row>
    <row r="49" spans="2:13" ht="20.15" customHeight="1">
      <c r="B49" s="83" t="s">
        <v>806</v>
      </c>
      <c r="C49" s="368"/>
      <c r="D49" s="363"/>
      <c r="E49" s="175"/>
      <c r="F49" s="175"/>
      <c r="G49" s="175"/>
      <c r="H49" s="175"/>
      <c r="I49" s="175"/>
      <c r="J49" s="175"/>
      <c r="M49" s="174"/>
    </row>
    <row r="50" spans="1:13" s="174" customFormat="1" ht="20.15" customHeight="1">
      <c r="A50" s="374">
        <v>13</v>
      </c>
      <c r="B50" s="83" t="s">
        <v>375</v>
      </c>
      <c r="C50" s="176">
        <f>C39</f>
        <v>2022</v>
      </c>
      <c r="D50" s="363"/>
      <c r="E50" s="369">
        <v>0</v>
      </c>
      <c r="F50" s="369">
        <v>0</v>
      </c>
      <c r="G50" s="370">
        <v>0</v>
      </c>
      <c r="H50" s="369">
        <v>6622939.1700000009</v>
      </c>
      <c r="I50" s="369">
        <v>13185313.716604725</v>
      </c>
      <c r="J50" s="384">
        <v>-4628737.8577496782</v>
      </c>
      <c r="K50" s="384"/>
      <c r="L50" s="433">
        <v>-77597310.890751347</v>
      </c>
      <c r="M50" s="433">
        <v>90782624.607356071</v>
      </c>
    </row>
    <row r="51" spans="1:13" s="174" customFormat="1" ht="20.15" customHeight="1">
      <c r="A51" s="374"/>
      <c r="B51" s="83"/>
      <c r="C51" s="400"/>
      <c r="D51" s="363"/>
      <c r="E51" s="369"/>
      <c r="F51" s="369"/>
      <c r="G51" s="370"/>
      <c r="H51" s="370"/>
      <c r="I51" s="369"/>
      <c r="L51" s="371"/>
      <c r="M51"/>
    </row>
    <row r="52" spans="1:13" s="174" customFormat="1" ht="20.15" customHeight="1">
      <c r="A52" s="374"/>
      <c r="B52" s="83" t="s">
        <v>807</v>
      </c>
      <c r="C52" s="400"/>
      <c r="D52" s="363"/>
      <c r="E52" s="369"/>
      <c r="F52" s="369"/>
      <c r="G52" s="370"/>
      <c r="H52" s="370"/>
      <c r="I52" s="369"/>
      <c r="J52" s="371"/>
      <c r="L52"/>
      <c r="M52"/>
    </row>
    <row r="53" spans="1:13" s="174" customFormat="1" ht="20.15" customHeight="1">
      <c r="A53" s="374">
        <v>14</v>
      </c>
      <c r="B53" s="83" t="s">
        <v>375</v>
      </c>
      <c r="C53" s="176">
        <f>C42</f>
        <v>2021</v>
      </c>
      <c r="D53" s="363"/>
      <c r="E53" s="369">
        <f t="array" ref="E53:I53">TRANSPOSE('WP03-B - ADIT Detail'!I57:I61)</f>
        <v>0</v>
      </c>
      <c r="F53" s="369">
        <v>0</v>
      </c>
      <c r="G53" s="369">
        <v>0</v>
      </c>
      <c r="H53" s="369">
        <v>0</v>
      </c>
      <c r="I53" s="369">
        <v>0</v>
      </c>
      <c r="J53" s="371"/>
      <c r="L53"/>
      <c r="M53"/>
    </row>
    <row r="54" spans="1:13" s="174" customFormat="1" ht="20.15" customHeight="1">
      <c r="A54" s="374">
        <v>15</v>
      </c>
      <c r="B54" s="83" t="s">
        <v>375</v>
      </c>
      <c r="C54" s="176">
        <f>C43</f>
        <v>2022</v>
      </c>
      <c r="D54" s="363"/>
      <c r="E54" s="369">
        <f t="array" ref="E54:I54">TRANSPOSE('WP03-B - ADIT Detail'!J57:J61)</f>
        <v>0</v>
      </c>
      <c r="F54" s="369">
        <v>0</v>
      </c>
      <c r="G54" s="369">
        <v>0</v>
      </c>
      <c r="H54" s="369">
        <v>0</v>
      </c>
      <c r="I54" s="369">
        <v>0</v>
      </c>
      <c r="J54" s="371"/>
      <c r="L54" s="433"/>
      <c r="M54" s="433"/>
    </row>
    <row r="55" spans="1:14" s="174" customFormat="1" ht="20.15" customHeight="1">
      <c r="A55" s="374"/>
      <c r="B55" s="363"/>
      <c r="C55" s="176"/>
      <c r="D55" s="363"/>
      <c r="E55" s="369"/>
      <c r="F55" s="369"/>
      <c r="G55" s="370"/>
      <c r="H55" s="370"/>
      <c r="I55" s="369"/>
      <c r="J55" s="369"/>
      <c r="K55" s="371"/>
      <c r="N55" s="70"/>
    </row>
    <row r="56" spans="1:13" s="174" customFormat="1" ht="20.15" customHeight="1">
      <c r="A56" s="374" t="s">
        <v>547</v>
      </c>
      <c r="B56" s="692" t="s">
        <v>548</v>
      </c>
      <c r="C56" s="692"/>
      <c r="D56" s="692"/>
      <c r="E56" s="692"/>
      <c r="F56" s="692"/>
      <c r="G56" s="692"/>
      <c r="H56" s="692"/>
      <c r="I56" s="692"/>
      <c r="J56" s="692"/>
      <c r="K56" s="692"/>
      <c r="L56" s="363"/>
      <c r="M56" s="363"/>
    </row>
    <row r="57" spans="1:13" s="174" customFormat="1" ht="20.15" customHeight="1">
      <c r="A57" s="374"/>
      <c r="B57" s="363"/>
      <c r="C57" s="368"/>
      <c r="D57" s="363"/>
      <c r="E57" s="363"/>
      <c r="F57" s="363"/>
      <c r="G57" s="363"/>
      <c r="H57" s="363"/>
      <c r="I57" s="76" t="s">
        <v>676</v>
      </c>
      <c r="J57" s="76" t="s">
        <v>545</v>
      </c>
      <c r="K57" s="363"/>
      <c r="L57" s="363"/>
      <c r="M57" s="363"/>
    </row>
    <row r="58" spans="1:13" s="174" customFormat="1" ht="20.15" customHeight="1">
      <c r="A58" s="374"/>
      <c r="B58" s="363"/>
      <c r="C58" s="368"/>
      <c r="D58" s="363"/>
      <c r="F58" s="76" t="s">
        <v>538</v>
      </c>
      <c r="G58" s="70"/>
      <c r="H58" s="363"/>
      <c r="I58" s="76" t="s">
        <v>677</v>
      </c>
      <c r="J58" s="363" t="s">
        <v>598</v>
      </c>
      <c r="K58" s="70"/>
      <c r="L58" s="70"/>
      <c r="M58" s="70"/>
    </row>
    <row r="59" spans="1:14" s="174" customFormat="1" ht="20.15" customHeight="1">
      <c r="A59" s="374"/>
      <c r="B59" s="363"/>
      <c r="C59" s="368"/>
      <c r="D59" s="363"/>
      <c r="E59" s="179" t="s">
        <v>539</v>
      </c>
      <c r="F59" s="178" t="s">
        <v>540</v>
      </c>
      <c r="G59" s="179" t="s">
        <v>549</v>
      </c>
      <c r="H59" s="175" t="s">
        <v>544</v>
      </c>
      <c r="I59" s="175" t="s">
        <v>678</v>
      </c>
      <c r="J59" s="175" t="s">
        <v>599</v>
      </c>
      <c r="K59" s="175" t="s">
        <v>823</v>
      </c>
      <c r="L59" s="70"/>
      <c r="M59" s="76" t="s">
        <v>901</v>
      </c>
      <c r="N59" s="76" t="s">
        <v>902</v>
      </c>
    </row>
    <row r="60" spans="1:13" s="174" customFormat="1" ht="20.15" customHeight="1">
      <c r="A60" s="374"/>
      <c r="B60" s="83" t="s">
        <v>806</v>
      </c>
      <c r="C60" s="368"/>
      <c r="D60" s="363"/>
      <c r="E60" s="179"/>
      <c r="F60" s="178"/>
      <c r="G60" s="179"/>
      <c r="H60" s="175"/>
      <c r="I60" s="175"/>
      <c r="J60" s="175"/>
      <c r="K60" s="175"/>
      <c r="L60" s="70"/>
      <c r="M60" s="70"/>
    </row>
    <row r="61" spans="1:14" s="174" customFormat="1" ht="20.15" customHeight="1">
      <c r="A61" s="374">
        <v>16</v>
      </c>
      <c r="B61" s="83" t="s">
        <v>375</v>
      </c>
      <c r="C61" s="176">
        <f>C50</f>
        <v>2022</v>
      </c>
      <c r="D61" s="363"/>
      <c r="E61" s="369">
        <v>768215.81999999995</v>
      </c>
      <c r="F61" s="369">
        <v>1171</v>
      </c>
      <c r="G61" s="369">
        <v>0</v>
      </c>
      <c r="H61" s="369">
        <v>3647</v>
      </c>
      <c r="I61" s="369">
        <v>11664090.190000001</v>
      </c>
      <c r="J61" s="369">
        <v>52405615.806728028</v>
      </c>
      <c r="K61" s="384">
        <v>-1790520.6781946868</v>
      </c>
      <c r="L61" s="369"/>
      <c r="M61" s="433">
        <v>-37072911.483311057</v>
      </c>
      <c r="N61" s="433">
        <v>89478527.290039092</v>
      </c>
    </row>
    <row r="62" spans="1:14" s="174" customFormat="1" ht="20.15" customHeight="1">
      <c r="A62" s="374"/>
      <c r="B62" s="83"/>
      <c r="C62" s="176"/>
      <c r="D62" s="363"/>
      <c r="E62" s="369"/>
      <c r="F62" s="369"/>
      <c r="G62" s="369"/>
      <c r="H62" s="370"/>
      <c r="I62" s="369"/>
      <c r="J62" s="369"/>
      <c r="K62" s="369"/>
      <c r="L62" s="369"/>
      <c r="M62"/>
      <c r="N62"/>
    </row>
    <row r="63" spans="1:14" s="174" customFormat="1" ht="20.15" customHeight="1">
      <c r="A63" s="374"/>
      <c r="B63" s="83" t="s">
        <v>807</v>
      </c>
      <c r="C63" s="176"/>
      <c r="D63" s="363"/>
      <c r="E63" s="369"/>
      <c r="F63" s="369"/>
      <c r="G63" s="369"/>
      <c r="H63" s="370"/>
      <c r="I63" s="369"/>
      <c r="J63" s="369"/>
      <c r="K63" s="369"/>
      <c r="L63" s="369"/>
      <c r="M63"/>
      <c r="N63"/>
    </row>
    <row r="64" spans="1:14" s="174" customFormat="1" ht="20.15" customHeight="1">
      <c r="A64" s="374">
        <v>17</v>
      </c>
      <c r="B64" s="83" t="s">
        <v>375</v>
      </c>
      <c r="C64" s="176">
        <f t="shared" si="1" ref="C64:C65">C53</f>
        <v>2021</v>
      </c>
      <c r="D64" s="363"/>
      <c r="E64" s="369">
        <f t="array" ref="E64:J64">TRANSPOSE('WP03-B - ADIT Detail'!I17:I23)</f>
        <v>0</v>
      </c>
      <c r="F64" s="369">
        <v>0</v>
      </c>
      <c r="G64" s="369">
        <v>0</v>
      </c>
      <c r="H64" s="370">
        <v>0</v>
      </c>
      <c r="I64" s="369">
        <v>0</v>
      </c>
      <c r="J64" s="369">
        <v>0</v>
      </c>
      <c r="K64" s="369"/>
      <c r="L64" s="369"/>
      <c r="M64"/>
      <c r="N64"/>
    </row>
    <row r="65" spans="1:14" s="174" customFormat="1" ht="20.15" customHeight="1">
      <c r="A65" s="374">
        <v>18</v>
      </c>
      <c r="B65" s="83" t="s">
        <v>375</v>
      </c>
      <c r="C65" s="176">
        <f t="shared" si="1"/>
        <v>2022</v>
      </c>
      <c r="D65" s="363"/>
      <c r="E65" s="369">
        <f t="array" ref="E65:J65">TRANSPOSE('WP03-B - ADIT Detail'!J17:J23)</f>
        <v>0</v>
      </c>
      <c r="F65" s="369">
        <v>0</v>
      </c>
      <c r="G65" s="369">
        <v>0</v>
      </c>
      <c r="H65" s="370">
        <v>0</v>
      </c>
      <c r="I65" s="369">
        <v>0</v>
      </c>
      <c r="J65" s="369">
        <v>0</v>
      </c>
      <c r="K65" s="369"/>
      <c r="L65" s="369"/>
      <c r="M65" s="433"/>
      <c r="N65" s="433"/>
    </row>
    <row r="66" spans="1:14" s="174" customFormat="1" ht="20.15" customHeight="1">
      <c r="A66" s="374"/>
      <c r="B66" s="363"/>
      <c r="C66" s="368"/>
      <c r="D66" s="363"/>
      <c r="E66" s="176"/>
      <c r="F66" s="177"/>
      <c r="G66" s="177"/>
      <c r="H66" s="363"/>
      <c r="I66" s="363"/>
      <c r="J66" s="363"/>
      <c r="K66" s="363"/>
      <c r="L66" s="363"/>
      <c r="M66" s="363"/>
      <c r="N66" s="363"/>
    </row>
    <row r="67" spans="1:16" ht="37.75" customHeight="1">
      <c r="A67" s="378" t="s">
        <v>550</v>
      </c>
      <c r="B67" s="690" t="s">
        <v>378</v>
      </c>
      <c r="C67" s="690"/>
      <c r="D67" s="690"/>
      <c r="E67" s="690"/>
      <c r="F67" s="690"/>
      <c r="G67" s="690"/>
      <c r="H67" s="690"/>
      <c r="I67" s="690"/>
      <c r="J67" s="690"/>
      <c r="K67" s="690"/>
      <c r="L67" s="690"/>
      <c r="M67" s="690"/>
      <c r="N67" s="690"/>
      <c r="O67" s="690"/>
      <c r="P67" s="690"/>
    </row>
    <row r="68" spans="1:16" ht="24.65" customHeight="1">
      <c r="A68" s="379" t="s">
        <v>611</v>
      </c>
      <c r="B68" s="691" t="s">
        <v>876</v>
      </c>
      <c r="C68" s="691"/>
      <c r="D68" s="691"/>
      <c r="E68" s="691"/>
      <c r="F68" s="691"/>
      <c r="G68" s="691"/>
      <c r="H68" s="691"/>
      <c r="I68" s="691"/>
      <c r="J68" s="691"/>
      <c r="K68" s="691"/>
      <c r="L68" s="691"/>
      <c r="M68" s="691"/>
      <c r="N68" s="691"/>
      <c r="O68" s="691"/>
      <c r="P68" s="691"/>
    </row>
    <row r="69" spans="1:6" ht="20.15" customHeight="1">
      <c r="A69" s="379" t="s">
        <v>612</v>
      </c>
      <c r="B69" s="70" t="s">
        <v>903</v>
      </c>
      <c r="F69" s="363"/>
    </row>
    <row r="70" spans="1:16" ht="33.65" customHeight="1">
      <c r="A70" s="374" t="s">
        <v>613</v>
      </c>
      <c r="B70" s="690" t="s">
        <v>805</v>
      </c>
      <c r="C70" s="690"/>
      <c r="D70" s="690"/>
      <c r="E70" s="690"/>
      <c r="F70" s="690"/>
      <c r="G70" s="690"/>
      <c r="H70" s="690"/>
      <c r="I70" s="690"/>
      <c r="J70" s="690"/>
      <c r="K70" s="690"/>
      <c r="L70" s="690"/>
      <c r="M70" s="690"/>
      <c r="N70" s="690"/>
      <c r="O70" s="690"/>
      <c r="P70" s="690"/>
    </row>
    <row r="71" spans="2:16" ht="20.15" customHeight="1">
      <c r="B71" s="690"/>
      <c r="C71" s="690"/>
      <c r="D71" s="690"/>
      <c r="E71" s="690"/>
      <c r="F71" s="690"/>
      <c r="G71" s="690"/>
      <c r="H71" s="690"/>
      <c r="I71" s="690"/>
      <c r="J71" s="690"/>
      <c r="K71" s="690"/>
      <c r="L71" s="690"/>
      <c r="M71" s="690"/>
      <c r="N71" s="690"/>
      <c r="O71" s="690"/>
      <c r="P71" s="690"/>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scale="3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E3" sqref="E3"/>
    </sheetView>
  </sheetViews>
  <sheetFormatPr defaultColWidth="8.91714285714286" defaultRowHeight="20.15" customHeight="1"/>
  <cols>
    <col min="1" max="1" width="18.8571428571429" style="116" customWidth="1"/>
    <col min="2" max="2" width="16.8571428571429" style="118" customWidth="1"/>
    <col min="3" max="3" width="9.92857142857143" style="118" customWidth="1"/>
    <col min="4" max="4" width="16.8571428571429" style="116" customWidth="1"/>
    <col min="5" max="9" width="15.8571428571429" style="116" customWidth="1"/>
    <col min="10" max="10" width="18.8571428571429" style="116" customWidth="1"/>
    <col min="11" max="16384" width="8.92857142857143" style="116"/>
  </cols>
  <sheetData>
    <row r="1" spans="2:10" ht="16.5" customHeight="1">
      <c r="B1" s="115"/>
      <c r="C1" s="115"/>
      <c r="J1" s="117" t="s">
        <v>463</v>
      </c>
    </row>
    <row r="2" spans="2:10" ht="16.5" customHeight="1">
      <c r="B2" s="115"/>
      <c r="C2" s="115"/>
      <c r="J2" s="117" t="s">
        <v>275</v>
      </c>
    </row>
    <row r="3" spans="2:10" ht="16.5" customHeight="1">
      <c r="B3" s="115"/>
      <c r="C3" s="115"/>
      <c r="J3" s="117" t="str">
        <f>'Attachment H-21-A ATSI '!K4</f>
        <v>For the 12 months ended 12/31/2022</v>
      </c>
    </row>
    <row r="4" spans="2:3" ht="20.15" customHeight="1">
      <c r="B4" s="115"/>
      <c r="C4" s="115"/>
    </row>
    <row r="5" spans="2:9" ht="20.15" customHeight="1">
      <c r="B5" s="693" t="s">
        <v>477</v>
      </c>
      <c r="C5" s="693"/>
      <c r="D5" s="693"/>
      <c r="E5" s="693"/>
      <c r="F5" s="693"/>
      <c r="G5" s="693"/>
      <c r="H5" s="693"/>
      <c r="I5" s="693"/>
    </row>
    <row r="6" spans="2:9" ht="20.15" customHeight="1">
      <c r="B6" s="693"/>
      <c r="C6" s="693"/>
      <c r="D6" s="693"/>
      <c r="E6" s="693"/>
      <c r="F6" s="693"/>
      <c r="G6" s="693"/>
      <c r="H6" s="693"/>
      <c r="I6" s="693"/>
    </row>
    <row r="7" ht="20.15" customHeight="1" thickBot="1"/>
    <row r="8" spans="2:9" s="144" customFormat="1" ht="95.4" customHeight="1">
      <c r="B8" s="257" t="s">
        <v>910</v>
      </c>
      <c r="C8" s="146"/>
      <c r="D8" s="257" t="s">
        <v>909</v>
      </c>
      <c r="E8" s="146"/>
      <c r="F8" s="145" t="s">
        <v>683</v>
      </c>
      <c r="H8" s="143"/>
      <c r="I8" s="143"/>
    </row>
    <row r="9" spans="2:9" ht="20.15" customHeight="1">
      <c r="B9" s="122"/>
      <c r="C9" s="120"/>
      <c r="D9" s="122"/>
      <c r="E9" s="120"/>
      <c r="F9" s="123"/>
      <c r="H9" s="121"/>
      <c r="I9" s="121"/>
    </row>
    <row r="10" spans="2:9" ht="20.15" customHeight="1" thickBot="1">
      <c r="B10" s="258">
        <v>824346539</v>
      </c>
      <c r="C10" s="126" t="s">
        <v>641</v>
      </c>
      <c r="D10" s="258">
        <v>863632204.73624277</v>
      </c>
      <c r="E10" s="126" t="s">
        <v>108</v>
      </c>
      <c r="F10" s="272">
        <f>IF(B10=0,0,B10-D10)</f>
        <v>-39285665.736242771</v>
      </c>
      <c r="H10" s="121"/>
      <c r="I10" s="121"/>
    </row>
    <row r="11" spans="2:9" ht="20.15" customHeight="1" thickBot="1">
      <c r="B11" s="127"/>
      <c r="C11" s="128"/>
      <c r="D11" s="127"/>
      <c r="E11" s="128"/>
      <c r="F11" s="127"/>
      <c r="G11" s="129"/>
      <c r="H11" s="129"/>
      <c r="I11" s="129"/>
    </row>
    <row r="12" spans="2:9" ht="20.15" customHeight="1">
      <c r="B12" s="130"/>
      <c r="C12" s="124"/>
      <c r="D12" s="125"/>
      <c r="E12" s="124"/>
      <c r="F12" s="125"/>
      <c r="G12" s="121"/>
      <c r="H12" s="121"/>
      <c r="I12" s="121"/>
    </row>
    <row r="13" spans="2:9" ht="48" customHeight="1">
      <c r="B13" s="694"/>
      <c r="C13" s="694"/>
      <c r="D13" s="132" t="s">
        <v>684</v>
      </c>
      <c r="E13" s="132" t="s">
        <v>465</v>
      </c>
      <c r="F13" s="126" t="s">
        <v>466</v>
      </c>
      <c r="G13" s="133" t="s">
        <v>467</v>
      </c>
      <c r="H13" s="132" t="s">
        <v>468</v>
      </c>
      <c r="I13" s="132" t="s">
        <v>469</v>
      </c>
    </row>
    <row r="14" spans="2:9" ht="32.15" customHeight="1">
      <c r="B14" s="695" t="s">
        <v>575</v>
      </c>
      <c r="C14" s="695"/>
      <c r="D14" s="695"/>
      <c r="E14" s="259">
        <v>0.0042349999999999992</v>
      </c>
      <c r="F14" s="125"/>
      <c r="G14" s="121"/>
      <c r="H14" s="121"/>
      <c r="I14" s="121"/>
    </row>
    <row r="15" spans="2:9" ht="20.15" customHeight="1">
      <c r="B15" s="131"/>
      <c r="C15" s="124"/>
      <c r="D15" s="121"/>
      <c r="E15" s="134"/>
      <c r="F15" s="125"/>
      <c r="G15" s="121"/>
      <c r="H15" s="121"/>
      <c r="I15" s="121"/>
    </row>
    <row r="16" spans="2:9" ht="20.15" customHeight="1">
      <c r="B16" s="260" t="s">
        <v>911</v>
      </c>
      <c r="C16" s="261"/>
      <c r="D16" s="261"/>
      <c r="E16" s="261"/>
      <c r="F16" s="261"/>
      <c r="G16" s="261"/>
      <c r="H16" s="261"/>
      <c r="I16" s="121"/>
    </row>
    <row r="17" spans="2:9" ht="20.15" customHeight="1">
      <c r="B17" s="135" t="s">
        <v>3</v>
      </c>
      <c r="C17" s="124"/>
      <c r="D17" s="124"/>
      <c r="E17" s="124" t="s">
        <v>3</v>
      </c>
      <c r="F17" s="121"/>
      <c r="G17" s="121"/>
      <c r="H17" s="121"/>
      <c r="I17" s="121"/>
    </row>
    <row r="18" spans="2:9" ht="20.15" customHeight="1">
      <c r="B18" s="147" t="s">
        <v>470</v>
      </c>
      <c r="C18" s="124"/>
      <c r="D18" s="124"/>
      <c r="E18" s="121"/>
      <c r="F18" s="121"/>
      <c r="G18" s="126" t="s">
        <v>471</v>
      </c>
      <c r="H18" s="124"/>
      <c r="I18" s="124"/>
    </row>
    <row r="19" spans="2:9" ht="20.15" customHeight="1">
      <c r="B19" s="120" t="s">
        <v>333</v>
      </c>
      <c r="C19" s="262" t="s">
        <v>912</v>
      </c>
      <c r="D19" s="136">
        <f>+F10/12</f>
        <v>-3273805.4780202308</v>
      </c>
      <c r="E19" s="266">
        <f>+E14</f>
        <v>0.0042349999999999992</v>
      </c>
      <c r="F19" s="267">
        <v>12</v>
      </c>
      <c r="G19" s="136">
        <f t="shared" si="0" ref="G19:G30">E19*D19*F19*-1</f>
        <v>166374.79439298809</v>
      </c>
      <c r="H19" s="136"/>
      <c r="I19" s="136">
        <f t="shared" si="1" ref="I19:I30">(-G19+D19)*-1</f>
        <v>3440180.2724132189</v>
      </c>
    </row>
    <row r="20" spans="2:9" ht="20.15" customHeight="1">
      <c r="B20" s="120" t="s">
        <v>334</v>
      </c>
      <c r="C20" s="262" t="str">
        <f>C19</f>
        <v>Year 2022</v>
      </c>
      <c r="D20" s="136">
        <f>+D19</f>
        <v>-3273805.4780202308</v>
      </c>
      <c r="E20" s="266">
        <f>+E19</f>
        <v>0.0042349999999999992</v>
      </c>
      <c r="F20" s="268">
        <f t="shared" si="2" ref="F20:F30">+F19-1</f>
        <v>11</v>
      </c>
      <c r="G20" s="136">
        <f t="shared" si="0"/>
        <v>152510.22819357243</v>
      </c>
      <c r="H20" s="136"/>
      <c r="I20" s="136">
        <f t="shared" si="1"/>
        <v>3426315.706213803</v>
      </c>
    </row>
    <row r="21" spans="2:9" ht="20.15" customHeight="1">
      <c r="B21" s="120" t="s">
        <v>335</v>
      </c>
      <c r="C21" s="262" t="str">
        <f t="shared" si="3" ref="C21:C30">C20</f>
        <v>Year 2022</v>
      </c>
      <c r="D21" s="136">
        <f t="shared" si="4" ref="D21:E30">+D20</f>
        <v>-3273805.4780202308</v>
      </c>
      <c r="E21" s="266">
        <f t="shared" si="4"/>
        <v>0.0042349999999999992</v>
      </c>
      <c r="F21" s="268">
        <f t="shared" si="2"/>
        <v>10</v>
      </c>
      <c r="G21" s="136">
        <f t="shared" si="0"/>
        <v>138645.66199415675</v>
      </c>
      <c r="H21" s="136"/>
      <c r="I21" s="136">
        <f t="shared" si="1"/>
        <v>3412451.1400143877</v>
      </c>
    </row>
    <row r="22" spans="2:9" ht="20.15" customHeight="1">
      <c r="B22" s="120" t="s">
        <v>336</v>
      </c>
      <c r="C22" s="262" t="str">
        <f t="shared" si="3"/>
        <v>Year 2022</v>
      </c>
      <c r="D22" s="136">
        <f t="shared" si="4"/>
        <v>-3273805.4780202308</v>
      </c>
      <c r="E22" s="266">
        <f t="shared" si="4"/>
        <v>0.0042349999999999992</v>
      </c>
      <c r="F22" s="268">
        <f t="shared" si="2"/>
        <v>9</v>
      </c>
      <c r="G22" s="136">
        <f t="shared" si="0"/>
        <v>124781.09579474106</v>
      </c>
      <c r="H22" s="136"/>
      <c r="I22" s="136">
        <f t="shared" si="1"/>
        <v>3398586.5738149718</v>
      </c>
    </row>
    <row r="23" spans="2:9" ht="20.15" customHeight="1">
      <c r="B23" s="120" t="s">
        <v>337</v>
      </c>
      <c r="C23" s="262" t="str">
        <f t="shared" si="3"/>
        <v>Year 2022</v>
      </c>
      <c r="D23" s="136">
        <f t="shared" si="4"/>
        <v>-3273805.4780202308</v>
      </c>
      <c r="E23" s="266">
        <f t="shared" si="4"/>
        <v>0.0042349999999999992</v>
      </c>
      <c r="F23" s="268">
        <f t="shared" si="2"/>
        <v>8</v>
      </c>
      <c r="G23" s="136">
        <f t="shared" si="0"/>
        <v>110916.5295953254</v>
      </c>
      <c r="H23" s="136"/>
      <c r="I23" s="136">
        <f t="shared" si="1"/>
        <v>3384722.007615556</v>
      </c>
    </row>
    <row r="24" spans="2:9" ht="20.15" customHeight="1">
      <c r="B24" s="120" t="s">
        <v>353</v>
      </c>
      <c r="C24" s="262" t="str">
        <f t="shared" si="3"/>
        <v>Year 2022</v>
      </c>
      <c r="D24" s="136">
        <f t="shared" si="4"/>
        <v>-3273805.4780202308</v>
      </c>
      <c r="E24" s="266">
        <f t="shared" si="4"/>
        <v>0.0042349999999999992</v>
      </c>
      <c r="F24" s="268">
        <f t="shared" si="2"/>
        <v>7</v>
      </c>
      <c r="G24" s="136">
        <f t="shared" si="0"/>
        <v>97051.963395909726</v>
      </c>
      <c r="H24" s="136"/>
      <c r="I24" s="136">
        <f t="shared" si="1"/>
        <v>3370857.4414161406</v>
      </c>
    </row>
    <row r="25" spans="2:9" ht="20.15" customHeight="1">
      <c r="B25" s="120" t="s">
        <v>338</v>
      </c>
      <c r="C25" s="262" t="str">
        <f t="shared" si="3"/>
        <v>Year 2022</v>
      </c>
      <c r="D25" s="136">
        <f t="shared" si="4"/>
        <v>-3273805.4780202308</v>
      </c>
      <c r="E25" s="266">
        <f t="shared" si="4"/>
        <v>0.0042349999999999992</v>
      </c>
      <c r="F25" s="268">
        <f t="shared" si="2"/>
        <v>6</v>
      </c>
      <c r="G25" s="136">
        <f t="shared" si="0"/>
        <v>83187.397196494043</v>
      </c>
      <c r="H25" s="136"/>
      <c r="I25" s="136">
        <f t="shared" si="1"/>
        <v>3356992.8752167248</v>
      </c>
    </row>
    <row r="26" spans="2:9" ht="20.15" customHeight="1">
      <c r="B26" s="120" t="s">
        <v>339</v>
      </c>
      <c r="C26" s="262" t="str">
        <f t="shared" si="3"/>
        <v>Year 2022</v>
      </c>
      <c r="D26" s="136">
        <f t="shared" si="4"/>
        <v>-3273805.4780202308</v>
      </c>
      <c r="E26" s="266">
        <f t="shared" si="4"/>
        <v>0.0042349999999999992</v>
      </c>
      <c r="F26" s="268">
        <f t="shared" si="2"/>
        <v>5</v>
      </c>
      <c r="G26" s="136">
        <f t="shared" si="0"/>
        <v>69322.830997078374</v>
      </c>
      <c r="H26" s="136"/>
      <c r="I26" s="136">
        <f t="shared" si="1"/>
        <v>3343128.309017309</v>
      </c>
    </row>
    <row r="27" spans="2:9" ht="20.15" customHeight="1">
      <c r="B27" s="120" t="s">
        <v>340</v>
      </c>
      <c r="C27" s="262" t="str">
        <f t="shared" si="3"/>
        <v>Year 2022</v>
      </c>
      <c r="D27" s="136">
        <f t="shared" si="4"/>
        <v>-3273805.4780202308</v>
      </c>
      <c r="E27" s="266">
        <f t="shared" si="4"/>
        <v>0.0042349999999999992</v>
      </c>
      <c r="F27" s="268">
        <f t="shared" si="2"/>
        <v>4</v>
      </c>
      <c r="G27" s="136">
        <f t="shared" si="0"/>
        <v>55458.264797662698</v>
      </c>
      <c r="H27" s="136"/>
      <c r="I27" s="136">
        <f t="shared" si="1"/>
        <v>3329263.7428178936</v>
      </c>
    </row>
    <row r="28" spans="2:9" ht="20.15" customHeight="1">
      <c r="B28" s="120" t="s">
        <v>342</v>
      </c>
      <c r="C28" s="262" t="str">
        <f t="shared" si="3"/>
        <v>Year 2022</v>
      </c>
      <c r="D28" s="136">
        <f t="shared" si="4"/>
        <v>-3273805.4780202308</v>
      </c>
      <c r="E28" s="266">
        <f t="shared" si="4"/>
        <v>0.0042349999999999992</v>
      </c>
      <c r="F28" s="268">
        <f t="shared" si="2"/>
        <v>3</v>
      </c>
      <c r="G28" s="136">
        <f t="shared" si="0"/>
        <v>41593.698598247021</v>
      </c>
      <c r="H28" s="136"/>
      <c r="I28" s="136">
        <f t="shared" si="1"/>
        <v>3315399.1766184778</v>
      </c>
    </row>
    <row r="29" spans="2:9" ht="20.15" customHeight="1">
      <c r="B29" s="120" t="s">
        <v>341</v>
      </c>
      <c r="C29" s="262" t="str">
        <f t="shared" si="3"/>
        <v>Year 2022</v>
      </c>
      <c r="D29" s="136">
        <f t="shared" si="4"/>
        <v>-3273805.4780202308</v>
      </c>
      <c r="E29" s="266">
        <f t="shared" si="4"/>
        <v>0.0042349999999999992</v>
      </c>
      <c r="F29" s="268">
        <f t="shared" si="2"/>
        <v>2</v>
      </c>
      <c r="G29" s="136">
        <f t="shared" si="0"/>
        <v>27729.132398831349</v>
      </c>
      <c r="H29" s="136"/>
      <c r="I29" s="136">
        <f t="shared" si="1"/>
        <v>3301534.610419062</v>
      </c>
    </row>
    <row r="30" spans="2:9" ht="20.15" customHeight="1">
      <c r="B30" s="120" t="s">
        <v>332</v>
      </c>
      <c r="C30" s="262" t="str">
        <f t="shared" si="3"/>
        <v>Year 2022</v>
      </c>
      <c r="D30" s="136">
        <f t="shared" si="4"/>
        <v>-3273805.4780202308</v>
      </c>
      <c r="E30" s="266">
        <f t="shared" si="4"/>
        <v>0.0042349999999999992</v>
      </c>
      <c r="F30" s="268">
        <f t="shared" si="2"/>
        <v>1</v>
      </c>
      <c r="G30" s="137">
        <f t="shared" si="0"/>
        <v>13864.566199415674</v>
      </c>
      <c r="H30" s="136"/>
      <c r="I30" s="136">
        <f t="shared" si="1"/>
        <v>3287670.0442196466</v>
      </c>
    </row>
    <row r="31" spans="2:9" ht="20.15" customHeight="1">
      <c r="B31" s="120"/>
      <c r="C31" s="120"/>
      <c r="D31" s="136"/>
      <c r="E31" s="266"/>
      <c r="F31" s="268"/>
      <c r="G31" s="136">
        <f>SUM(G19:G30)</f>
        <v>1081436.1635544226</v>
      </c>
      <c r="H31" s="136"/>
      <c r="I31" s="138">
        <f>SUM(I19:I30)</f>
        <v>40367101.899797201</v>
      </c>
    </row>
    <row r="32" spans="2:9" ht="20.15" customHeight="1">
      <c r="B32" s="120"/>
      <c r="C32" s="120"/>
      <c r="D32" s="136"/>
      <c r="E32" s="266"/>
      <c r="F32" s="267"/>
      <c r="G32" s="136"/>
      <c r="H32" s="136" t="s">
        <v>3</v>
      </c>
      <c r="I32" s="139"/>
    </row>
    <row r="33" spans="2:9" ht="20.15" customHeight="1">
      <c r="B33" s="120"/>
      <c r="C33" s="120"/>
      <c r="D33" s="125"/>
      <c r="E33" s="266"/>
      <c r="F33" s="267"/>
      <c r="G33" s="140" t="s">
        <v>472</v>
      </c>
      <c r="H33" s="136"/>
      <c r="I33" s="136"/>
    </row>
    <row r="34" spans="2:9" ht="37.25" customHeight="1">
      <c r="B34" s="273" t="s">
        <v>473</v>
      </c>
      <c r="C34" s="274" t="s">
        <v>913</v>
      </c>
      <c r="D34" s="275">
        <f>I31</f>
        <v>40367101.899797201</v>
      </c>
      <c r="E34" s="276">
        <f>+E30</f>
        <v>0.0042349999999999992</v>
      </c>
      <c r="F34" s="277">
        <v>12</v>
      </c>
      <c r="G34" s="278">
        <f>+F34*E34*D34</f>
        <v>2051456.1185476934</v>
      </c>
      <c r="H34" s="278"/>
      <c r="I34" s="279">
        <f>+D34+G34</f>
        <v>42418558.018344894</v>
      </c>
    </row>
    <row r="35" spans="2:9" ht="20.15" customHeight="1">
      <c r="B35" s="120"/>
      <c r="C35" s="120"/>
      <c r="D35" s="125"/>
      <c r="E35" s="266"/>
      <c r="F35" s="120"/>
      <c r="G35" s="136"/>
      <c r="H35" s="136"/>
      <c r="I35" s="136"/>
    </row>
    <row r="36" spans="2:9" ht="20.15" customHeight="1">
      <c r="B36" s="141" t="s">
        <v>685</v>
      </c>
      <c r="C36" s="120"/>
      <c r="D36" s="136"/>
      <c r="E36" s="266"/>
      <c r="F36" s="120"/>
      <c r="G36" s="140" t="s">
        <v>471</v>
      </c>
      <c r="H36" s="136"/>
      <c r="I36" s="136"/>
    </row>
    <row r="37" spans="2:9" ht="20.15" customHeight="1">
      <c r="B37" s="120" t="s">
        <v>333</v>
      </c>
      <c r="C37" s="262" t="s">
        <v>914</v>
      </c>
      <c r="D37" s="269">
        <f>-I34</f>
        <v>-42418558.018344894</v>
      </c>
      <c r="E37" s="266">
        <f>+E30</f>
        <v>0.0042349999999999992</v>
      </c>
      <c r="F37" s="120"/>
      <c r="G37" s="136">
        <f t="shared" si="5" ref="G37:G48">-E37*D37</f>
        <v>179642.5932076906</v>
      </c>
      <c r="H37" s="136">
        <f>PMT(E37,12,I$34)</f>
        <v>-3632940.1148470799</v>
      </c>
      <c r="I37" s="136">
        <f t="shared" si="6" ref="I37:I48">(+D37+D37*E37-H37)*-1</f>
        <v>38965260.496705502</v>
      </c>
    </row>
    <row r="38" spans="2:9" ht="20.15" customHeight="1">
      <c r="B38" s="120" t="s">
        <v>334</v>
      </c>
      <c r="C38" s="262" t="str">
        <f>C37</f>
        <v>Year 2024</v>
      </c>
      <c r="D38" s="125">
        <f>-I37</f>
        <v>-38965260.496705502</v>
      </c>
      <c r="E38" s="266">
        <f>+E37</f>
        <v>0.0042349999999999992</v>
      </c>
      <c r="F38" s="120"/>
      <c r="G38" s="136">
        <f t="shared" si="5"/>
        <v>165017.87820354776</v>
      </c>
      <c r="H38" s="136">
        <f>H37</f>
        <v>-3632940.1148470799</v>
      </c>
      <c r="I38" s="136">
        <f t="shared" si="6"/>
        <v>35497338.260061972</v>
      </c>
    </row>
    <row r="39" spans="2:9" ht="20.15" customHeight="1">
      <c r="B39" s="120" t="s">
        <v>335</v>
      </c>
      <c r="C39" s="262" t="str">
        <f t="shared" si="7" ref="C39:C48">C38</f>
        <v>Year 2024</v>
      </c>
      <c r="D39" s="125">
        <f t="shared" si="8" ref="D39:D48">-I38</f>
        <v>-35497338.260061972</v>
      </c>
      <c r="E39" s="266">
        <f t="shared" si="9" ref="E39:E48">+E38</f>
        <v>0.0042349999999999992</v>
      </c>
      <c r="F39" s="120"/>
      <c r="G39" s="136">
        <f t="shared" si="5"/>
        <v>150331.22753136241</v>
      </c>
      <c r="H39" s="136">
        <f t="shared" si="10" ref="H39:H48">H38</f>
        <v>-3632940.1148470799</v>
      </c>
      <c r="I39" s="136">
        <f t="shared" si="6"/>
        <v>32014729.372746259</v>
      </c>
    </row>
    <row r="40" spans="2:9" ht="20.15" customHeight="1">
      <c r="B40" s="120" t="s">
        <v>336</v>
      </c>
      <c r="C40" s="262" t="str">
        <f t="shared" si="7"/>
        <v>Year 2024</v>
      </c>
      <c r="D40" s="125">
        <f t="shared" si="8"/>
        <v>-32014729.372746259</v>
      </c>
      <c r="E40" s="266">
        <f t="shared" si="9"/>
        <v>0.0042349999999999992</v>
      </c>
      <c r="F40" s="120"/>
      <c r="G40" s="136">
        <f t="shared" si="5"/>
        <v>135582.37889358038</v>
      </c>
      <c r="H40" s="136">
        <f t="shared" si="10"/>
        <v>-3632940.1148470799</v>
      </c>
      <c r="I40" s="136">
        <f t="shared" si="6"/>
        <v>28517371.63679276</v>
      </c>
    </row>
    <row r="41" spans="2:9" ht="20.15" customHeight="1">
      <c r="B41" s="120" t="s">
        <v>337</v>
      </c>
      <c r="C41" s="262" t="str">
        <f t="shared" si="7"/>
        <v>Year 2024</v>
      </c>
      <c r="D41" s="125">
        <f t="shared" si="8"/>
        <v>-28517371.63679276</v>
      </c>
      <c r="E41" s="266">
        <f t="shared" si="9"/>
        <v>0.0042349999999999992</v>
      </c>
      <c r="F41" s="120"/>
      <c r="G41" s="136">
        <f t="shared" si="5"/>
        <v>120771.06888181732</v>
      </c>
      <c r="H41" s="136">
        <f t="shared" si="10"/>
        <v>-3632940.1148470799</v>
      </c>
      <c r="I41" s="136">
        <f t="shared" si="6"/>
        <v>25005202.590827499</v>
      </c>
    </row>
    <row r="42" spans="2:9" ht="20.15" customHeight="1">
      <c r="B42" s="120" t="s">
        <v>353</v>
      </c>
      <c r="C42" s="262" t="str">
        <f t="shared" si="7"/>
        <v>Year 2024</v>
      </c>
      <c r="D42" s="125">
        <f t="shared" si="8"/>
        <v>-25005202.590827499</v>
      </c>
      <c r="E42" s="266">
        <f t="shared" si="9"/>
        <v>0.0042349999999999992</v>
      </c>
      <c r="F42" s="120"/>
      <c r="G42" s="136">
        <f t="shared" si="5"/>
        <v>105897.03297215444</v>
      </c>
      <c r="H42" s="136">
        <f t="shared" si="10"/>
        <v>-3632940.1148470799</v>
      </c>
      <c r="I42" s="136">
        <f t="shared" si="6"/>
        <v>21478159.508952573</v>
      </c>
    </row>
    <row r="43" spans="2:9" ht="20.15" customHeight="1">
      <c r="B43" s="120" t="s">
        <v>338</v>
      </c>
      <c r="C43" s="262" t="str">
        <f t="shared" si="7"/>
        <v>Year 2024</v>
      </c>
      <c r="D43" s="125">
        <f t="shared" si="8"/>
        <v>-21478159.508952573</v>
      </c>
      <c r="E43" s="266">
        <f t="shared" si="9"/>
        <v>0.0042349999999999992</v>
      </c>
      <c r="F43" s="120"/>
      <c r="G43" s="136">
        <f t="shared" si="5"/>
        <v>90960.005520414124</v>
      </c>
      <c r="H43" s="136">
        <f t="shared" si="10"/>
        <v>-3632940.1148470799</v>
      </c>
      <c r="I43" s="136">
        <f t="shared" si="6"/>
        <v>17936179.399625909</v>
      </c>
    </row>
    <row r="44" spans="2:9" ht="20.15" customHeight="1">
      <c r="B44" s="120" t="s">
        <v>339</v>
      </c>
      <c r="C44" s="262" t="str">
        <f t="shared" si="7"/>
        <v>Year 2024</v>
      </c>
      <c r="D44" s="125">
        <f t="shared" si="8"/>
        <v>-17936179.399625909</v>
      </c>
      <c r="E44" s="266">
        <f t="shared" si="9"/>
        <v>0.0042349999999999992</v>
      </c>
      <c r="F44" s="120"/>
      <c r="G44" s="136">
        <f t="shared" si="5"/>
        <v>75959.719757415703</v>
      </c>
      <c r="H44" s="136">
        <f t="shared" si="10"/>
        <v>-3632940.1148470799</v>
      </c>
      <c r="I44" s="136">
        <f t="shared" si="6"/>
        <v>14379199.004536245</v>
      </c>
    </row>
    <row r="45" spans="2:9" ht="20.15" customHeight="1">
      <c r="B45" s="120" t="s">
        <v>340</v>
      </c>
      <c r="C45" s="262" t="str">
        <f t="shared" si="7"/>
        <v>Year 2024</v>
      </c>
      <c r="D45" s="125">
        <f t="shared" si="8"/>
        <v>-14379199.004536245</v>
      </c>
      <c r="E45" s="266">
        <f t="shared" si="9"/>
        <v>0.0042349999999999992</v>
      </c>
      <c r="F45" s="120"/>
      <c r="G45" s="136">
        <f t="shared" si="5"/>
        <v>60895.907784210984</v>
      </c>
      <c r="H45" s="136">
        <f t="shared" si="10"/>
        <v>-3632940.1148470799</v>
      </c>
      <c r="I45" s="136">
        <f t="shared" si="6"/>
        <v>10807154.797473375</v>
      </c>
    </row>
    <row r="46" spans="2:9" ht="20.15" customHeight="1">
      <c r="B46" s="120" t="s">
        <v>342</v>
      </c>
      <c r="C46" s="262" t="str">
        <f t="shared" si="7"/>
        <v>Year 2024</v>
      </c>
      <c r="D46" s="125">
        <f t="shared" si="8"/>
        <v>-10807154.797473375</v>
      </c>
      <c r="E46" s="266">
        <f t="shared" si="9"/>
        <v>0.0042349999999999992</v>
      </c>
      <c r="F46" s="120"/>
      <c r="G46" s="136">
        <f t="shared" si="5"/>
        <v>45768.300567299731</v>
      </c>
      <c r="H46" s="136">
        <f t="shared" si="10"/>
        <v>-3632940.1148470799</v>
      </c>
      <c r="I46" s="136">
        <f t="shared" si="6"/>
        <v>7219982.983193594</v>
      </c>
    </row>
    <row r="47" spans="2:9" ht="20.15" customHeight="1">
      <c r="B47" s="120" t="s">
        <v>341</v>
      </c>
      <c r="C47" s="262" t="str">
        <f t="shared" si="7"/>
        <v>Year 2024</v>
      </c>
      <c r="D47" s="125">
        <f t="shared" si="8"/>
        <v>-7219982.983193594</v>
      </c>
      <c r="E47" s="266">
        <f t="shared" si="9"/>
        <v>0.0042349999999999992</v>
      </c>
      <c r="F47" s="120"/>
      <c r="G47" s="136">
        <f t="shared" si="5"/>
        <v>30576.627933824864</v>
      </c>
      <c r="H47" s="136">
        <f t="shared" si="10"/>
        <v>-3632940.1148470799</v>
      </c>
      <c r="I47" s="136">
        <f t="shared" si="6"/>
        <v>3617619.4962803386</v>
      </c>
    </row>
    <row r="48" spans="2:9" ht="20.15" customHeight="1">
      <c r="B48" s="120" t="s">
        <v>332</v>
      </c>
      <c r="C48" s="262" t="str">
        <f t="shared" si="7"/>
        <v>Year 2024</v>
      </c>
      <c r="D48" s="125">
        <f t="shared" si="8"/>
        <v>-3617619.4962803386</v>
      </c>
      <c r="E48" s="266">
        <f t="shared" si="9"/>
        <v>0.0042349999999999992</v>
      </c>
      <c r="F48" s="120"/>
      <c r="G48" s="137">
        <f t="shared" si="5"/>
        <v>15320.618566747231</v>
      </c>
      <c r="H48" s="136">
        <f t="shared" si="10"/>
        <v>-3632940.1148470799</v>
      </c>
      <c r="I48" s="136">
        <f t="shared" si="6"/>
        <v>6.0535967350006104E-09</v>
      </c>
    </row>
    <row r="49" spans="2:9" ht="20.15" customHeight="1">
      <c r="B49" s="120"/>
      <c r="C49" s="120"/>
      <c r="D49" s="125"/>
      <c r="E49" s="266"/>
      <c r="F49" s="120"/>
      <c r="G49" s="136">
        <f>SUM(G37:G48)</f>
        <v>1176723.3598200658</v>
      </c>
      <c r="H49" s="136"/>
      <c r="I49" s="136"/>
    </row>
    <row r="50" spans="2:9" ht="20.15" customHeight="1">
      <c r="B50" s="139"/>
      <c r="C50" s="139"/>
      <c r="D50" s="139"/>
      <c r="E50" s="139"/>
      <c r="F50" s="139"/>
      <c r="G50" s="139"/>
      <c r="H50" s="139"/>
      <c r="I50" s="139"/>
    </row>
    <row r="51" spans="2:9" ht="20.15" customHeight="1">
      <c r="B51" s="120" t="s">
        <v>476</v>
      </c>
      <c r="C51" s="139"/>
      <c r="D51" s="139"/>
      <c r="E51" s="139"/>
      <c r="F51" s="139"/>
      <c r="G51" s="139"/>
      <c r="H51" s="142">
        <f>SUM(H37:H48)*-1</f>
        <v>43595281.378164954</v>
      </c>
      <c r="I51" s="139"/>
    </row>
    <row r="52" spans="2:9" ht="20.15" customHeight="1">
      <c r="B52" s="120" t="s">
        <v>686</v>
      </c>
      <c r="C52" s="139"/>
      <c r="D52" s="139"/>
      <c r="E52" s="139"/>
      <c r="F52" s="139"/>
      <c r="G52" s="139"/>
      <c r="H52" s="280">
        <f>+F10</f>
        <v>-39285665.736242771</v>
      </c>
      <c r="I52" s="139"/>
    </row>
    <row r="53" spans="2:9" ht="20.15" customHeight="1">
      <c r="B53" s="120" t="s">
        <v>474</v>
      </c>
      <c r="C53" s="139"/>
      <c r="D53" s="139"/>
      <c r="E53" s="139"/>
      <c r="F53" s="139"/>
      <c r="G53" s="139"/>
      <c r="H53" s="142">
        <f>H51+H52</f>
        <v>4309615.6419221833</v>
      </c>
      <c r="I53" s="139"/>
    </row>
    <row r="55" spans="1:10" ht="32.15" customHeight="1">
      <c r="A55" s="190" t="s">
        <v>576</v>
      </c>
      <c r="B55" s="678" t="s">
        <v>577</v>
      </c>
      <c r="C55" s="678"/>
      <c r="D55" s="678"/>
      <c r="E55" s="678"/>
      <c r="F55" s="678"/>
      <c r="G55" s="678"/>
      <c r="H55" s="678"/>
      <c r="I55" s="678"/>
      <c r="J55" s="678"/>
    </row>
  </sheetData>
  <mergeCells count="5">
    <mergeCell ref="B5:I5"/>
    <mergeCell ref="B6:I6"/>
    <mergeCell ref="B13:C13"/>
    <mergeCell ref="B14:D14"/>
    <mergeCell ref="B55:J55"/>
  </mergeCells>
  <printOptions horizontalCentered="1"/>
  <pageMargins left="0.7" right="0.7" top="0.75" bottom="0.75" header="0.3" footer="0.3"/>
  <pageSetup fitToHeight="0" fitToWidth="0" orientation="portrait"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I2" sqref="I2"/>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8571428571429" style="70" customWidth="1"/>
    <col min="13" max="16384" width="8.92857142857143" style="70"/>
  </cols>
  <sheetData>
    <row r="1" spans="1:1" ht="20.15" customHeight="1">
      <c r="A1" s="79" t="str">
        <f ca="1">RIGHT(CELL("filename",D2),LEN(CELL("filename",D2))-FIND("]",CELL("filename",D2)))</f>
        <v>WP01 Plant</v>
      </c>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171</v>
      </c>
      <c r="F5" s="77" t="s">
        <v>359</v>
      </c>
      <c r="G5" s="77" t="s">
        <v>172</v>
      </c>
      <c r="H5" s="77" t="s">
        <v>361</v>
      </c>
      <c r="I5" s="77" t="s">
        <v>360</v>
      </c>
      <c r="J5" s="80">
        <v>356.10000000000002</v>
      </c>
      <c r="K5" s="70"/>
    </row>
    <row r="6" spans="1:12" ht="20.15" customHeight="1">
      <c r="A6" s="80">
        <v>1</v>
      </c>
      <c r="B6" s="70" t="s">
        <v>332</v>
      </c>
      <c r="C6" s="184">
        <f>'Appendix C-RRCA'!C11</f>
        <v>2021</v>
      </c>
      <c r="E6" s="155"/>
      <c r="F6" s="155">
        <v>5269959375.9000015</v>
      </c>
      <c r="G6" s="155"/>
      <c r="H6" s="155">
        <v>199982245</v>
      </c>
      <c r="I6" s="155">
        <v>114494731</v>
      </c>
      <c r="J6" s="155"/>
      <c r="K6" s="156"/>
      <c r="L6" s="156">
        <f t="shared" si="0" ref="L6:L18">SUM(E6:J6)</f>
        <v>5584436351.9000015</v>
      </c>
    </row>
    <row r="7" spans="1:12" ht="20.15" customHeight="1">
      <c r="A7" s="80">
        <v>2</v>
      </c>
      <c r="B7" s="70" t="s">
        <v>333</v>
      </c>
      <c r="C7" s="73">
        <f>C6+1</f>
        <v>2022</v>
      </c>
      <c r="E7" s="155"/>
      <c r="F7" s="155">
        <v>5270751683.0050011</v>
      </c>
      <c r="G7" s="155"/>
      <c r="H7" s="155">
        <v>200432309.85999992</v>
      </c>
      <c r="I7" s="155">
        <v>114968921.61999997</v>
      </c>
      <c r="J7" s="155"/>
      <c r="K7" s="156"/>
      <c r="L7" s="156">
        <f t="shared" si="0"/>
        <v>5586152914.4850006</v>
      </c>
    </row>
    <row r="8" spans="1:12" ht="20.15" customHeight="1">
      <c r="A8" s="80">
        <v>3</v>
      </c>
      <c r="B8" s="70" t="s">
        <v>334</v>
      </c>
      <c r="C8" s="73">
        <f>C7</f>
        <v>2022</v>
      </c>
      <c r="E8" s="155"/>
      <c r="F8" s="155">
        <v>5297551400.0050011</v>
      </c>
      <c r="G8" s="155"/>
      <c r="H8" s="155">
        <v>203171194.85999992</v>
      </c>
      <c r="I8" s="155">
        <v>113039952.88999997</v>
      </c>
      <c r="J8" s="155"/>
      <c r="K8" s="156"/>
      <c r="L8" s="156">
        <f t="shared" si="0"/>
        <v>5613762547.7550011</v>
      </c>
    </row>
    <row r="9" spans="1:12" ht="20.15" customHeight="1">
      <c r="A9" s="80">
        <v>4</v>
      </c>
      <c r="B9" s="70" t="s">
        <v>335</v>
      </c>
      <c r="C9" s="73">
        <f t="shared" si="1" ref="C9:C18">C8</f>
        <v>2022</v>
      </c>
      <c r="E9" s="155"/>
      <c r="F9" s="155">
        <v>5305348600.0050011</v>
      </c>
      <c r="G9" s="155"/>
      <c r="H9" s="155">
        <v>203495648.85999992</v>
      </c>
      <c r="I9" s="155">
        <v>114353248.38999997</v>
      </c>
      <c r="J9" s="155"/>
      <c r="K9" s="156"/>
      <c r="L9" s="156">
        <f t="shared" si="0"/>
        <v>5623197497.2550011</v>
      </c>
    </row>
    <row r="10" spans="1:12" ht="20.15" customHeight="1">
      <c r="A10" s="80">
        <v>5</v>
      </c>
      <c r="B10" s="70" t="s">
        <v>336</v>
      </c>
      <c r="C10" s="73">
        <f t="shared" si="1"/>
        <v>2022</v>
      </c>
      <c r="E10" s="155"/>
      <c r="F10" s="155">
        <v>5320543566.0050011</v>
      </c>
      <c r="G10" s="155"/>
      <c r="H10" s="155">
        <v>204111286.85999992</v>
      </c>
      <c r="I10" s="155">
        <v>114473681.52999997</v>
      </c>
      <c r="J10" s="155"/>
      <c r="K10" s="156"/>
      <c r="L10" s="156">
        <f t="shared" si="0"/>
        <v>5639128534.3950005</v>
      </c>
    </row>
    <row r="11" spans="1:12" ht="20.15" customHeight="1">
      <c r="A11" s="80">
        <v>6</v>
      </c>
      <c r="B11" s="70" t="s">
        <v>337</v>
      </c>
      <c r="C11" s="73">
        <f t="shared" si="1"/>
        <v>2022</v>
      </c>
      <c r="E11" s="155"/>
      <c r="F11" s="155">
        <v>5341803307.0050011</v>
      </c>
      <c r="G11" s="155"/>
      <c r="H11" s="155">
        <v>204005077.85999992</v>
      </c>
      <c r="I11" s="155">
        <v>114491708.29999997</v>
      </c>
      <c r="J11" s="155"/>
      <c r="K11" s="156"/>
      <c r="L11" s="156">
        <f t="shared" si="0"/>
        <v>5660300093.1650009</v>
      </c>
    </row>
    <row r="12" spans="1:12" ht="20.15" customHeight="1">
      <c r="A12" s="80">
        <v>7</v>
      </c>
      <c r="B12" s="70" t="s">
        <v>353</v>
      </c>
      <c r="C12" s="73">
        <f t="shared" si="1"/>
        <v>2022</v>
      </c>
      <c r="E12" s="155"/>
      <c r="F12" s="155">
        <v>5356574122.0050011</v>
      </c>
      <c r="G12" s="155"/>
      <c r="H12" s="155">
        <v>204452365.85999992</v>
      </c>
      <c r="I12" s="155">
        <v>114822486.91999997</v>
      </c>
      <c r="J12" s="155"/>
      <c r="K12" s="156"/>
      <c r="L12" s="156">
        <f t="shared" si="0"/>
        <v>5675848974.7850008</v>
      </c>
    </row>
    <row r="13" spans="1:12" ht="20.15" customHeight="1">
      <c r="A13" s="80">
        <v>8</v>
      </c>
      <c r="B13" s="70" t="s">
        <v>338</v>
      </c>
      <c r="C13" s="73">
        <f t="shared" si="1"/>
        <v>2022</v>
      </c>
      <c r="E13" s="155"/>
      <c r="F13" s="155">
        <v>5367826737.0050011</v>
      </c>
      <c r="G13" s="155"/>
      <c r="H13" s="155">
        <v>205653537.85999992</v>
      </c>
      <c r="I13" s="155">
        <v>114788830.07999997</v>
      </c>
      <c r="J13" s="155"/>
      <c r="K13" s="156"/>
      <c r="L13" s="156">
        <f t="shared" si="0"/>
        <v>5688269104.9450006</v>
      </c>
    </row>
    <row r="14" spans="1:12" ht="20.15" customHeight="1">
      <c r="A14" s="80">
        <v>9</v>
      </c>
      <c r="B14" s="70" t="s">
        <v>339</v>
      </c>
      <c r="C14" s="73">
        <f t="shared" si="1"/>
        <v>2022</v>
      </c>
      <c r="E14" s="155"/>
      <c r="F14" s="155">
        <v>5395238848.0050011</v>
      </c>
      <c r="G14" s="155"/>
      <c r="H14" s="155">
        <v>206892084.85999992</v>
      </c>
      <c r="I14" s="155">
        <v>114814425.09999996</v>
      </c>
      <c r="J14" s="155"/>
      <c r="K14" s="156"/>
      <c r="L14" s="156">
        <f t="shared" si="0"/>
        <v>5716945357.9650011</v>
      </c>
    </row>
    <row r="15" spans="1:12" ht="20.15" customHeight="1">
      <c r="A15" s="80">
        <v>10</v>
      </c>
      <c r="B15" s="70" t="s">
        <v>340</v>
      </c>
      <c r="C15" s="73">
        <f t="shared" si="1"/>
        <v>2022</v>
      </c>
      <c r="E15" s="155"/>
      <c r="F15" s="155">
        <v>5410977713.4750013</v>
      </c>
      <c r="G15" s="155"/>
      <c r="H15" s="155">
        <v>206316571.85999992</v>
      </c>
      <c r="I15" s="155">
        <v>114860035.55999996</v>
      </c>
      <c r="J15" s="155"/>
      <c r="K15" s="156"/>
      <c r="L15" s="156">
        <f t="shared" si="0"/>
        <v>5732154320.8950014</v>
      </c>
    </row>
    <row r="16" spans="1:12" ht="20.15" customHeight="1">
      <c r="A16" s="80">
        <v>11</v>
      </c>
      <c r="B16" s="70" t="s">
        <v>342</v>
      </c>
      <c r="C16" s="73">
        <f t="shared" si="1"/>
        <v>2022</v>
      </c>
      <c r="E16" s="155"/>
      <c r="F16" s="155">
        <v>5438117935.0050011</v>
      </c>
      <c r="G16" s="155"/>
      <c r="H16" s="155">
        <v>210324534.85999992</v>
      </c>
      <c r="I16" s="155">
        <v>114813081.05999996</v>
      </c>
      <c r="J16" s="155"/>
      <c r="K16" s="156"/>
      <c r="L16" s="156">
        <f t="shared" si="0"/>
        <v>5763255550.9250011</v>
      </c>
    </row>
    <row r="17" spans="1:12" ht="20.15" customHeight="1">
      <c r="A17" s="80">
        <v>12</v>
      </c>
      <c r="B17" s="70" t="s">
        <v>341</v>
      </c>
      <c r="C17" s="73">
        <f t="shared" si="1"/>
        <v>2022</v>
      </c>
      <c r="E17" s="155"/>
      <c r="F17" s="155">
        <v>5448314248.0050011</v>
      </c>
      <c r="G17" s="155"/>
      <c r="H17" s="155">
        <v>210786789.85999992</v>
      </c>
      <c r="I17" s="155">
        <v>117246132.46999995</v>
      </c>
      <c r="J17" s="155"/>
      <c r="K17" s="156"/>
      <c r="L17" s="156">
        <f t="shared" si="0"/>
        <v>5776347170.335001</v>
      </c>
    </row>
    <row r="18" spans="1:12" ht="20.15" customHeight="1">
      <c r="A18" s="80">
        <v>13</v>
      </c>
      <c r="B18" s="70" t="s">
        <v>332</v>
      </c>
      <c r="C18" s="73">
        <f t="shared" si="1"/>
        <v>2022</v>
      </c>
      <c r="E18" s="155"/>
      <c r="F18" s="155">
        <v>5598341761.2750015</v>
      </c>
      <c r="G18" s="155"/>
      <c r="H18" s="155">
        <v>228987578.85999992</v>
      </c>
      <c r="I18" s="155">
        <v>125457438.37999995</v>
      </c>
      <c r="J18" s="155"/>
      <c r="K18" s="156"/>
      <c r="L18" s="156">
        <f t="shared" si="0"/>
        <v>5952786778.5150013</v>
      </c>
    </row>
    <row r="19" spans="5:12" ht="20.15" customHeight="1">
      <c r="E19" s="157"/>
      <c r="F19" s="157"/>
      <c r="G19" s="157"/>
      <c r="H19" s="157"/>
      <c r="I19" s="157"/>
      <c r="J19" s="157"/>
      <c r="K19" s="156"/>
      <c r="L19" s="156"/>
    </row>
    <row r="20" spans="1:12" ht="20.15" customHeight="1">
      <c r="A20" s="80">
        <v>14</v>
      </c>
      <c r="B20" s="70" t="s">
        <v>362</v>
      </c>
      <c r="E20" s="157">
        <f>SUM(E6:E18)/13</f>
        <v>0</v>
      </c>
      <c r="F20" s="157">
        <f t="shared" si="2" ref="F20:L20">SUM(F6:F18)/13</f>
        <v>5370873022.8230782</v>
      </c>
      <c r="G20" s="157">
        <f t="shared" si="2"/>
        <v>0</v>
      </c>
      <c r="H20" s="157">
        <f t="shared" si="2"/>
        <v>206816248.25538456</v>
      </c>
      <c r="I20" s="157">
        <f t="shared" si="2"/>
        <v>115586513.3307692</v>
      </c>
      <c r="J20" s="157">
        <f t="shared" si="2"/>
        <v>0</v>
      </c>
      <c r="K20" s="157"/>
      <c r="L20" s="157">
        <f t="shared" si="2"/>
        <v>5693275784.4092321</v>
      </c>
    </row>
    <row r="23" spans="2:11" ht="20.15" customHeight="1">
      <c r="B23" s="90" t="s">
        <v>480</v>
      </c>
      <c r="C23" s="91"/>
      <c r="D23" s="91"/>
      <c r="E23" s="92"/>
      <c r="F23" s="92"/>
      <c r="G23" s="93"/>
      <c r="H23" s="70"/>
      <c r="I23" s="70"/>
      <c r="J23" s="70"/>
      <c r="K23" s="70"/>
    </row>
    <row r="24" spans="2:11" ht="20.15" customHeight="1">
      <c r="B24" s="94"/>
      <c r="E24" s="70"/>
      <c r="F24" s="78" t="s">
        <v>33</v>
      </c>
      <c r="G24" s="95"/>
      <c r="H24" s="94"/>
      <c r="I24" s="70"/>
      <c r="J24" s="70"/>
      <c r="K24" s="70"/>
    </row>
    <row r="25" spans="2:11" ht="20.15" customHeight="1">
      <c r="B25" s="94"/>
      <c r="E25" s="70"/>
      <c r="F25" s="78"/>
      <c r="G25" s="95"/>
      <c r="H25" s="94"/>
      <c r="I25" s="70"/>
      <c r="J25" s="70"/>
      <c r="K25" s="70"/>
    </row>
    <row r="26" spans="2:11" ht="20.15" customHeight="1">
      <c r="B26" s="94"/>
      <c r="D26" s="74" t="s">
        <v>363</v>
      </c>
      <c r="E26" s="70"/>
      <c r="F26" s="77" t="s">
        <v>406</v>
      </c>
      <c r="G26" s="95"/>
      <c r="H26" s="94"/>
      <c r="I26" s="70"/>
      <c r="J26" s="70"/>
      <c r="K26" s="70"/>
    </row>
    <row r="27" spans="1:11" ht="20.15" customHeight="1">
      <c r="A27" s="80">
        <v>15</v>
      </c>
      <c r="B27" s="94" t="s">
        <v>332</v>
      </c>
      <c r="C27" s="73">
        <f>C6</f>
        <v>2021</v>
      </c>
      <c r="E27" s="70"/>
      <c r="F27" s="158">
        <v>1831146.0800000001</v>
      </c>
      <c r="G27" s="95"/>
      <c r="H27" s="94"/>
      <c r="I27" s="70"/>
      <c r="J27" s="70"/>
      <c r="K27" s="70"/>
    </row>
    <row r="28" spans="1:11" ht="20.15" customHeight="1">
      <c r="A28" s="80">
        <v>16</v>
      </c>
      <c r="B28" s="94" t="s">
        <v>333</v>
      </c>
      <c r="C28" s="73">
        <f>C27+1</f>
        <v>2022</v>
      </c>
      <c r="E28" s="70"/>
      <c r="F28" s="158">
        <v>1831146.0800000001</v>
      </c>
      <c r="G28" s="95"/>
      <c r="H28" s="70"/>
      <c r="I28" s="70"/>
      <c r="J28" s="70"/>
      <c r="K28" s="70"/>
    </row>
    <row r="29" spans="1:11" ht="20.15" customHeight="1">
      <c r="A29" s="80">
        <v>17</v>
      </c>
      <c r="B29" s="94" t="s">
        <v>334</v>
      </c>
      <c r="C29" s="73">
        <f>C28</f>
        <v>2022</v>
      </c>
      <c r="E29" s="70"/>
      <c r="F29" s="158">
        <v>1831146.0800000001</v>
      </c>
      <c r="G29" s="95"/>
      <c r="H29" s="70"/>
      <c r="I29" s="70"/>
      <c r="J29" s="70"/>
      <c r="K29" s="70"/>
    </row>
    <row r="30" spans="1:11" ht="20.15" customHeight="1">
      <c r="A30" s="80">
        <v>18</v>
      </c>
      <c r="B30" s="94" t="s">
        <v>335</v>
      </c>
      <c r="C30" s="73">
        <f t="shared" si="3" ref="C30:C39">C29</f>
        <v>2022</v>
      </c>
      <c r="E30" s="70"/>
      <c r="F30" s="158">
        <v>1831146.0800000001</v>
      </c>
      <c r="G30" s="95"/>
      <c r="H30" s="70"/>
      <c r="I30" s="70"/>
      <c r="J30" s="70"/>
      <c r="K30" s="70"/>
    </row>
    <row r="31" spans="1:11" ht="20.15" customHeight="1">
      <c r="A31" s="80">
        <v>19</v>
      </c>
      <c r="B31" s="94" t="s">
        <v>336</v>
      </c>
      <c r="C31" s="73">
        <f t="shared" si="3"/>
        <v>2022</v>
      </c>
      <c r="E31" s="70"/>
      <c r="F31" s="158">
        <v>1831146.0800000001</v>
      </c>
      <c r="G31" s="95"/>
      <c r="H31" s="70"/>
      <c r="I31" s="70"/>
      <c r="J31" s="70"/>
      <c r="K31" s="70"/>
    </row>
    <row r="32" spans="1:11" ht="20.15" customHeight="1">
      <c r="A32" s="80">
        <v>20</v>
      </c>
      <c r="B32" s="94" t="s">
        <v>337</v>
      </c>
      <c r="C32" s="73">
        <f t="shared" si="3"/>
        <v>2022</v>
      </c>
      <c r="E32" s="70"/>
      <c r="F32" s="158">
        <v>1831146.0800000001</v>
      </c>
      <c r="G32" s="95"/>
      <c r="H32" s="70"/>
      <c r="I32" s="70"/>
      <c r="J32" s="70"/>
      <c r="K32" s="70"/>
    </row>
    <row r="33" spans="1:11" ht="20.15" customHeight="1">
      <c r="A33" s="80">
        <v>21</v>
      </c>
      <c r="B33" s="94" t="s">
        <v>353</v>
      </c>
      <c r="C33" s="73">
        <f t="shared" si="3"/>
        <v>2022</v>
      </c>
      <c r="E33" s="70"/>
      <c r="F33" s="158">
        <v>1831146.0800000001</v>
      </c>
      <c r="G33" s="95"/>
      <c r="H33" s="70"/>
      <c r="I33" s="70"/>
      <c r="J33" s="70"/>
      <c r="K33" s="70"/>
    </row>
    <row r="34" spans="1:11" ht="20.15" customHeight="1">
      <c r="A34" s="80">
        <v>22</v>
      </c>
      <c r="B34" s="94" t="s">
        <v>338</v>
      </c>
      <c r="C34" s="73">
        <f t="shared" si="3"/>
        <v>2022</v>
      </c>
      <c r="E34" s="70"/>
      <c r="F34" s="158">
        <v>1831146.0800000001</v>
      </c>
      <c r="G34" s="95"/>
      <c r="H34" s="70"/>
      <c r="I34" s="70"/>
      <c r="J34" s="70"/>
      <c r="K34" s="70"/>
    </row>
    <row r="35" spans="1:11" ht="20.15" customHeight="1">
      <c r="A35" s="80">
        <v>23</v>
      </c>
      <c r="B35" s="94" t="s">
        <v>339</v>
      </c>
      <c r="C35" s="73">
        <f t="shared" si="3"/>
        <v>2022</v>
      </c>
      <c r="E35" s="70"/>
      <c r="F35" s="158">
        <v>1831146.0800000001</v>
      </c>
      <c r="G35" s="95"/>
      <c r="H35" s="70"/>
      <c r="I35" s="70"/>
      <c r="J35" s="70"/>
      <c r="K35" s="70"/>
    </row>
    <row r="36" spans="1:11" ht="20.15" customHeight="1">
      <c r="A36" s="80">
        <v>24</v>
      </c>
      <c r="B36" s="94" t="s">
        <v>340</v>
      </c>
      <c r="C36" s="73">
        <f t="shared" si="3"/>
        <v>2022</v>
      </c>
      <c r="E36" s="70"/>
      <c r="F36" s="158">
        <v>1831146.0800000001</v>
      </c>
      <c r="G36" s="95"/>
      <c r="H36" s="70"/>
      <c r="I36" s="70"/>
      <c r="J36" s="70"/>
      <c r="K36" s="70"/>
    </row>
    <row r="37" spans="1:11" ht="20.15" customHeight="1">
      <c r="A37" s="80">
        <v>25</v>
      </c>
      <c r="B37" s="94" t="s">
        <v>342</v>
      </c>
      <c r="C37" s="73">
        <f t="shared" si="3"/>
        <v>2022</v>
      </c>
      <c r="E37" s="70"/>
      <c r="F37" s="158">
        <v>1831146.0800000001</v>
      </c>
      <c r="G37" s="95"/>
      <c r="H37" s="70"/>
      <c r="I37" s="70"/>
      <c r="J37" s="70"/>
      <c r="K37" s="70"/>
    </row>
    <row r="38" spans="1:11" ht="20.15" customHeight="1">
      <c r="A38" s="80">
        <v>26</v>
      </c>
      <c r="B38" s="94" t="s">
        <v>341</v>
      </c>
      <c r="C38" s="73">
        <f t="shared" si="3"/>
        <v>2022</v>
      </c>
      <c r="E38" s="70"/>
      <c r="F38" s="158">
        <v>1831146.0800000001</v>
      </c>
      <c r="G38" s="95"/>
      <c r="H38" s="70"/>
      <c r="I38" s="70"/>
      <c r="J38" s="70"/>
      <c r="K38" s="70"/>
    </row>
    <row r="39" spans="1:11" ht="20.15" customHeight="1">
      <c r="A39" s="80">
        <v>27</v>
      </c>
      <c r="B39" s="94" t="s">
        <v>332</v>
      </c>
      <c r="C39" s="73">
        <f t="shared" si="3"/>
        <v>2022</v>
      </c>
      <c r="E39" s="70"/>
      <c r="F39" s="158">
        <v>1831146.0800000001</v>
      </c>
      <c r="G39" s="95"/>
      <c r="H39" s="70"/>
      <c r="I39" s="70"/>
      <c r="J39" s="70"/>
      <c r="K39" s="70"/>
    </row>
    <row r="40" spans="2:11" ht="20.15" customHeight="1">
      <c r="B40" s="94"/>
      <c r="E40" s="70"/>
      <c r="F40" s="159"/>
      <c r="G40" s="95"/>
      <c r="H40" s="70"/>
      <c r="I40" s="70"/>
      <c r="J40" s="70"/>
      <c r="K40" s="70"/>
    </row>
    <row r="41" spans="1:11" ht="20.15" customHeight="1">
      <c r="A41" s="80">
        <v>28</v>
      </c>
      <c r="B41" s="96" t="s">
        <v>362</v>
      </c>
      <c r="C41" s="97"/>
      <c r="D41" s="97"/>
      <c r="E41" s="97"/>
      <c r="F41" s="160">
        <f>SUM(F27:F39)/13</f>
        <v>1831146.0799999998</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fitToHeight="0" fitToWidth="0" orientation="portrait"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G2" sqref="G2"/>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6428571428571" style="70" customWidth="1"/>
    <col min="13" max="16384" width="8.92857142857143" style="70"/>
  </cols>
  <sheetData>
    <row r="1" spans="1:1" ht="20.15" customHeight="1">
      <c r="A1" s="79" t="str">
        <f ca="1">RIGHT(CELL("filename",D2),LEN(CELL("filename",D2))-FIND("]",CELL("filename",D2)))</f>
        <v>WP02 Accum Depr</v>
      </c>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50</v>
      </c>
      <c r="F5" s="77" t="s">
        <v>366</v>
      </c>
      <c r="G5" s="77" t="s">
        <v>51</v>
      </c>
      <c r="H5" s="77" t="s">
        <v>368</v>
      </c>
      <c r="I5" s="77" t="s">
        <v>367</v>
      </c>
      <c r="J5" s="80">
        <v>356.10000000000002</v>
      </c>
      <c r="K5" s="70"/>
    </row>
    <row r="6" spans="1:12" ht="20.15" customHeight="1">
      <c r="A6" s="80">
        <v>1</v>
      </c>
      <c r="B6" s="70" t="s">
        <v>332</v>
      </c>
      <c r="C6" s="184">
        <f>'WP01 Plant'!C6</f>
        <v>2021</v>
      </c>
      <c r="E6" s="155"/>
      <c r="F6" s="155">
        <v>1176138905.26</v>
      </c>
      <c r="G6" s="155"/>
      <c r="H6" s="155">
        <v>50897095.25</v>
      </c>
      <c r="I6" s="155">
        <v>60705712.590000004</v>
      </c>
      <c r="J6" s="155"/>
      <c r="K6" s="156"/>
      <c r="L6" s="156">
        <f t="shared" si="0" ref="L6:L18">SUM(E6:J6)</f>
        <v>1287741713.0999999</v>
      </c>
    </row>
    <row r="7" spans="1:12" ht="20.15" customHeight="1">
      <c r="A7" s="80">
        <v>2</v>
      </c>
      <c r="B7" s="70" t="s">
        <v>333</v>
      </c>
      <c r="C7" s="73">
        <f>C6+1</f>
        <v>2022</v>
      </c>
      <c r="E7" s="155"/>
      <c r="F7" s="155">
        <v>1183603343.6376181</v>
      </c>
      <c r="G7" s="155"/>
      <c r="H7" s="155">
        <v>51906686.82</v>
      </c>
      <c r="I7" s="155">
        <v>61960603.490000002</v>
      </c>
      <c r="J7" s="155"/>
      <c r="K7" s="156"/>
      <c r="L7" s="156">
        <f t="shared" si="0"/>
        <v>1297470633.947618</v>
      </c>
    </row>
    <row r="8" spans="1:12" ht="20.15" customHeight="1">
      <c r="A8" s="80">
        <v>3</v>
      </c>
      <c r="B8" s="70" t="s">
        <v>334</v>
      </c>
      <c r="C8" s="73">
        <f>C7</f>
        <v>2022</v>
      </c>
      <c r="E8" s="155"/>
      <c r="F8" s="155">
        <v>1190904410.6991043</v>
      </c>
      <c r="G8" s="155"/>
      <c r="H8" s="155">
        <v>52929462.030000001</v>
      </c>
      <c r="I8" s="155">
        <v>63209445.670000002</v>
      </c>
      <c r="J8" s="155"/>
      <c r="K8" s="156"/>
      <c r="L8" s="156">
        <f t="shared" si="0"/>
        <v>1307043318.3991044</v>
      </c>
    </row>
    <row r="9" spans="1:12" ht="20.15" customHeight="1">
      <c r="A9" s="80">
        <v>4</v>
      </c>
      <c r="B9" s="70" t="s">
        <v>335</v>
      </c>
      <c r="C9" s="73">
        <f t="shared" si="1" ref="C9:C18">C8</f>
        <v>2022</v>
      </c>
      <c r="E9" s="155"/>
      <c r="F9" s="155">
        <v>1196458679.0287156</v>
      </c>
      <c r="G9" s="155"/>
      <c r="H9" s="155">
        <v>53965319.810000002</v>
      </c>
      <c r="I9" s="155">
        <v>64459304.240000002</v>
      </c>
      <c r="J9" s="155"/>
      <c r="K9" s="156"/>
      <c r="L9" s="156">
        <f t="shared" si="0"/>
        <v>1314883303.0787156</v>
      </c>
    </row>
    <row r="10" spans="1:12" ht="20.15" customHeight="1">
      <c r="A10" s="80">
        <v>5</v>
      </c>
      <c r="B10" s="70" t="s">
        <v>336</v>
      </c>
      <c r="C10" s="73">
        <f t="shared" si="1"/>
        <v>2022</v>
      </c>
      <c r="E10" s="155"/>
      <c r="F10" s="155">
        <v>1204738225.0602019</v>
      </c>
      <c r="G10" s="155"/>
      <c r="H10" s="155">
        <v>55004051.530000001</v>
      </c>
      <c r="I10" s="155">
        <v>65696870.219999999</v>
      </c>
      <c r="J10" s="155"/>
      <c r="K10" s="156"/>
      <c r="L10" s="156">
        <f t="shared" si="0"/>
        <v>1325439146.8102019</v>
      </c>
    </row>
    <row r="11" spans="1:12" ht="20.15" customHeight="1">
      <c r="A11" s="80">
        <v>6</v>
      </c>
      <c r="B11" s="70" t="s">
        <v>337</v>
      </c>
      <c r="C11" s="73">
        <f t="shared" si="1"/>
        <v>2022</v>
      </c>
      <c r="E11" s="155"/>
      <c r="F11" s="155">
        <v>1213366315.9116881</v>
      </c>
      <c r="G11" s="155"/>
      <c r="H11" s="155">
        <v>56044179.229999997</v>
      </c>
      <c r="I11" s="155">
        <v>66931960.600000001</v>
      </c>
      <c r="J11" s="155"/>
      <c r="K11" s="156"/>
      <c r="L11" s="156">
        <f t="shared" si="0"/>
        <v>1336342455.741688</v>
      </c>
    </row>
    <row r="12" spans="1:12" ht="20.15" customHeight="1">
      <c r="A12" s="80">
        <v>7</v>
      </c>
      <c r="B12" s="70" t="s">
        <v>353</v>
      </c>
      <c r="C12" s="73">
        <f t="shared" si="1"/>
        <v>2022</v>
      </c>
      <c r="E12" s="155"/>
      <c r="F12" s="155">
        <v>1222812478.9006741</v>
      </c>
      <c r="G12" s="155"/>
      <c r="H12" s="155">
        <v>57085878.509999998</v>
      </c>
      <c r="I12" s="155">
        <v>68169346.579999998</v>
      </c>
      <c r="J12" s="155"/>
      <c r="K12" s="156"/>
      <c r="L12" s="156">
        <f t="shared" si="0"/>
        <v>1348067703.990674</v>
      </c>
    </row>
    <row r="13" spans="1:12" ht="20.15" customHeight="1">
      <c r="A13" s="80">
        <v>8</v>
      </c>
      <c r="B13" s="70" t="s">
        <v>338</v>
      </c>
      <c r="C13" s="73">
        <f t="shared" si="1"/>
        <v>2022</v>
      </c>
      <c r="E13" s="155"/>
      <c r="F13" s="155">
        <v>1231489585.2971606</v>
      </c>
      <c r="G13" s="155"/>
      <c r="H13" s="155">
        <v>55739960.920000002</v>
      </c>
      <c r="I13" s="155">
        <v>69368832.530000001</v>
      </c>
      <c r="J13" s="155"/>
      <c r="K13" s="156"/>
      <c r="L13" s="156">
        <f t="shared" si="0"/>
        <v>1356598378.7471607</v>
      </c>
    </row>
    <row r="14" spans="1:12" ht="20.15" customHeight="1">
      <c r="A14" s="80">
        <v>9</v>
      </c>
      <c r="B14" s="70" t="s">
        <v>339</v>
      </c>
      <c r="C14" s="73">
        <f t="shared" si="1"/>
        <v>2022</v>
      </c>
      <c r="E14" s="155"/>
      <c r="F14" s="155">
        <v>1238467839.1736469</v>
      </c>
      <c r="G14" s="155"/>
      <c r="H14" s="155">
        <v>56801246.840000004</v>
      </c>
      <c r="I14" s="155">
        <v>70568577.469999999</v>
      </c>
      <c r="J14" s="155"/>
      <c r="K14" s="156"/>
      <c r="L14" s="156">
        <f t="shared" si="0"/>
        <v>1365837663.4836469</v>
      </c>
    </row>
    <row r="15" spans="1:12" ht="20.15" customHeight="1">
      <c r="A15" s="80">
        <v>10</v>
      </c>
      <c r="B15" s="70" t="s">
        <v>340</v>
      </c>
      <c r="C15" s="73">
        <f t="shared" si="1"/>
        <v>2022</v>
      </c>
      <c r="E15" s="155"/>
      <c r="F15" s="155">
        <v>1245362366.4007869</v>
      </c>
      <c r="G15" s="155"/>
      <c r="H15" s="155">
        <v>55805483.200000003</v>
      </c>
      <c r="I15" s="155">
        <v>71769237.650000006</v>
      </c>
      <c r="J15" s="155"/>
      <c r="K15" s="156"/>
      <c r="L15" s="156">
        <f t="shared" si="0"/>
        <v>1372937087.250787</v>
      </c>
    </row>
    <row r="16" spans="1:12" ht="20.15" customHeight="1">
      <c r="A16" s="80">
        <v>11</v>
      </c>
      <c r="B16" s="70" t="s">
        <v>342</v>
      </c>
      <c r="C16" s="73">
        <f t="shared" si="1"/>
        <v>2022</v>
      </c>
      <c r="E16" s="155"/>
      <c r="F16" s="155">
        <v>1250171203.8379269</v>
      </c>
      <c r="G16" s="155"/>
      <c r="H16" s="155">
        <v>56859149.020000003</v>
      </c>
      <c r="I16" s="155">
        <v>72966946.099999994</v>
      </c>
      <c r="J16" s="155"/>
      <c r="K16" s="156"/>
      <c r="L16" s="156">
        <f t="shared" si="0"/>
        <v>1379997298.9579268</v>
      </c>
    </row>
    <row r="17" spans="1:12" ht="20.15" customHeight="1">
      <c r="A17" s="80">
        <v>12</v>
      </c>
      <c r="B17" s="70" t="s">
        <v>341</v>
      </c>
      <c r="C17" s="73">
        <f t="shared" si="1"/>
        <v>2022</v>
      </c>
      <c r="E17" s="155"/>
      <c r="F17" s="155">
        <v>1256856967.2744131</v>
      </c>
      <c r="G17" s="155"/>
      <c r="H17" s="155">
        <v>57919787.700000003</v>
      </c>
      <c r="I17" s="155">
        <v>74177347.510000005</v>
      </c>
      <c r="J17" s="155"/>
      <c r="K17" s="156"/>
      <c r="L17" s="156">
        <f t="shared" si="0"/>
        <v>1388954102.4844131</v>
      </c>
    </row>
    <row r="18" spans="1:12" ht="20.15" customHeight="1">
      <c r="A18" s="80">
        <v>13</v>
      </c>
      <c r="B18" s="70" t="s">
        <v>332</v>
      </c>
      <c r="C18" s="73">
        <f t="shared" si="1"/>
        <v>2022</v>
      </c>
      <c r="E18" s="155"/>
      <c r="F18" s="155">
        <v>1263774793.7888281</v>
      </c>
      <c r="G18" s="155"/>
      <c r="H18" s="155">
        <v>59046935.689999998</v>
      </c>
      <c r="I18" s="155">
        <v>75441715.799999997</v>
      </c>
      <c r="J18" s="155"/>
      <c r="K18" s="156"/>
      <c r="L18" s="156">
        <f t="shared" si="0"/>
        <v>1398263445.2788281</v>
      </c>
    </row>
    <row r="19" spans="5:12" ht="20.15" customHeight="1">
      <c r="E19" s="157"/>
      <c r="F19" s="157"/>
      <c r="G19" s="157"/>
      <c r="H19" s="157"/>
      <c r="I19" s="157"/>
      <c r="J19" s="157"/>
      <c r="K19" s="156"/>
      <c r="L19" s="156"/>
    </row>
    <row r="20" spans="1:12" ht="20.15" customHeight="1">
      <c r="A20" s="80">
        <v>14</v>
      </c>
      <c r="B20" s="70" t="s">
        <v>362</v>
      </c>
      <c r="E20" s="157">
        <f>SUM(E6:E18)/13</f>
        <v>0</v>
      </c>
      <c r="F20" s="157">
        <f t="shared" si="2" ref="F20:L20">SUM(F6:F18)/13</f>
        <v>1221088085.7131357</v>
      </c>
      <c r="G20" s="157">
        <f t="shared" si="2"/>
        <v>0</v>
      </c>
      <c r="H20" s="157">
        <f t="shared" si="2"/>
        <v>55385018.196153864</v>
      </c>
      <c r="I20" s="157">
        <f t="shared" si="2"/>
        <v>68109684.650000006</v>
      </c>
      <c r="J20" s="157">
        <f t="shared" si="2"/>
        <v>0</v>
      </c>
      <c r="K20" s="157"/>
      <c r="L20" s="157">
        <f t="shared" si="2"/>
        <v>1344582788.5592895</v>
      </c>
    </row>
    <row r="23" spans="2:13" ht="20.15" customHeight="1">
      <c r="B23" s="90" t="s">
        <v>408</v>
      </c>
      <c r="C23" s="91"/>
      <c r="D23" s="91"/>
      <c r="E23" s="92"/>
      <c r="F23" s="92"/>
      <c r="G23" s="92"/>
      <c r="H23" s="113"/>
      <c r="I23" s="113"/>
      <c r="K23" s="113"/>
      <c r="L23" s="114"/>
      <c r="M23" s="114"/>
    </row>
    <row r="24" spans="2:11" ht="20.15" customHeight="1">
      <c r="B24" s="94"/>
      <c r="E24" s="70"/>
      <c r="F24" s="78" t="s">
        <v>33</v>
      </c>
      <c r="G24" s="95"/>
      <c r="H24" s="94"/>
      <c r="I24" s="70"/>
      <c r="J24" s="70"/>
      <c r="K24" s="70"/>
    </row>
    <row r="25" spans="2:11" ht="20.15" customHeight="1">
      <c r="B25" s="94"/>
      <c r="E25" s="70"/>
      <c r="F25" s="78"/>
      <c r="G25" s="95"/>
      <c r="H25" s="94"/>
      <c r="I25" s="70"/>
      <c r="J25" s="70"/>
      <c r="K25" s="70"/>
    </row>
    <row r="26" spans="2:11" ht="20.15" customHeight="1">
      <c r="B26" s="94"/>
      <c r="D26" s="74" t="s">
        <v>363</v>
      </c>
      <c r="E26" s="70"/>
      <c r="F26" s="77" t="s">
        <v>407</v>
      </c>
      <c r="G26" s="95"/>
      <c r="H26" s="94"/>
      <c r="I26" s="70"/>
      <c r="J26" s="70"/>
      <c r="K26" s="70"/>
    </row>
    <row r="27" spans="1:11" ht="20.15" customHeight="1">
      <c r="A27" s="80">
        <v>15</v>
      </c>
      <c r="B27" s="94" t="s">
        <v>332</v>
      </c>
      <c r="C27" s="184">
        <f>C6</f>
        <v>2021</v>
      </c>
      <c r="E27" s="70"/>
      <c r="F27" s="158">
        <v>1828047</v>
      </c>
      <c r="G27" s="95"/>
      <c r="H27" s="94"/>
      <c r="I27" s="70"/>
      <c r="J27" s="70"/>
      <c r="K27" s="70"/>
    </row>
    <row r="28" spans="1:11" ht="20.15" customHeight="1">
      <c r="A28" s="80">
        <v>16</v>
      </c>
      <c r="B28" s="94" t="s">
        <v>333</v>
      </c>
      <c r="C28" s="73">
        <f>C27+1</f>
        <v>2022</v>
      </c>
      <c r="E28" s="70"/>
      <c r="F28" s="158">
        <v>1828083.72</v>
      </c>
      <c r="G28" s="95"/>
      <c r="H28" s="70"/>
      <c r="I28" s="70"/>
      <c r="J28" s="70"/>
      <c r="K28" s="70"/>
    </row>
    <row r="29" spans="1:11" ht="20.15" customHeight="1">
      <c r="A29" s="80">
        <v>17</v>
      </c>
      <c r="B29" s="94" t="s">
        <v>334</v>
      </c>
      <c r="C29" s="73">
        <f>C28</f>
        <v>2022</v>
      </c>
      <c r="E29" s="70"/>
      <c r="F29" s="158">
        <v>1828120.3899999999</v>
      </c>
      <c r="G29" s="95"/>
      <c r="H29" s="70"/>
      <c r="I29" s="70"/>
      <c r="J29" s="70"/>
      <c r="K29" s="70"/>
    </row>
    <row r="30" spans="1:11" ht="20.15" customHeight="1">
      <c r="A30" s="80">
        <v>18</v>
      </c>
      <c r="B30" s="94" t="s">
        <v>335</v>
      </c>
      <c r="C30" s="73">
        <f t="shared" si="3" ref="C30:C39">C29</f>
        <v>2022</v>
      </c>
      <c r="E30" s="70"/>
      <c r="F30" s="158">
        <v>1828157.0700000001</v>
      </c>
      <c r="G30" s="95"/>
      <c r="H30" s="70"/>
      <c r="I30" s="70"/>
      <c r="J30" s="70"/>
      <c r="K30" s="70"/>
    </row>
    <row r="31" spans="1:11" ht="20.15" customHeight="1">
      <c r="A31" s="80">
        <v>19</v>
      </c>
      <c r="B31" s="94" t="s">
        <v>336</v>
      </c>
      <c r="C31" s="73">
        <f t="shared" si="3"/>
        <v>2022</v>
      </c>
      <c r="E31" s="70"/>
      <c r="F31" s="158">
        <v>1828193.74</v>
      </c>
      <c r="G31" s="95"/>
      <c r="H31" s="70"/>
      <c r="I31" s="70"/>
      <c r="J31" s="70"/>
      <c r="K31" s="70"/>
    </row>
    <row r="32" spans="1:11" ht="20.15" customHeight="1">
      <c r="A32" s="80">
        <v>20</v>
      </c>
      <c r="B32" s="94" t="s">
        <v>337</v>
      </c>
      <c r="C32" s="73">
        <f t="shared" si="3"/>
        <v>2022</v>
      </c>
      <c r="E32" s="70"/>
      <c r="F32" s="158">
        <v>1828230.4199999999</v>
      </c>
      <c r="G32" s="95"/>
      <c r="H32" s="70"/>
      <c r="I32" s="70"/>
      <c r="J32" s="70"/>
      <c r="K32" s="70"/>
    </row>
    <row r="33" spans="1:11" ht="20.15" customHeight="1">
      <c r="A33" s="80">
        <v>21</v>
      </c>
      <c r="B33" s="94" t="s">
        <v>353</v>
      </c>
      <c r="C33" s="73">
        <f t="shared" si="3"/>
        <v>2022</v>
      </c>
      <c r="E33" s="70"/>
      <c r="F33" s="158">
        <v>1828267.0900000001</v>
      </c>
      <c r="G33" s="95"/>
      <c r="H33" s="70"/>
      <c r="I33" s="70"/>
      <c r="J33" s="70"/>
      <c r="K33" s="70"/>
    </row>
    <row r="34" spans="1:11" ht="20.15" customHeight="1">
      <c r="A34" s="80">
        <v>22</v>
      </c>
      <c r="B34" s="94" t="s">
        <v>338</v>
      </c>
      <c r="C34" s="73">
        <f t="shared" si="3"/>
        <v>2022</v>
      </c>
      <c r="E34" s="70"/>
      <c r="F34" s="158">
        <v>1828303.77</v>
      </c>
      <c r="G34" s="95"/>
      <c r="H34" s="70"/>
      <c r="I34" s="70"/>
      <c r="J34" s="70"/>
      <c r="K34" s="70"/>
    </row>
    <row r="35" spans="1:11" ht="20.15" customHeight="1">
      <c r="A35" s="80">
        <v>23</v>
      </c>
      <c r="B35" s="94" t="s">
        <v>339</v>
      </c>
      <c r="C35" s="73">
        <f t="shared" si="3"/>
        <v>2022</v>
      </c>
      <c r="E35" s="70"/>
      <c r="F35" s="158">
        <v>1828340.4399999999</v>
      </c>
      <c r="G35" s="95"/>
      <c r="H35" s="70"/>
      <c r="I35" s="70"/>
      <c r="J35" s="70"/>
      <c r="K35" s="70"/>
    </row>
    <row r="36" spans="1:11" ht="20.15" customHeight="1">
      <c r="A36" s="80">
        <v>24</v>
      </c>
      <c r="B36" s="94" t="s">
        <v>340</v>
      </c>
      <c r="C36" s="73">
        <f t="shared" si="3"/>
        <v>2022</v>
      </c>
      <c r="E36" s="70"/>
      <c r="F36" s="158">
        <v>1828377.1200000001</v>
      </c>
      <c r="G36" s="95"/>
      <c r="H36" s="70"/>
      <c r="I36" s="70"/>
      <c r="J36" s="70"/>
      <c r="K36" s="70"/>
    </row>
    <row r="37" spans="1:11" ht="20.15" customHeight="1">
      <c r="A37" s="80">
        <v>25</v>
      </c>
      <c r="B37" s="94" t="s">
        <v>342</v>
      </c>
      <c r="C37" s="73">
        <f t="shared" si="3"/>
        <v>2022</v>
      </c>
      <c r="E37" s="70"/>
      <c r="F37" s="158">
        <v>1828413.79</v>
      </c>
      <c r="G37" s="95"/>
      <c r="H37" s="70"/>
      <c r="I37" s="70"/>
      <c r="J37" s="70"/>
      <c r="K37" s="70"/>
    </row>
    <row r="38" spans="1:11" ht="20.15" customHeight="1">
      <c r="A38" s="80">
        <v>26</v>
      </c>
      <c r="B38" s="94" t="s">
        <v>341</v>
      </c>
      <c r="C38" s="73">
        <f t="shared" si="3"/>
        <v>2022</v>
      </c>
      <c r="E38" s="70"/>
      <c r="F38" s="158">
        <v>1828450.47</v>
      </c>
      <c r="G38" s="95"/>
      <c r="H38" s="70"/>
      <c r="I38" s="70"/>
      <c r="J38" s="70"/>
      <c r="K38" s="70"/>
    </row>
    <row r="39" spans="1:11" ht="20.15" customHeight="1">
      <c r="A39" s="80">
        <v>27</v>
      </c>
      <c r="B39" s="94" t="s">
        <v>332</v>
      </c>
      <c r="C39" s="73">
        <f t="shared" si="3"/>
        <v>2022</v>
      </c>
      <c r="E39" s="70"/>
      <c r="F39" s="158">
        <v>1828487.1399999999</v>
      </c>
      <c r="G39" s="95"/>
      <c r="H39" s="70"/>
      <c r="I39" s="70"/>
      <c r="J39" s="70"/>
      <c r="K39" s="70"/>
    </row>
    <row r="40" spans="2:11" ht="20.15" customHeight="1">
      <c r="B40" s="94"/>
      <c r="E40" s="70"/>
      <c r="F40" s="159"/>
      <c r="G40" s="95"/>
      <c r="H40" s="70"/>
      <c r="I40" s="70"/>
      <c r="J40" s="70"/>
      <c r="K40" s="70"/>
    </row>
    <row r="41" spans="1:11" ht="20.15" customHeight="1">
      <c r="A41" s="80">
        <v>28</v>
      </c>
      <c r="B41" s="96" t="s">
        <v>362</v>
      </c>
      <c r="C41" s="97"/>
      <c r="D41" s="97"/>
      <c r="E41" s="97"/>
      <c r="F41" s="160">
        <f>SUM(F27:F39)/13</f>
        <v>1828267.0892307688</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scale="55" r:id="rId2"/>
    </customSheetView>
  </customSheetViews>
  <pageMargins left="0.7" right="0.7" top="0.75" bottom="0.75" header="0.3" footer="0.3"/>
  <pageSetup fitToHeight="0" fitToWidth="0" orientation="portrait"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sheetPr codeName="Sheet25"/>
  <dimension ref="A1:M54"/>
  <sheetViews>
    <sheetView view="pageBreakPreview" zoomScale="80" zoomScaleNormal="85" zoomScaleSheetLayoutView="80" workbookViewId="0" topLeftCell="A1">
      <selection pane="topLeft" activeCell="P45" sqref="P45"/>
    </sheetView>
  </sheetViews>
  <sheetFormatPr defaultColWidth="8.91714285714286" defaultRowHeight="14.5"/>
  <cols>
    <col min="1" max="1" width="8.92857142857143" style="325"/>
    <col min="2" max="2" width="9" style="325" customWidth="1"/>
    <col min="3" max="3" width="27.1428571428571" style="325" customWidth="1"/>
    <col min="4" max="4" width="3.07142857142857" style="325" customWidth="1"/>
    <col min="5" max="5" width="14.9285714285714" style="325" customWidth="1"/>
    <col min="6" max="6" width="15.3571428571429" style="325" customWidth="1"/>
    <col min="7" max="8" width="13.8571428571429" style="325" customWidth="1"/>
    <col min="9" max="9" width="13.5" style="325" customWidth="1"/>
    <col min="10" max="10" width="16.5" style="325" customWidth="1"/>
    <col min="11" max="11" width="17.1428571428571" style="325" customWidth="1"/>
    <col min="12" max="12" width="12.9285714285714" style="325" customWidth="1"/>
    <col min="13" max="13" width="15.3571428571429" style="325" customWidth="1"/>
    <col min="14" max="16384" width="8.92857142857143" style="325"/>
  </cols>
  <sheetData>
    <row r="1" spans="1:13" ht="15.5">
      <c r="A1" s="79" t="str">
        <f ca="1">RIGHT(CELL("filename",D2),LEN(CELL("filename",D2))-FIND("]",CELL("filename",D2)))</f>
        <v>WP03-A - ADIT Norm</v>
      </c>
      <c r="E1" s="436"/>
      <c r="F1" s="436"/>
      <c r="G1" s="436"/>
      <c r="H1" s="436"/>
      <c r="M1" s="3"/>
    </row>
    <row r="2" spans="13:13" ht="15.5">
      <c r="M2" s="117"/>
    </row>
    <row r="3" spans="13:13" ht="15.5">
      <c r="M3" s="3"/>
    </row>
    <row r="4" spans="3:3" ht="15.5">
      <c r="C4" s="79"/>
    </row>
    <row r="5" spans="3:12" ht="15" thickBot="1">
      <c r="C5" s="326" t="s">
        <v>141</v>
      </c>
      <c r="D5" s="327"/>
      <c r="E5" s="326" t="s">
        <v>142</v>
      </c>
      <c r="F5" s="326" t="s">
        <v>143</v>
      </c>
      <c r="G5" s="326" t="s">
        <v>144</v>
      </c>
      <c r="H5" s="326" t="s">
        <v>145</v>
      </c>
      <c r="I5" s="326" t="s">
        <v>146</v>
      </c>
      <c r="J5" s="326" t="s">
        <v>147</v>
      </c>
      <c r="K5" s="326" t="s">
        <v>149</v>
      </c>
      <c r="L5" s="326" t="s">
        <v>150</v>
      </c>
    </row>
    <row r="6" spans="1:12" ht="15" thickBot="1">
      <c r="A6" s="328" t="s">
        <v>5</v>
      </c>
      <c r="B6" s="328"/>
      <c r="C6" s="329"/>
      <c r="D6" s="330"/>
      <c r="E6" s="696" t="str">
        <f>'Appendix G(3) - ADIT'!C10&amp;" Quarterly Activity and Balances"</f>
        <v>2022 Quarterly Activity and Balances</v>
      </c>
      <c r="F6" s="696"/>
      <c r="G6" s="696"/>
      <c r="H6" s="696"/>
      <c r="I6" s="696"/>
      <c r="J6" s="696"/>
      <c r="K6" s="696"/>
      <c r="L6" s="697"/>
    </row>
    <row r="7" spans="3:12" ht="14.5">
      <c r="C7" s="331"/>
      <c r="E7" s="332"/>
      <c r="F7" s="332"/>
      <c r="G7" s="332"/>
      <c r="H7" s="332"/>
      <c r="I7" s="332"/>
      <c r="J7" s="332"/>
      <c r="K7" s="332"/>
      <c r="L7" s="333"/>
    </row>
    <row r="8" spans="3:12" ht="29">
      <c r="C8" s="334" t="s">
        <v>745</v>
      </c>
      <c r="D8" s="335"/>
      <c r="E8" s="336" t="s">
        <v>741</v>
      </c>
      <c r="F8" s="337" t="s">
        <v>746</v>
      </c>
      <c r="G8" s="336" t="s">
        <v>742</v>
      </c>
      <c r="H8" s="337" t="s">
        <v>747</v>
      </c>
      <c r="I8" s="336" t="s">
        <v>743</v>
      </c>
      <c r="J8" s="337" t="s">
        <v>748</v>
      </c>
      <c r="K8" s="336" t="s">
        <v>744</v>
      </c>
      <c r="L8" s="338" t="s">
        <v>749</v>
      </c>
    </row>
    <row r="9" spans="1:12" ht="14.5">
      <c r="A9" s="326">
        <v>1</v>
      </c>
      <c r="B9" s="614" t="s">
        <v>934</v>
      </c>
      <c r="C9" s="340">
        <f>'WP03-B - ADIT Detail'!C26</f>
        <v>0</v>
      </c>
      <c r="D9" s="327"/>
      <c r="E9" s="327">
        <f>F9-C9</f>
        <v>0</v>
      </c>
      <c r="F9" s="327">
        <f>'WP03-B - ADIT Detail'!D26</f>
        <v>0</v>
      </c>
      <c r="G9" s="327">
        <f>H9-F9</f>
        <v>0</v>
      </c>
      <c r="H9" s="327">
        <f>'WP03-B - ADIT Detail'!E26</f>
        <v>0</v>
      </c>
      <c r="I9" s="327">
        <f>J9-H9</f>
        <v>0</v>
      </c>
      <c r="J9" s="327">
        <f>'WP03-B - ADIT Detail'!F26</f>
        <v>0</v>
      </c>
      <c r="K9" s="327">
        <f>L9-J9</f>
        <v>0</v>
      </c>
      <c r="L9" s="339">
        <f>'WP03-B - ADIT Detail'!G26</f>
        <v>0</v>
      </c>
    </row>
    <row r="10" spans="3:12" ht="14.5">
      <c r="C10" s="340"/>
      <c r="D10" s="327"/>
      <c r="E10" s="327"/>
      <c r="F10" s="327"/>
      <c r="G10" s="327"/>
      <c r="H10" s="327"/>
      <c r="I10" s="327"/>
      <c r="J10" s="327"/>
      <c r="K10" s="327"/>
      <c r="L10" s="339"/>
    </row>
    <row r="11" spans="3:12" ht="29">
      <c r="C11" s="341" t="str">
        <f>C8</f>
        <v>Beginning 190 (including adjustments)</v>
      </c>
      <c r="D11" s="327"/>
      <c r="E11" s="342" t="s">
        <v>750</v>
      </c>
      <c r="F11" s="327"/>
      <c r="G11" s="342" t="s">
        <v>751</v>
      </c>
      <c r="H11" s="327"/>
      <c r="I11" s="342" t="s">
        <v>752</v>
      </c>
      <c r="J11" s="327"/>
      <c r="K11" s="342" t="s">
        <v>753</v>
      </c>
      <c r="L11" s="339"/>
    </row>
    <row r="12" spans="1:13" ht="14.5">
      <c r="A12" s="326">
        <v>2</v>
      </c>
      <c r="B12" s="423" t="s">
        <v>934</v>
      </c>
      <c r="C12" s="343">
        <f>C9</f>
        <v>0</v>
      </c>
      <c r="D12" s="327"/>
      <c r="E12" s="342">
        <f>(276/365)*E9</f>
        <v>0</v>
      </c>
      <c r="F12" s="327"/>
      <c r="G12" s="342">
        <f>(185/365)*G9</f>
        <v>0</v>
      </c>
      <c r="H12" s="327"/>
      <c r="I12" s="342">
        <f>(93/365)*I9</f>
        <v>0</v>
      </c>
      <c r="J12" s="327"/>
      <c r="K12" s="342">
        <f>(1/365)*K9</f>
        <v>0</v>
      </c>
      <c r="L12" s="339"/>
      <c r="M12" s="402"/>
    </row>
    <row r="13" spans="3:13" ht="14.5">
      <c r="C13" s="343"/>
      <c r="D13" s="327"/>
      <c r="E13" s="342"/>
      <c r="F13" s="327"/>
      <c r="G13" s="342"/>
      <c r="H13" s="327"/>
      <c r="I13" s="342"/>
      <c r="J13" s="327"/>
      <c r="K13" s="342"/>
      <c r="L13" s="339"/>
      <c r="M13" s="403"/>
    </row>
    <row r="14" spans="3:13" ht="29">
      <c r="C14" s="341" t="s">
        <v>754</v>
      </c>
      <c r="D14" s="327"/>
      <c r="E14" s="336" t="s">
        <v>741</v>
      </c>
      <c r="F14" s="337" t="s">
        <v>746</v>
      </c>
      <c r="G14" s="336" t="s">
        <v>742</v>
      </c>
      <c r="H14" s="337" t="s">
        <v>747</v>
      </c>
      <c r="I14" s="336" t="s">
        <v>743</v>
      </c>
      <c r="J14" s="337" t="s">
        <v>748</v>
      </c>
      <c r="K14" s="336" t="s">
        <v>744</v>
      </c>
      <c r="L14" s="338" t="s">
        <v>749</v>
      </c>
      <c r="M14" s="403"/>
    </row>
    <row r="15" spans="1:13" ht="14.5">
      <c r="A15" s="326">
        <v>3</v>
      </c>
      <c r="B15" s="423" t="s">
        <v>934</v>
      </c>
      <c r="C15" s="340">
        <f>'WP03-B - ADIT Detail'!C47</f>
        <v>0</v>
      </c>
      <c r="D15" s="327"/>
      <c r="E15" s="327">
        <f>F15-C15</f>
        <v>0</v>
      </c>
      <c r="F15" s="327">
        <f>'WP03-B - ADIT Detail'!D47</f>
        <v>0</v>
      </c>
      <c r="G15" s="327">
        <f>H15-F15</f>
        <v>0</v>
      </c>
      <c r="H15" s="327">
        <f>'WP03-B - ADIT Detail'!E47</f>
        <v>0</v>
      </c>
      <c r="I15" s="327">
        <f>J15-H15</f>
        <v>0</v>
      </c>
      <c r="J15" s="327">
        <f>'WP03-B - ADIT Detail'!F47</f>
        <v>0</v>
      </c>
      <c r="K15" s="327">
        <f>L15-J15</f>
        <v>0</v>
      </c>
      <c r="L15" s="339">
        <f>'WP03-B - ADIT Detail'!G47</f>
        <v>0</v>
      </c>
      <c r="M15" s="403"/>
    </row>
    <row r="16" spans="3:13" ht="14.5">
      <c r="C16" s="340"/>
      <c r="D16" s="327"/>
      <c r="E16" s="327"/>
      <c r="F16" s="327"/>
      <c r="G16" s="327"/>
      <c r="H16" s="327"/>
      <c r="I16" s="327"/>
      <c r="J16" s="327"/>
      <c r="K16" s="327"/>
      <c r="L16" s="339"/>
      <c r="M16" s="403"/>
    </row>
    <row r="17" spans="3:13" ht="29">
      <c r="C17" s="341" t="str">
        <f>C14</f>
        <v xml:space="preserve">Beginning 282 (including adjustments) </v>
      </c>
      <c r="D17" s="327"/>
      <c r="E17" s="342" t="s">
        <v>750</v>
      </c>
      <c r="F17" s="327"/>
      <c r="G17" s="342" t="s">
        <v>751</v>
      </c>
      <c r="H17" s="327"/>
      <c r="I17" s="342" t="s">
        <v>752</v>
      </c>
      <c r="J17" s="327"/>
      <c r="K17" s="342" t="s">
        <v>753</v>
      </c>
      <c r="L17" s="339"/>
      <c r="M17" s="403"/>
    </row>
    <row r="18" spans="1:13" ht="14.5">
      <c r="A18" s="326">
        <v>4</v>
      </c>
      <c r="B18" s="423" t="s">
        <v>934</v>
      </c>
      <c r="C18" s="343">
        <f>C15</f>
        <v>0</v>
      </c>
      <c r="D18" s="327"/>
      <c r="E18" s="342">
        <f>(276/365)*E15</f>
        <v>0</v>
      </c>
      <c r="F18" s="327"/>
      <c r="G18" s="342">
        <f>(185/365)*G15</f>
        <v>0</v>
      </c>
      <c r="H18" s="327"/>
      <c r="I18" s="342">
        <f>(93/365)*I15</f>
        <v>0</v>
      </c>
      <c r="J18" s="327"/>
      <c r="K18" s="342">
        <f>(1/365)*K15</f>
        <v>0</v>
      </c>
      <c r="L18" s="339"/>
      <c r="M18" s="402"/>
    </row>
    <row r="19" spans="3:13" ht="14.5">
      <c r="C19" s="343"/>
      <c r="D19" s="327"/>
      <c r="E19" s="342"/>
      <c r="F19" s="327"/>
      <c r="G19" s="342"/>
      <c r="H19" s="327"/>
      <c r="I19" s="342"/>
      <c r="J19" s="327"/>
      <c r="K19" s="342"/>
      <c r="L19" s="339"/>
      <c r="M19" s="403"/>
    </row>
    <row r="20" spans="3:13" ht="29">
      <c r="C20" s="341" t="s">
        <v>755</v>
      </c>
      <c r="D20" s="327"/>
      <c r="E20" s="336" t="s">
        <v>741</v>
      </c>
      <c r="F20" s="337" t="s">
        <v>746</v>
      </c>
      <c r="G20" s="336" t="s">
        <v>742</v>
      </c>
      <c r="H20" s="337" t="s">
        <v>747</v>
      </c>
      <c r="I20" s="336" t="s">
        <v>743</v>
      </c>
      <c r="J20" s="337" t="s">
        <v>748</v>
      </c>
      <c r="K20" s="336" t="s">
        <v>744</v>
      </c>
      <c r="L20" s="338" t="s">
        <v>749</v>
      </c>
      <c r="M20" s="403"/>
    </row>
    <row r="21" spans="1:13" ht="14.5">
      <c r="A21" s="326">
        <v>5</v>
      </c>
      <c r="B21" s="423" t="s">
        <v>934</v>
      </c>
      <c r="C21" s="340">
        <f>'WP03-B - ADIT Detail'!C65</f>
        <v>0</v>
      </c>
      <c r="D21" s="327"/>
      <c r="E21" s="327">
        <f>F21-C21</f>
        <v>0</v>
      </c>
      <c r="F21" s="327">
        <f>'WP03-B - ADIT Detail'!D65</f>
        <v>0</v>
      </c>
      <c r="G21" s="327">
        <f>H21-F21</f>
        <v>0</v>
      </c>
      <c r="H21" s="327">
        <f>'WP03-B - ADIT Detail'!E65</f>
        <v>0</v>
      </c>
      <c r="I21" s="327">
        <f>J21-H21</f>
        <v>0</v>
      </c>
      <c r="J21" s="327">
        <f>'WP03-B - ADIT Detail'!F65</f>
        <v>0</v>
      </c>
      <c r="K21" s="327">
        <f>L21-J21</f>
        <v>0</v>
      </c>
      <c r="L21" s="339">
        <f>'WP03-B - ADIT Detail'!G65</f>
        <v>0</v>
      </c>
      <c r="M21" s="403"/>
    </row>
    <row r="22" spans="3:13" ht="14.5">
      <c r="C22" s="340"/>
      <c r="D22" s="327"/>
      <c r="E22" s="327"/>
      <c r="F22" s="327"/>
      <c r="G22" s="327"/>
      <c r="H22" s="327"/>
      <c r="I22" s="327"/>
      <c r="J22" s="327"/>
      <c r="K22" s="327"/>
      <c r="L22" s="339"/>
      <c r="M22" s="403"/>
    </row>
    <row r="23" spans="2:13" ht="30.65" customHeight="1">
      <c r="B23" s="344"/>
      <c r="C23" s="341" t="str">
        <f>C20</f>
        <v xml:space="preserve">Beginning 283 (Including adjustments) </v>
      </c>
      <c r="D23" s="327"/>
      <c r="E23" s="342" t="s">
        <v>750</v>
      </c>
      <c r="F23" s="327"/>
      <c r="G23" s="342" t="s">
        <v>751</v>
      </c>
      <c r="H23" s="327"/>
      <c r="I23" s="342" t="s">
        <v>752</v>
      </c>
      <c r="J23" s="327"/>
      <c r="K23" s="342" t="s">
        <v>753</v>
      </c>
      <c r="L23" s="339"/>
      <c r="M23" s="403"/>
    </row>
    <row r="24" spans="1:13" ht="15" thickBot="1">
      <c r="A24" s="326">
        <v>6</v>
      </c>
      <c r="B24" s="423" t="s">
        <v>934</v>
      </c>
      <c r="C24" s="345">
        <f>C21</f>
        <v>0</v>
      </c>
      <c r="D24" s="346"/>
      <c r="E24" s="347">
        <f>(276/365)*E21</f>
        <v>0</v>
      </c>
      <c r="F24" s="346"/>
      <c r="G24" s="347">
        <f>(185/365)*G21</f>
        <v>0</v>
      </c>
      <c r="H24" s="346"/>
      <c r="I24" s="347">
        <f>(93/365)*I21</f>
        <v>0</v>
      </c>
      <c r="J24" s="346"/>
      <c r="K24" s="347">
        <f>(1/365)*K21</f>
        <v>0</v>
      </c>
      <c r="L24" s="348"/>
      <c r="M24" s="402"/>
    </row>
    <row r="26" spans="3:11" ht="14.5">
      <c r="C26" s="349"/>
      <c r="E26" s="350"/>
      <c r="G26" s="350"/>
      <c r="I26" s="350"/>
      <c r="K26" s="350"/>
    </row>
    <row r="27" spans="3:12" ht="14.5">
      <c r="C27" s="342"/>
      <c r="D27" s="327"/>
      <c r="E27" s="342"/>
      <c r="F27" s="327"/>
      <c r="G27" s="342"/>
      <c r="H27" s="327"/>
      <c r="I27" s="342"/>
      <c r="J27" s="327"/>
      <c r="K27" s="342"/>
      <c r="L27" s="327"/>
    </row>
    <row r="29" spans="5:12" ht="14.5">
      <c r="E29" s="327"/>
      <c r="G29" s="327"/>
      <c r="I29" s="327"/>
      <c r="K29" s="327"/>
      <c r="L29" s="327"/>
    </row>
    <row r="31" spans="5:13" ht="15.5">
      <c r="E31" s="351"/>
      <c r="M31" s="3"/>
    </row>
    <row r="32" spans="5:13" ht="15.5">
      <c r="E32" s="351"/>
      <c r="M32" s="3"/>
    </row>
    <row r="33" spans="5:13" ht="15.5">
      <c r="E33" s="351"/>
      <c r="G33" s="698" t="str">
        <f>'Appendix G(3) - ADIT'!C10&amp;" ATRR"</f>
        <v>2022 ATRR</v>
      </c>
      <c r="H33" s="698"/>
      <c r="M33" s="3"/>
    </row>
    <row r="35" spans="5:13" ht="14.5">
      <c r="E35" s="326" t="s">
        <v>151</v>
      </c>
      <c r="F35" s="326" t="s">
        <v>152</v>
      </c>
      <c r="G35" s="326" t="s">
        <v>156</v>
      </c>
      <c r="H35" s="326" t="s">
        <v>157</v>
      </c>
      <c r="I35" s="326" t="s">
        <v>158</v>
      </c>
      <c r="J35" s="326" t="s">
        <v>159</v>
      </c>
      <c r="K35" s="326" t="s">
        <v>161</v>
      </c>
      <c r="L35" s="326"/>
      <c r="M35" s="326"/>
    </row>
    <row r="36" spans="5:13" ht="42.9" customHeight="1">
      <c r="E36" s="326"/>
      <c r="F36" s="336" t="s">
        <v>756</v>
      </c>
      <c r="G36" s="404" t="s">
        <v>771</v>
      </c>
      <c r="H36" s="326" t="s">
        <v>757</v>
      </c>
      <c r="I36" s="326"/>
      <c r="J36" s="326" t="s">
        <v>758</v>
      </c>
      <c r="K36" s="336" t="s">
        <v>759</v>
      </c>
      <c r="L36" s="326"/>
      <c r="M36" s="326"/>
    </row>
    <row r="37" spans="1:11" ht="61.5" customHeight="1">
      <c r="A37" s="328" t="s">
        <v>5</v>
      </c>
      <c r="B37" s="328"/>
      <c r="C37" s="352" t="s">
        <v>760</v>
      </c>
      <c r="E37" s="353" t="s">
        <v>761</v>
      </c>
      <c r="F37" s="354" t="s">
        <v>762</v>
      </c>
      <c r="G37" s="355" t="s">
        <v>763</v>
      </c>
      <c r="H37" s="355" t="s">
        <v>764</v>
      </c>
      <c r="I37" s="355" t="s">
        <v>765</v>
      </c>
      <c r="J37" s="355" t="s">
        <v>766</v>
      </c>
      <c r="K37" s="355" t="s">
        <v>808</v>
      </c>
    </row>
    <row r="39" spans="1:11" ht="14.5">
      <c r="A39" s="326">
        <v>7</v>
      </c>
      <c r="B39" s="423" t="s">
        <v>934</v>
      </c>
      <c r="C39" s="325" t="s">
        <v>767</v>
      </c>
      <c r="E39" s="420">
        <v>0</v>
      </c>
      <c r="F39" s="359">
        <f>E9+G9+I9+K9</f>
        <v>0</v>
      </c>
      <c r="G39" s="359">
        <f>(C12+E12+G12+I12+K12)</f>
        <v>0</v>
      </c>
      <c r="H39" s="357">
        <f>E39-G39</f>
        <v>0</v>
      </c>
      <c r="I39" s="356">
        <v>0</v>
      </c>
      <c r="J39" s="358">
        <f>H39-I39</f>
        <v>0</v>
      </c>
      <c r="K39" s="358">
        <f>E39-I39-J39</f>
        <v>0</v>
      </c>
    </row>
    <row r="40" spans="6:11" ht="14.5">
      <c r="F40" s="359"/>
      <c r="G40" s="359"/>
      <c r="H40" s="357"/>
      <c r="I40" s="359"/>
      <c r="J40" s="357"/>
      <c r="K40" s="357"/>
    </row>
    <row r="41" spans="1:11" ht="14.5">
      <c r="A41" s="326">
        <v>8</v>
      </c>
      <c r="B41" s="423" t="s">
        <v>934</v>
      </c>
      <c r="C41" s="325" t="s">
        <v>768</v>
      </c>
      <c r="E41" s="420">
        <v>0</v>
      </c>
      <c r="F41" s="359">
        <f>E15+G15+I15+K15</f>
        <v>0</v>
      </c>
      <c r="G41" s="359">
        <f>(C18+E18+G18+I18+K18)</f>
        <v>0</v>
      </c>
      <c r="H41" s="357">
        <f>E41-G41</f>
        <v>0</v>
      </c>
      <c r="I41" s="356">
        <v>0</v>
      </c>
      <c r="J41" s="358">
        <f>H41-I41</f>
        <v>0</v>
      </c>
      <c r="K41" s="358">
        <f>-E41+I41+J41</f>
        <v>0</v>
      </c>
    </row>
    <row r="42" spans="1:11" ht="14.5">
      <c r="A42" s="326"/>
      <c r="B42" s="326"/>
      <c r="F42" s="359"/>
      <c r="G42" s="359"/>
      <c r="H42" s="357"/>
      <c r="I42" s="359"/>
      <c r="J42" s="357"/>
      <c r="K42" s="357"/>
    </row>
    <row r="43" spans="1:11" ht="14.5">
      <c r="A43" s="326">
        <v>9</v>
      </c>
      <c r="B43" s="423" t="s">
        <v>934</v>
      </c>
      <c r="C43" s="325" t="s">
        <v>769</v>
      </c>
      <c r="E43" s="420">
        <v>0</v>
      </c>
      <c r="F43" s="359">
        <f>E21+G21+I21+K21</f>
        <v>0</v>
      </c>
      <c r="G43" s="359">
        <f>(C24+E24+G24+I24+K24)</f>
        <v>0</v>
      </c>
      <c r="H43" s="357">
        <f>E43-G43</f>
        <v>0</v>
      </c>
      <c r="I43" s="356">
        <v>0</v>
      </c>
      <c r="J43" s="358">
        <f>H43-I43</f>
        <v>0</v>
      </c>
      <c r="K43" s="358">
        <f>-E43+I43+J43</f>
        <v>0</v>
      </c>
    </row>
    <row r="44" spans="1:11" ht="14.5">
      <c r="A44" s="326"/>
      <c r="B44" s="326"/>
      <c r="H44" s="357"/>
      <c r="I44" s="359"/>
      <c r="J44" s="357"/>
      <c r="K44" s="357"/>
    </row>
    <row r="45" spans="1:11" ht="14.5">
      <c r="A45" s="326">
        <v>10</v>
      </c>
      <c r="B45" s="423" t="s">
        <v>934</v>
      </c>
      <c r="C45" s="422" t="s">
        <v>809</v>
      </c>
      <c r="E45" s="357">
        <f>E39-E41-E43</f>
        <v>0</v>
      </c>
      <c r="F45" s="357">
        <f>F39-F41-F43</f>
        <v>0</v>
      </c>
      <c r="G45" s="357">
        <f>G39-G41-G43</f>
        <v>0</v>
      </c>
      <c r="H45" s="357">
        <f>H39-H41-H43</f>
        <v>0</v>
      </c>
      <c r="I45" s="357">
        <f>I39+I41+I43</f>
        <v>0</v>
      </c>
      <c r="J45" s="357">
        <f>J39+J41+J43</f>
        <v>0</v>
      </c>
      <c r="K45" s="357">
        <f>K39+K41+K43</f>
        <v>0</v>
      </c>
    </row>
    <row r="46" spans="1:7" ht="14.5">
      <c r="A46" s="326"/>
      <c r="B46" s="326"/>
      <c r="E46" s="360"/>
      <c r="F46" s="360"/>
      <c r="G46" s="360"/>
    </row>
    <row r="47" spans="1:11" ht="14.5">
      <c r="A47" s="326"/>
      <c r="B47" s="326"/>
      <c r="E47" s="360"/>
      <c r="F47" s="360"/>
      <c r="G47" s="360"/>
      <c r="I47" s="361"/>
      <c r="J47" s="361"/>
      <c r="K47" s="361"/>
    </row>
    <row r="48" spans="1:11" ht="14.5">
      <c r="A48" s="326"/>
      <c r="B48" s="326"/>
      <c r="E48" s="360"/>
      <c r="F48" s="360"/>
      <c r="G48" s="360"/>
      <c r="I48" s="361"/>
      <c r="J48" s="361"/>
      <c r="K48" s="361"/>
    </row>
    <row r="49" spans="1:13" ht="14.5">
      <c r="A49" s="326"/>
      <c r="B49" s="326"/>
      <c r="E49" s="360"/>
      <c r="F49" s="360"/>
      <c r="G49" s="360"/>
      <c r="I49" s="361"/>
      <c r="J49" s="361"/>
      <c r="K49" s="361"/>
      <c r="M49" s="357"/>
    </row>
    <row r="50" spans="1:11" ht="14.5">
      <c r="A50" s="362" t="s">
        <v>770</v>
      </c>
      <c r="D50" s="360"/>
      <c r="E50" s="360"/>
      <c r="F50" s="360"/>
      <c r="I50" s="361"/>
      <c r="J50" s="361"/>
      <c r="K50" s="361"/>
    </row>
    <row r="51" spans="1:11" s="478" customFormat="1" ht="14.4" customHeight="1">
      <c r="A51" s="476" t="s">
        <v>877</v>
      </c>
      <c r="B51" s="476"/>
      <c r="C51" s="477"/>
      <c r="D51" s="477"/>
      <c r="E51" s="477"/>
      <c r="F51" s="477"/>
      <c r="I51" s="479"/>
      <c r="J51" s="479"/>
      <c r="K51" s="479"/>
    </row>
    <row r="52" spans="1:1" s="478" customFormat="1" ht="14.5">
      <c r="A52" s="476" t="s">
        <v>878</v>
      </c>
    </row>
    <row r="53" spans="1:1" ht="14.5">
      <c r="A53" s="326"/>
    </row>
    <row r="54" spans="1:1" ht="14.5">
      <c r="A54" s="326"/>
    </row>
  </sheetData>
  <mergeCells count="2">
    <mergeCell ref="E6:L6"/>
    <mergeCell ref="G33:H33"/>
  </mergeCells>
  <pageMargins left="0.7" right="0.7" top="0.75" bottom="0.75" header="0.3" footer="0.3"/>
  <pageSetup orientation="landscape"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sheetPr codeName="Sheet26"/>
  <dimension ref="A1:J69"/>
  <sheetViews>
    <sheetView view="pageBreakPreview" zoomScaleNormal="100" zoomScaleSheetLayoutView="100" workbookViewId="0" topLeftCell="A1">
      <pane ySplit="8" topLeftCell="A9" activePane="bottomLeft" state="frozen"/>
      <selection pane="topLeft" activeCell="P45" sqref="P45"/>
      <selection pane="bottomLeft" activeCell="D2" sqref="D2"/>
    </sheetView>
  </sheetViews>
  <sheetFormatPr defaultColWidth="8.68714285714286" defaultRowHeight="14.5"/>
  <cols>
    <col min="1" max="1" width="6.42857142857143" style="408" customWidth="1"/>
    <col min="2" max="2" width="33" style="405" customWidth="1"/>
    <col min="3" max="5" width="12.2142857142857" style="412" bestFit="1" customWidth="1"/>
    <col min="6" max="6" width="12.3571428571429" style="412" bestFit="1" customWidth="1"/>
    <col min="7" max="7" width="12.2142857142857" style="412" bestFit="1" customWidth="1"/>
    <col min="8" max="8" width="2.14285714285714" style="405" customWidth="1"/>
    <col min="9" max="10" width="12.7142857142857" style="405" customWidth="1"/>
    <col min="11" max="16384" width="8.71428571428571" style="405"/>
  </cols>
  <sheetData>
    <row r="1" spans="1:10" ht="15.5">
      <c r="A1" s="79" t="str">
        <f ca="1">RIGHT(CELL("filename",D2),LEN(CELL("filename",D2))-FIND("]",CELL("filename",D2)))</f>
        <v>WP03-B - ADIT Detail</v>
      </c>
      <c r="C1" s="437"/>
      <c r="D1" s="437"/>
      <c r="E1" s="437"/>
      <c r="F1" s="437"/>
      <c r="G1" s="437"/>
      <c r="J1" s="3"/>
    </row>
    <row r="2" spans="3:10" ht="15.5">
      <c r="C2" s="437"/>
      <c r="D2" s="437"/>
      <c r="E2" s="437"/>
      <c r="F2" s="437"/>
      <c r="G2" s="437"/>
      <c r="J2" s="117"/>
    </row>
    <row r="3" spans="3:10" ht="15.5">
      <c r="C3" s="437"/>
      <c r="D3" s="437"/>
      <c r="E3" s="437"/>
      <c r="F3" s="437"/>
      <c r="G3" s="437"/>
      <c r="J3" s="3"/>
    </row>
    <row r="4" spans="1:7" ht="15.5">
      <c r="A4" s="373"/>
      <c r="C4" s="436"/>
      <c r="D4" s="436"/>
      <c r="E4" s="436"/>
      <c r="F4" s="436"/>
      <c r="G4" s="437"/>
    </row>
    <row r="5" spans="3:10" ht="14.5">
      <c r="C5" s="699" t="s">
        <v>810</v>
      </c>
      <c r="D5" s="699"/>
      <c r="E5" s="699"/>
      <c r="F5" s="699"/>
      <c r="G5" s="699"/>
      <c r="I5" s="699" t="s">
        <v>811</v>
      </c>
      <c r="J5" s="699"/>
    </row>
    <row r="6" spans="1:10" s="415" customFormat="1" ht="14.5">
      <c r="A6" s="408"/>
      <c r="B6" s="415" t="s">
        <v>363</v>
      </c>
      <c r="C6" s="416" t="s">
        <v>377</v>
      </c>
      <c r="D6" s="416" t="s">
        <v>506</v>
      </c>
      <c r="E6" s="416" t="s">
        <v>547</v>
      </c>
      <c r="F6" s="416" t="s">
        <v>550</v>
      </c>
      <c r="G6" s="416" t="s">
        <v>611</v>
      </c>
      <c r="I6" s="416" t="s">
        <v>612</v>
      </c>
      <c r="J6" s="416" t="s">
        <v>613</v>
      </c>
    </row>
    <row r="7" spans="3:10" s="407" customFormat="1" ht="14.5">
      <c r="C7" s="608">
        <f>'Appendix G(3) - ADIT'!C6</f>
        <v>2021</v>
      </c>
      <c r="D7" s="414">
        <f>C7+1</f>
        <v>2022</v>
      </c>
      <c r="E7" s="414">
        <f>D7</f>
        <v>2022</v>
      </c>
      <c r="F7" s="414">
        <f t="shared" si="0" ref="F7:G7">E7</f>
        <v>2022</v>
      </c>
      <c r="G7" s="414">
        <f t="shared" si="0"/>
        <v>2022</v>
      </c>
      <c r="I7" s="414">
        <f>C7</f>
        <v>2021</v>
      </c>
      <c r="J7" s="414">
        <f>I7+1</f>
        <v>2022</v>
      </c>
    </row>
    <row r="8" spans="1:10" s="406" customFormat="1" ht="29">
      <c r="A8" s="407" t="s">
        <v>5</v>
      </c>
      <c r="B8" s="406" t="s">
        <v>795</v>
      </c>
      <c r="C8" s="413" t="s">
        <v>774</v>
      </c>
      <c r="D8" s="413" t="s">
        <v>775</v>
      </c>
      <c r="E8" s="413" t="s">
        <v>776</v>
      </c>
      <c r="F8" s="413" t="s">
        <v>777</v>
      </c>
      <c r="G8" s="413" t="s">
        <v>778</v>
      </c>
      <c r="I8" s="413" t="s">
        <v>774</v>
      </c>
      <c r="J8" s="413" t="s">
        <v>778</v>
      </c>
    </row>
    <row r="9" spans="1:10" ht="14.5">
      <c r="A9" s="408">
        <v>1</v>
      </c>
      <c r="B9" s="406" t="s">
        <v>787</v>
      </c>
      <c r="I9" s="412"/>
      <c r="J9" s="412"/>
    </row>
    <row r="10" spans="9:10" ht="14.5">
      <c r="I10" s="412"/>
      <c r="J10" s="412"/>
    </row>
    <row r="11" spans="1:10" ht="14.5">
      <c r="A11" s="410">
        <v>1.01</v>
      </c>
      <c r="B11" s="409"/>
      <c r="C11" s="417"/>
      <c r="D11" s="417"/>
      <c r="E11" s="417"/>
      <c r="F11" s="417"/>
      <c r="G11" s="417"/>
      <c r="I11" s="417"/>
      <c r="J11" s="417"/>
    </row>
    <row r="12" spans="1:10" ht="14.5">
      <c r="A12" s="411" t="s">
        <v>780</v>
      </c>
      <c r="B12" s="409"/>
      <c r="C12" s="418"/>
      <c r="D12" s="418"/>
      <c r="E12" s="418"/>
      <c r="F12" s="418"/>
      <c r="G12" s="418"/>
      <c r="I12" s="418"/>
      <c r="J12" s="418"/>
    </row>
    <row r="13" spans="1:10" ht="14.5">
      <c r="A13" s="408">
        <v>2</v>
      </c>
      <c r="B13" s="409" t="s">
        <v>779</v>
      </c>
      <c r="C13" s="412">
        <f>SUM(C11:C12)</f>
        <v>0</v>
      </c>
      <c r="D13" s="412">
        <f>SUM(D11:D12)</f>
        <v>0</v>
      </c>
      <c r="E13" s="412">
        <f>SUM(E11:E12)</f>
        <v>0</v>
      </c>
      <c r="F13" s="412">
        <f>SUM(F11:F12)</f>
        <v>0</v>
      </c>
      <c r="G13" s="412">
        <f>SUM(G11:G12)</f>
        <v>0</v>
      </c>
      <c r="I13" s="412">
        <f>SUM(I11:I12)</f>
        <v>0</v>
      </c>
      <c r="J13" s="412">
        <f>SUM(J11:J12)</f>
        <v>0</v>
      </c>
    </row>
    <row r="14" spans="9:10" ht="14.5">
      <c r="I14" s="412"/>
      <c r="J14" s="412"/>
    </row>
    <row r="15" spans="1:10" ht="14.5">
      <c r="A15" s="408">
        <v>3</v>
      </c>
      <c r="B15" s="406" t="s">
        <v>781</v>
      </c>
      <c r="I15" s="412"/>
      <c r="J15" s="412"/>
    </row>
    <row r="16" spans="9:10" ht="14.5">
      <c r="I16" s="412"/>
      <c r="J16" s="412"/>
    </row>
    <row r="17" spans="1:10" ht="14.5">
      <c r="A17" s="419">
        <v>3.0099999999999998</v>
      </c>
      <c r="B17" s="405" t="s">
        <v>539</v>
      </c>
      <c r="C17" s="417"/>
      <c r="D17" s="417"/>
      <c r="E17" s="417"/>
      <c r="F17" s="417"/>
      <c r="G17" s="417"/>
      <c r="I17" s="417"/>
      <c r="J17" s="417"/>
    </row>
    <row r="18" spans="1:10" ht="14.5">
      <c r="A18" s="419">
        <v>3.02</v>
      </c>
      <c r="B18" s="405" t="s">
        <v>782</v>
      </c>
      <c r="C18" s="417"/>
      <c r="D18" s="417"/>
      <c r="E18" s="417"/>
      <c r="F18" s="417"/>
      <c r="G18" s="417"/>
      <c r="I18" s="417"/>
      <c r="J18" s="417"/>
    </row>
    <row r="19" spans="1:10" ht="14.5">
      <c r="A19" s="419">
        <v>3.0299999999999998</v>
      </c>
      <c r="B19" s="405" t="s">
        <v>549</v>
      </c>
      <c r="C19" s="417"/>
      <c r="D19" s="417"/>
      <c r="E19" s="417"/>
      <c r="F19" s="417"/>
      <c r="G19" s="417"/>
      <c r="I19" s="417"/>
      <c r="J19" s="417"/>
    </row>
    <row r="20" spans="1:10" ht="14.5">
      <c r="A20" s="419">
        <v>3.04</v>
      </c>
      <c r="B20" s="405" t="s">
        <v>544</v>
      </c>
      <c r="C20" s="417"/>
      <c r="D20" s="417"/>
      <c r="E20" s="417"/>
      <c r="F20" s="417"/>
      <c r="G20" s="417"/>
      <c r="I20" s="417"/>
      <c r="J20" s="417"/>
    </row>
    <row r="21" spans="1:10" ht="14.5">
      <c r="A21" s="419">
        <v>3.0499999999999998</v>
      </c>
      <c r="B21" s="405" t="s">
        <v>783</v>
      </c>
      <c r="C21" s="417"/>
      <c r="D21" s="417"/>
      <c r="E21" s="417"/>
      <c r="F21" s="417"/>
      <c r="G21" s="417"/>
      <c r="I21" s="417"/>
      <c r="J21" s="417"/>
    </row>
    <row r="22" spans="1:10" ht="14.5">
      <c r="A22" s="419">
        <v>3.0600000000000001</v>
      </c>
      <c r="B22" s="405" t="s">
        <v>545</v>
      </c>
      <c r="C22" s="417"/>
      <c r="D22" s="417"/>
      <c r="E22" s="417"/>
      <c r="F22" s="417"/>
      <c r="G22" s="417"/>
      <c r="I22" s="417"/>
      <c r="J22" s="417"/>
    </row>
    <row r="23" spans="1:10" ht="14.5">
      <c r="A23" s="411" t="s">
        <v>785</v>
      </c>
      <c r="B23" s="409"/>
      <c r="C23" s="418"/>
      <c r="D23" s="418"/>
      <c r="E23" s="418"/>
      <c r="F23" s="418"/>
      <c r="G23" s="418"/>
      <c r="I23" s="418"/>
      <c r="J23" s="418"/>
    </row>
    <row r="24" spans="1:10" ht="14.5">
      <c r="A24" s="408">
        <v>4</v>
      </c>
      <c r="B24" s="409" t="s">
        <v>784</v>
      </c>
      <c r="C24" s="412">
        <f>SUM(C17:C23)</f>
        <v>0</v>
      </c>
      <c r="D24" s="412">
        <f t="shared" si="1" ref="D24:G24">SUM(D17:D23)</f>
        <v>0</v>
      </c>
      <c r="E24" s="412">
        <f t="shared" si="1"/>
        <v>0</v>
      </c>
      <c r="F24" s="412">
        <f t="shared" si="1"/>
        <v>0</v>
      </c>
      <c r="G24" s="412">
        <f t="shared" si="1"/>
        <v>0</v>
      </c>
      <c r="I24" s="412">
        <f>SUM(I17:I23)</f>
        <v>0</v>
      </c>
      <c r="J24" s="412">
        <f>SUM(J17:J23)</f>
        <v>0</v>
      </c>
    </row>
    <row r="25" spans="3:10" ht="14.5">
      <c r="C25" s="421"/>
      <c r="D25" s="421"/>
      <c r="E25" s="421"/>
      <c r="F25" s="421"/>
      <c r="G25" s="421"/>
      <c r="I25" s="421"/>
      <c r="J25" s="421"/>
    </row>
    <row r="26" spans="1:10" ht="14.5">
      <c r="A26" s="408">
        <v>5</v>
      </c>
      <c r="B26" s="406" t="s">
        <v>796</v>
      </c>
      <c r="C26" s="412">
        <f>C13-C24</f>
        <v>0</v>
      </c>
      <c r="D26" s="412">
        <f t="shared" si="2" ref="D26:G26">D13-D24</f>
        <v>0</v>
      </c>
      <c r="E26" s="412">
        <f t="shared" si="2"/>
        <v>0</v>
      </c>
      <c r="F26" s="412">
        <f t="shared" si="2"/>
        <v>0</v>
      </c>
      <c r="G26" s="412">
        <f t="shared" si="2"/>
        <v>0</v>
      </c>
      <c r="I26" s="412">
        <f t="shared" si="3" ref="I26:J26">I13-I24</f>
        <v>0</v>
      </c>
      <c r="J26" s="412">
        <f t="shared" si="3"/>
        <v>0</v>
      </c>
    </row>
    <row r="27" spans="9:10" ht="14.5">
      <c r="I27" s="412"/>
      <c r="J27" s="412"/>
    </row>
    <row r="28" spans="1:10" ht="14.5">
      <c r="A28" s="408">
        <v>6</v>
      </c>
      <c r="B28" s="406" t="s">
        <v>786</v>
      </c>
      <c r="I28" s="412"/>
      <c r="J28" s="412"/>
    </row>
    <row r="29" spans="2:10" ht="14.5">
      <c r="B29" s="406"/>
      <c r="I29" s="412"/>
      <c r="J29" s="412"/>
    </row>
    <row r="30" spans="1:10" ht="14.5">
      <c r="A30" s="410">
        <v>6.0099999999999998</v>
      </c>
      <c r="B30" s="409"/>
      <c r="C30" s="417"/>
      <c r="D30" s="417"/>
      <c r="E30" s="417"/>
      <c r="F30" s="417"/>
      <c r="G30" s="417"/>
      <c r="I30" s="417"/>
      <c r="J30" s="417"/>
    </row>
    <row r="31" spans="1:10" ht="14.5">
      <c r="A31" s="411" t="s">
        <v>800</v>
      </c>
      <c r="B31" s="409"/>
      <c r="C31" s="418"/>
      <c r="D31" s="418"/>
      <c r="E31" s="418"/>
      <c r="F31" s="418"/>
      <c r="G31" s="418"/>
      <c r="I31" s="418"/>
      <c r="J31" s="418"/>
    </row>
    <row r="32" spans="1:10" ht="14.5">
      <c r="A32" s="408">
        <v>7</v>
      </c>
      <c r="B32" s="409" t="s">
        <v>799</v>
      </c>
      <c r="C32" s="412">
        <f>SUM(C30:C31)</f>
        <v>0</v>
      </c>
      <c r="D32" s="412">
        <f>SUM(D30:D31)</f>
        <v>0</v>
      </c>
      <c r="E32" s="412">
        <f>SUM(E30:E31)</f>
        <v>0</v>
      </c>
      <c r="F32" s="412">
        <f>SUM(F30:F31)</f>
        <v>0</v>
      </c>
      <c r="G32" s="412">
        <f>SUM(G30:G31)</f>
        <v>0</v>
      </c>
      <c r="I32" s="412">
        <f>SUM(I30:I31)</f>
        <v>0</v>
      </c>
      <c r="J32" s="412">
        <f>SUM(J30:J31)</f>
        <v>0</v>
      </c>
    </row>
    <row r="33" spans="9:10" ht="14.5">
      <c r="I33" s="412"/>
      <c r="J33" s="412"/>
    </row>
    <row r="34" spans="1:10" ht="14.5">
      <c r="A34" s="408">
        <v>8</v>
      </c>
      <c r="B34" s="406" t="s">
        <v>788</v>
      </c>
      <c r="I34" s="412"/>
      <c r="J34" s="412"/>
    </row>
    <row r="35" spans="2:10" ht="14.5">
      <c r="B35" s="406"/>
      <c r="I35" s="412"/>
      <c r="J35" s="412"/>
    </row>
    <row r="36" spans="1:10" ht="14.5">
      <c r="A36" s="419">
        <v>8.0099999999999998</v>
      </c>
      <c r="B36" s="405" t="s">
        <v>539</v>
      </c>
      <c r="C36" s="417"/>
      <c r="D36" s="417"/>
      <c r="E36" s="417"/>
      <c r="F36" s="417"/>
      <c r="G36" s="417"/>
      <c r="I36" s="417"/>
      <c r="J36" s="417"/>
    </row>
    <row r="37" spans="1:10" ht="14.5">
      <c r="A37" s="419">
        <v>8.0199999999999996</v>
      </c>
      <c r="B37" s="405" t="s">
        <v>782</v>
      </c>
      <c r="C37" s="417"/>
      <c r="D37" s="417"/>
      <c r="E37" s="417"/>
      <c r="F37" s="417"/>
      <c r="G37" s="417"/>
      <c r="I37" s="417"/>
      <c r="J37" s="417"/>
    </row>
    <row r="38" spans="1:10" ht="14.5">
      <c r="A38" s="419">
        <v>8.0299999999999994</v>
      </c>
      <c r="B38" s="405" t="s">
        <v>789</v>
      </c>
      <c r="C38" s="417"/>
      <c r="D38" s="417"/>
      <c r="E38" s="417"/>
      <c r="F38" s="417"/>
      <c r="G38" s="417"/>
      <c r="I38" s="417"/>
      <c r="J38" s="417"/>
    </row>
    <row r="39" spans="1:10" ht="14.5">
      <c r="A39" s="419">
        <v>8.0399999999999991</v>
      </c>
      <c r="B39" s="405" t="s">
        <v>544</v>
      </c>
      <c r="C39" s="417"/>
      <c r="D39" s="417"/>
      <c r="E39" s="417"/>
      <c r="F39" s="417"/>
      <c r="G39" s="417"/>
      <c r="I39" s="417"/>
      <c r="J39" s="417"/>
    </row>
    <row r="40" spans="1:10" ht="14.5">
      <c r="A40" s="419">
        <v>8.0500000000000007</v>
      </c>
      <c r="B40" s="405" t="s">
        <v>783</v>
      </c>
      <c r="C40" s="417"/>
      <c r="D40" s="417"/>
      <c r="E40" s="417"/>
      <c r="F40" s="417"/>
      <c r="G40" s="417"/>
      <c r="I40" s="417"/>
      <c r="J40" s="417"/>
    </row>
    <row r="41" spans="1:10" ht="14.5">
      <c r="A41" s="419">
        <v>8.0600000000000005</v>
      </c>
      <c r="B41" s="405" t="s">
        <v>545</v>
      </c>
      <c r="C41" s="417"/>
      <c r="D41" s="417"/>
      <c r="E41" s="417"/>
      <c r="F41" s="417"/>
      <c r="G41" s="417"/>
      <c r="I41" s="417"/>
      <c r="J41" s="417"/>
    </row>
    <row r="42" spans="1:10" ht="14.5">
      <c r="A42" s="419">
        <v>8.0700000000000003</v>
      </c>
      <c r="B42" s="405" t="s">
        <v>790</v>
      </c>
      <c r="C42" s="417"/>
      <c r="D42" s="417"/>
      <c r="E42" s="417"/>
      <c r="F42" s="417"/>
      <c r="G42" s="417"/>
      <c r="I42" s="417"/>
      <c r="J42" s="417"/>
    </row>
    <row r="43" spans="1:10" ht="14.5">
      <c r="A43" s="419">
        <v>8.0800000000000001</v>
      </c>
      <c r="B43" s="405" t="s">
        <v>549</v>
      </c>
      <c r="C43" s="417"/>
      <c r="D43" s="417"/>
      <c r="E43" s="417"/>
      <c r="F43" s="417"/>
      <c r="G43" s="417"/>
      <c r="I43" s="417"/>
      <c r="J43" s="417"/>
    </row>
    <row r="44" spans="1:10" ht="14.5">
      <c r="A44" s="411" t="s">
        <v>801</v>
      </c>
      <c r="B44" s="409"/>
      <c r="C44" s="418"/>
      <c r="D44" s="418"/>
      <c r="E44" s="418"/>
      <c r="F44" s="418"/>
      <c r="G44" s="418"/>
      <c r="I44" s="418"/>
      <c r="J44" s="418"/>
    </row>
    <row r="45" spans="1:10" ht="14.5">
      <c r="A45" s="408">
        <v>9</v>
      </c>
      <c r="B45" s="409" t="s">
        <v>802</v>
      </c>
      <c r="C45" s="412">
        <f>SUM(C36:C44)</f>
        <v>0</v>
      </c>
      <c r="D45" s="412">
        <f t="shared" si="4" ref="D45:G45">SUM(D36:D44)</f>
        <v>0</v>
      </c>
      <c r="E45" s="412">
        <f t="shared" si="4"/>
        <v>0</v>
      </c>
      <c r="F45" s="412">
        <f t="shared" si="4"/>
        <v>0</v>
      </c>
      <c r="G45" s="412">
        <f t="shared" si="4"/>
        <v>0</v>
      </c>
      <c r="I45" s="412">
        <f>SUM(I36:I44)</f>
        <v>0</v>
      </c>
      <c r="J45" s="412">
        <f>SUM(J36:J44)</f>
        <v>0</v>
      </c>
    </row>
    <row r="46" spans="3:10" ht="14.5">
      <c r="C46" s="421"/>
      <c r="D46" s="421"/>
      <c r="E46" s="421"/>
      <c r="F46" s="421"/>
      <c r="G46" s="421"/>
      <c r="I46" s="421"/>
      <c r="J46" s="421"/>
    </row>
    <row r="47" spans="1:10" ht="14.5">
      <c r="A47" s="408">
        <v>10</v>
      </c>
      <c r="B47" s="406" t="s">
        <v>797</v>
      </c>
      <c r="C47" s="412">
        <f>C32-C45</f>
        <v>0</v>
      </c>
      <c r="D47" s="412">
        <f t="shared" si="5" ref="D47:G47">D32-D45</f>
        <v>0</v>
      </c>
      <c r="E47" s="412">
        <f t="shared" si="5"/>
        <v>0</v>
      </c>
      <c r="F47" s="412">
        <f t="shared" si="5"/>
        <v>0</v>
      </c>
      <c r="G47" s="412">
        <f t="shared" si="5"/>
        <v>0</v>
      </c>
      <c r="I47" s="412">
        <f>I32-I45</f>
        <v>0</v>
      </c>
      <c r="J47" s="412">
        <f t="shared" si="6" ref="J47">J32-J45</f>
        <v>0</v>
      </c>
    </row>
    <row r="48" spans="9:10" ht="14.5">
      <c r="I48" s="412"/>
      <c r="J48" s="412"/>
    </row>
    <row r="49" spans="1:10" ht="14.5">
      <c r="A49" s="408">
        <v>11</v>
      </c>
      <c r="B49" s="406" t="s">
        <v>791</v>
      </c>
      <c r="I49" s="412"/>
      <c r="J49" s="412"/>
    </row>
    <row r="50" spans="2:10" ht="14.5">
      <c r="B50" s="406"/>
      <c r="I50" s="412"/>
      <c r="J50" s="412"/>
    </row>
    <row r="51" spans="1:10" ht="14.5">
      <c r="A51" s="410">
        <v>11.01</v>
      </c>
      <c r="B51" s="409"/>
      <c r="C51" s="417"/>
      <c r="D51" s="417"/>
      <c r="E51" s="417"/>
      <c r="F51" s="417"/>
      <c r="G51" s="417"/>
      <c r="I51" s="417"/>
      <c r="J51" s="417"/>
    </row>
    <row r="52" spans="1:10" ht="14.5">
      <c r="A52" s="411" t="s">
        <v>793</v>
      </c>
      <c r="B52" s="409"/>
      <c r="C52" s="418"/>
      <c r="D52" s="418"/>
      <c r="E52" s="418"/>
      <c r="F52" s="418"/>
      <c r="G52" s="418"/>
      <c r="I52" s="418"/>
      <c r="J52" s="418"/>
    </row>
    <row r="53" spans="1:10" ht="14.5">
      <c r="A53" s="408">
        <v>12</v>
      </c>
      <c r="B53" s="409" t="s">
        <v>794</v>
      </c>
      <c r="C53" s="412">
        <f>SUM(C51:C52)</f>
        <v>0</v>
      </c>
      <c r="D53" s="412">
        <f>SUM(D51:D52)</f>
        <v>0</v>
      </c>
      <c r="E53" s="412">
        <f>SUM(E51:E52)</f>
        <v>0</v>
      </c>
      <c r="F53" s="412">
        <f>SUM(F51:F52)</f>
        <v>0</v>
      </c>
      <c r="G53" s="412">
        <f>SUM(G51:G52)</f>
        <v>0</v>
      </c>
      <c r="I53" s="412">
        <f>SUM(I51:I52)</f>
        <v>0</v>
      </c>
      <c r="J53" s="412">
        <f>SUM(J51:J52)</f>
        <v>0</v>
      </c>
    </row>
    <row r="54" spans="9:10" ht="14.5">
      <c r="I54" s="412"/>
      <c r="J54" s="412"/>
    </row>
    <row r="55" spans="1:10" ht="14.5">
      <c r="A55" s="408">
        <v>13</v>
      </c>
      <c r="B55" s="406" t="s">
        <v>792</v>
      </c>
      <c r="I55" s="412"/>
      <c r="J55" s="412"/>
    </row>
    <row r="56" spans="2:10" ht="14.5">
      <c r="B56" s="406"/>
      <c r="I56" s="412"/>
      <c r="J56" s="412"/>
    </row>
    <row r="57" spans="1:10" ht="14.5">
      <c r="A57" s="419">
        <v>13.01</v>
      </c>
      <c r="B57" s="405" t="s">
        <v>539</v>
      </c>
      <c r="C57" s="417"/>
      <c r="D57" s="417"/>
      <c r="E57" s="417"/>
      <c r="F57" s="417"/>
      <c r="G57" s="417"/>
      <c r="I57" s="417"/>
      <c r="J57" s="417"/>
    </row>
    <row r="58" spans="1:10" ht="14.5">
      <c r="A58" s="419">
        <v>13.02</v>
      </c>
      <c r="B58" s="405" t="s">
        <v>782</v>
      </c>
      <c r="C58" s="417"/>
      <c r="D58" s="417"/>
      <c r="E58" s="417"/>
      <c r="F58" s="417"/>
      <c r="G58" s="417"/>
      <c r="I58" s="417"/>
      <c r="J58" s="417"/>
    </row>
    <row r="59" spans="1:10" ht="14.5">
      <c r="A59" s="419">
        <v>13.029999999999999</v>
      </c>
      <c r="B59" s="405" t="s">
        <v>544</v>
      </c>
      <c r="C59" s="417"/>
      <c r="D59" s="417"/>
      <c r="E59" s="417"/>
      <c r="F59" s="417"/>
      <c r="G59" s="417"/>
      <c r="I59" s="417"/>
      <c r="J59" s="417"/>
    </row>
    <row r="60" spans="1:10" ht="14.5">
      <c r="A60" s="419">
        <v>13.039999999999999</v>
      </c>
      <c r="B60" s="405" t="s">
        <v>783</v>
      </c>
      <c r="C60" s="417"/>
      <c r="D60" s="417"/>
      <c r="E60" s="417"/>
      <c r="F60" s="417"/>
      <c r="G60" s="417"/>
      <c r="I60" s="417"/>
      <c r="J60" s="417"/>
    </row>
    <row r="61" spans="1:10" ht="14.5">
      <c r="A61" s="419">
        <v>13.050000000000001</v>
      </c>
      <c r="B61" s="405" t="s">
        <v>545</v>
      </c>
      <c r="C61" s="417"/>
      <c r="D61" s="417"/>
      <c r="E61" s="417"/>
      <c r="F61" s="417"/>
      <c r="G61" s="417"/>
      <c r="I61" s="417"/>
      <c r="J61" s="417"/>
    </row>
    <row r="62" spans="1:10" ht="14.5">
      <c r="A62" s="411" t="s">
        <v>803</v>
      </c>
      <c r="B62" s="409"/>
      <c r="C62" s="418"/>
      <c r="D62" s="418"/>
      <c r="E62" s="418"/>
      <c r="F62" s="418"/>
      <c r="G62" s="418"/>
      <c r="I62" s="418"/>
      <c r="J62" s="418"/>
    </row>
    <row r="63" spans="1:10" ht="14.5">
      <c r="A63" s="408">
        <v>14</v>
      </c>
      <c r="B63" s="409" t="s">
        <v>804</v>
      </c>
      <c r="C63" s="412">
        <f>SUM(C57:C62)</f>
        <v>0</v>
      </c>
      <c r="D63" s="412">
        <f t="shared" si="7" ref="D63:G63">SUM(D57:D62)</f>
        <v>0</v>
      </c>
      <c r="E63" s="412">
        <f t="shared" si="7"/>
        <v>0</v>
      </c>
      <c r="F63" s="412">
        <f t="shared" si="7"/>
        <v>0</v>
      </c>
      <c r="G63" s="412">
        <f t="shared" si="7"/>
        <v>0</v>
      </c>
      <c r="I63" s="412">
        <f>SUM(I57:I62)</f>
        <v>0</v>
      </c>
      <c r="J63" s="412">
        <f>SUM(J57:J62)</f>
        <v>0</v>
      </c>
    </row>
    <row r="64" spans="3:10" ht="14.5">
      <c r="C64" s="421"/>
      <c r="D64" s="421"/>
      <c r="E64" s="421"/>
      <c r="F64" s="421"/>
      <c r="G64" s="421"/>
      <c r="I64" s="421"/>
      <c r="J64" s="421"/>
    </row>
    <row r="65" spans="1:10" ht="14.5">
      <c r="A65" s="408">
        <v>15</v>
      </c>
      <c r="B65" s="406" t="s">
        <v>798</v>
      </c>
      <c r="C65" s="412">
        <f>C53-C63</f>
        <v>0</v>
      </c>
      <c r="D65" s="412">
        <f t="shared" si="8" ref="D65:G65">D53-D63</f>
        <v>0</v>
      </c>
      <c r="E65" s="412">
        <f t="shared" si="8"/>
        <v>0</v>
      </c>
      <c r="F65" s="412">
        <f t="shared" si="8"/>
        <v>0</v>
      </c>
      <c r="G65" s="412">
        <f t="shared" si="8"/>
        <v>0</v>
      </c>
      <c r="I65" s="412">
        <f>I53-I63</f>
        <v>0</v>
      </c>
      <c r="J65" s="412">
        <f t="shared" si="9" ref="J65">J53-J63</f>
        <v>0</v>
      </c>
    </row>
    <row r="67" spans="1:1" ht="14.5">
      <c r="A67" s="407" t="s">
        <v>297</v>
      </c>
    </row>
    <row r="68" spans="1:10" s="425" customFormat="1" ht="29.4" customHeight="1">
      <c r="A68" s="424" t="s">
        <v>423</v>
      </c>
      <c r="B68" s="700" t="s">
        <v>814</v>
      </c>
      <c r="C68" s="700"/>
      <c r="D68" s="700"/>
      <c r="E68" s="700"/>
      <c r="F68" s="700"/>
      <c r="G68" s="700"/>
      <c r="H68" s="700"/>
      <c r="I68" s="700"/>
      <c r="J68" s="700"/>
    </row>
    <row r="69" spans="1:2" ht="14.5">
      <c r="A69" s="408" t="s">
        <v>424</v>
      </c>
      <c r="B69" s="405" t="s">
        <v>812</v>
      </c>
    </row>
  </sheetData>
  <mergeCells count="3">
    <mergeCell ref="C5:G5"/>
    <mergeCell ref="I5:J5"/>
    <mergeCell ref="B68:J68"/>
  </mergeCells>
  <pageMargins left="0.7" right="0.7" top="0.75" bottom="0.75" header="0.3" footer="0.3"/>
  <pageSetup orientation="portrait" scale="51"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H2" sqref="H2"/>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7" width="12.8571428571429" style="76" customWidth="1"/>
    <col min="8" max="11" width="12.8571428571429" style="70" customWidth="1"/>
    <col min="12" max="16384" width="8.92857142857143" style="70"/>
  </cols>
  <sheetData>
    <row r="1" spans="1:1" ht="20.15" customHeight="1">
      <c r="A1" s="79" t="str">
        <f ca="1">RIGHT(CELL("filename",D2),LEN(CELL("filename",D2))-FIND("]",CELL("filename",D2)))</f>
        <v>WP04 Other RB</v>
      </c>
    </row>
    <row r="3" spans="5:9" ht="20.15" customHeight="1">
      <c r="E3" s="78" t="s">
        <v>379</v>
      </c>
      <c r="F3" s="78" t="s">
        <v>381</v>
      </c>
      <c r="G3" s="78" t="s">
        <v>343</v>
      </c>
      <c r="I3" s="78" t="s">
        <v>11</v>
      </c>
    </row>
    <row r="4" spans="5:7" ht="20.15" customHeight="1">
      <c r="E4" s="78" t="s">
        <v>380</v>
      </c>
      <c r="F4" s="78" t="s">
        <v>382</v>
      </c>
      <c r="G4" s="78" t="s">
        <v>383</v>
      </c>
    </row>
    <row r="5" spans="4:7" ht="20.15" customHeight="1">
      <c r="D5" s="74" t="s">
        <v>363</v>
      </c>
      <c r="E5" s="77" t="s">
        <v>384</v>
      </c>
      <c r="F5" s="77" t="s">
        <v>179</v>
      </c>
      <c r="G5" s="77" t="s">
        <v>209</v>
      </c>
    </row>
    <row r="6" spans="1:9" ht="20.15" customHeight="1">
      <c r="A6" s="80">
        <v>1</v>
      </c>
      <c r="B6" s="83" t="s">
        <v>375</v>
      </c>
      <c r="C6" s="73">
        <f>C7-1</f>
        <v>2021</v>
      </c>
      <c r="E6" s="155"/>
      <c r="F6" s="155">
        <v>687493</v>
      </c>
      <c r="G6" s="155">
        <v>1109341</v>
      </c>
      <c r="H6" s="619"/>
      <c r="I6" s="156">
        <f>SUM(E6:G6)</f>
        <v>1796834</v>
      </c>
    </row>
    <row r="7" spans="1:9" ht="20.15" customHeight="1">
      <c r="A7" s="80">
        <v>2</v>
      </c>
      <c r="B7" s="83" t="s">
        <v>375</v>
      </c>
      <c r="C7" s="73">
        <f>'Appendix G(3) - ADIT'!C10</f>
        <v>2022</v>
      </c>
      <c r="E7" s="155"/>
      <c r="F7" s="155">
        <v>702168</v>
      </c>
      <c r="G7" s="155">
        <v>3447614.3500000001</v>
      </c>
      <c r="H7" s="619"/>
      <c r="I7" s="156">
        <f>SUM(E7:G7)</f>
        <v>4149782.3500000001</v>
      </c>
    </row>
    <row r="8" spans="5:9" ht="20.15" customHeight="1">
      <c r="E8" s="157"/>
      <c r="F8" s="157"/>
      <c r="G8" s="157"/>
      <c r="H8" s="156"/>
      <c r="I8" s="156"/>
    </row>
    <row r="9" spans="1:9" ht="20.15" customHeight="1">
      <c r="A9" s="80">
        <v>3</v>
      </c>
      <c r="B9" s="70" t="s">
        <v>374</v>
      </c>
      <c r="E9" s="157">
        <f>(E6/2)+(E7/2)</f>
        <v>0</v>
      </c>
      <c r="F9" s="157">
        <f>(F6/2)+(F7/2)</f>
        <v>694830.5</v>
      </c>
      <c r="G9" s="157">
        <f>(G6/2)+(G7/2)</f>
        <v>2278477.6749999998</v>
      </c>
      <c r="H9" s="157"/>
      <c r="I9" s="157">
        <f>(I6/2)+(I7/2)</f>
        <v>2973308.1749999998</v>
      </c>
    </row>
    <row r="11" spans="1:11" ht="20.15" customHeight="1">
      <c r="A11" s="180"/>
      <c r="D11" s="81"/>
      <c r="E11" s="701" t="s">
        <v>552</v>
      </c>
      <c r="F11" s="701"/>
      <c r="G11" s="701"/>
      <c r="H11" s="701"/>
      <c r="I11" s="701"/>
      <c r="K11" s="78" t="s">
        <v>11</v>
      </c>
    </row>
    <row r="12" spans="1:9" ht="20.15" customHeight="1">
      <c r="A12" s="180"/>
      <c r="C12" s="181" t="s">
        <v>553</v>
      </c>
      <c r="D12" s="81"/>
      <c r="E12" s="182">
        <v>228.09999999999999</v>
      </c>
      <c r="F12" s="182">
        <v>228.19999999999999</v>
      </c>
      <c r="G12" s="182">
        <v>228.30000000000001</v>
      </c>
      <c r="H12" s="182">
        <v>228.40000000000001</v>
      </c>
      <c r="I12" s="183">
        <v>242</v>
      </c>
    </row>
    <row r="13" spans="1:9" ht="20.15" customHeight="1">
      <c r="A13" s="180"/>
      <c r="D13" s="74" t="s">
        <v>363</v>
      </c>
      <c r="E13" s="77" t="s">
        <v>554</v>
      </c>
      <c r="F13" s="77" t="s">
        <v>555</v>
      </c>
      <c r="G13" s="77" t="s">
        <v>556</v>
      </c>
      <c r="H13" s="77" t="s">
        <v>557</v>
      </c>
      <c r="I13" s="77" t="s">
        <v>377</v>
      </c>
    </row>
    <row r="14" spans="1:11" ht="20.15" customHeight="1">
      <c r="A14" s="180">
        <v>4</v>
      </c>
      <c r="B14" s="83" t="s">
        <v>375</v>
      </c>
      <c r="C14" s="184">
        <f>C6</f>
        <v>2021</v>
      </c>
      <c r="E14" s="155"/>
      <c r="F14" s="155"/>
      <c r="G14" s="155"/>
      <c r="H14" s="185"/>
      <c r="I14" s="185"/>
      <c r="J14" s="156"/>
      <c r="K14" s="156">
        <f>SUM(E14:I14)</f>
        <v>0</v>
      </c>
    </row>
    <row r="15" spans="1:11" ht="20.15" customHeight="1">
      <c r="A15" s="180">
        <v>5</v>
      </c>
      <c r="B15" s="83" t="s">
        <v>375</v>
      </c>
      <c r="C15" s="184">
        <f>C14+1</f>
        <v>2022</v>
      </c>
      <c r="E15" s="155"/>
      <c r="F15" s="155"/>
      <c r="G15" s="155"/>
      <c r="H15" s="185"/>
      <c r="I15" s="185"/>
      <c r="J15" s="156"/>
      <c r="K15" s="156">
        <f>SUM(E15:I15)</f>
        <v>0</v>
      </c>
    </row>
    <row r="16" spans="1:11" ht="20.15" customHeight="1">
      <c r="A16" s="180"/>
      <c r="B16" s="83"/>
      <c r="C16" s="186"/>
      <c r="E16" s="157"/>
      <c r="F16" s="157"/>
      <c r="G16" s="157"/>
      <c r="H16" s="156"/>
      <c r="I16" s="156"/>
      <c r="J16" s="156"/>
      <c r="K16" s="156"/>
    </row>
    <row r="17" spans="1:11" ht="20.15" customHeight="1">
      <c r="A17" s="180">
        <v>6</v>
      </c>
      <c r="B17" s="70" t="s">
        <v>374</v>
      </c>
      <c r="C17" s="186"/>
      <c r="E17" s="157">
        <f>(E14/2)+(E15/2)</f>
        <v>0</v>
      </c>
      <c r="F17" s="157">
        <f>(F14/2)+(F15/2)</f>
        <v>0</v>
      </c>
      <c r="G17" s="157">
        <f>(G14/2)+(G15/2)</f>
        <v>0</v>
      </c>
      <c r="H17" s="157">
        <f>(H14/2)+(H15/2)</f>
        <v>0</v>
      </c>
      <c r="I17" s="157">
        <f>(I14/2)+(I15/2)</f>
        <v>0</v>
      </c>
      <c r="J17" s="157"/>
      <c r="K17" s="157">
        <f>(K14/2)+(K15/2)</f>
        <v>0</v>
      </c>
    </row>
    <row r="18" spans="1:1" ht="20.15" customHeight="1">
      <c r="A18" s="180"/>
    </row>
    <row r="19" spans="1:11" ht="20.15" customHeight="1">
      <c r="A19" s="180"/>
      <c r="D19" s="81"/>
      <c r="E19" s="701" t="s">
        <v>558</v>
      </c>
      <c r="F19" s="701"/>
      <c r="G19" s="701"/>
      <c r="H19" s="701"/>
      <c r="I19" s="701"/>
      <c r="K19" s="78" t="s">
        <v>11</v>
      </c>
    </row>
    <row r="20" spans="1:9" ht="20.15" customHeight="1">
      <c r="A20" s="180"/>
      <c r="C20" s="181" t="s">
        <v>553</v>
      </c>
      <c r="D20" s="81"/>
      <c r="E20" s="182">
        <v>228.09999999999999</v>
      </c>
      <c r="F20" s="182">
        <v>228.19999999999999</v>
      </c>
      <c r="G20" s="182">
        <v>228.30000000000001</v>
      </c>
      <c r="H20" s="182">
        <v>228.40000000000001</v>
      </c>
      <c r="I20" s="183">
        <v>242</v>
      </c>
    </row>
    <row r="21" spans="1:9" ht="20.15" customHeight="1">
      <c r="A21" s="180"/>
      <c r="D21" s="74" t="s">
        <v>363</v>
      </c>
      <c r="E21" s="77" t="s">
        <v>554</v>
      </c>
      <c r="F21" s="77" t="s">
        <v>555</v>
      </c>
      <c r="G21" s="77" t="s">
        <v>556</v>
      </c>
      <c r="H21" s="77" t="s">
        <v>557</v>
      </c>
      <c r="I21" s="77" t="s">
        <v>377</v>
      </c>
    </row>
    <row r="22" spans="1:11" ht="20.15" customHeight="1">
      <c r="A22" s="180">
        <v>7</v>
      </c>
      <c r="B22" s="83" t="s">
        <v>375</v>
      </c>
      <c r="C22" s="184">
        <f>C14</f>
        <v>2021</v>
      </c>
      <c r="E22" s="155"/>
      <c r="F22" s="155"/>
      <c r="G22" s="155"/>
      <c r="H22" s="185"/>
      <c r="I22" s="185"/>
      <c r="J22" s="156"/>
      <c r="K22" s="156">
        <f>SUM(E22:I22)</f>
        <v>0</v>
      </c>
    </row>
    <row r="23" spans="1:11" ht="20.15" customHeight="1">
      <c r="A23" s="180">
        <v>8</v>
      </c>
      <c r="B23" s="83" t="s">
        <v>375</v>
      </c>
      <c r="C23" s="184">
        <f>C22+1</f>
        <v>2022</v>
      </c>
      <c r="E23" s="155"/>
      <c r="F23" s="155"/>
      <c r="G23" s="155"/>
      <c r="H23" s="185"/>
      <c r="I23" s="185"/>
      <c r="J23" s="156"/>
      <c r="K23" s="156">
        <f>SUM(E23:I23)</f>
        <v>0</v>
      </c>
    </row>
    <row r="24" spans="1:11" ht="20.15" customHeight="1">
      <c r="A24" s="180"/>
      <c r="E24" s="157"/>
      <c r="F24" s="157"/>
      <c r="G24" s="157"/>
      <c r="H24" s="156"/>
      <c r="I24" s="156"/>
      <c r="J24" s="156"/>
      <c r="K24" s="156"/>
    </row>
    <row r="25" spans="1:11" ht="20.15" customHeight="1">
      <c r="A25" s="180">
        <v>9</v>
      </c>
      <c r="B25" s="70" t="s">
        <v>374</v>
      </c>
      <c r="E25" s="157">
        <f>(E22/2)+(E23/2)</f>
        <v>0</v>
      </c>
      <c r="F25" s="157">
        <f>(F22/2)+(F23/2)</f>
        <v>0</v>
      </c>
      <c r="G25" s="157">
        <f>(G22/2)+(G23/2)</f>
        <v>0</v>
      </c>
      <c r="H25" s="157">
        <f>(H22/2)+(H23/2)</f>
        <v>0</v>
      </c>
      <c r="I25" s="157">
        <f>(I22/2)+(I23/2)</f>
        <v>0</v>
      </c>
      <c r="J25" s="157"/>
      <c r="K25" s="157">
        <f>(K22/2)+(K23/2)</f>
        <v>0</v>
      </c>
    </row>
    <row r="30" spans="1:1" ht="20.15" customHeight="1">
      <c r="A30" s="70" t="s">
        <v>364</v>
      </c>
    </row>
    <row r="31" spans="1:2" ht="20.15" customHeight="1">
      <c r="A31" s="76" t="s">
        <v>363</v>
      </c>
      <c r="B31" s="70" t="s">
        <v>365</v>
      </c>
    </row>
    <row r="32" spans="1:11" s="192" customFormat="1" ht="32.15" customHeight="1">
      <c r="A32" s="191" t="s">
        <v>377</v>
      </c>
      <c r="B32" s="690" t="s">
        <v>772</v>
      </c>
      <c r="C32" s="690"/>
      <c r="D32" s="690"/>
      <c r="E32" s="690"/>
      <c r="F32" s="690"/>
      <c r="G32" s="690"/>
      <c r="H32" s="690"/>
      <c r="I32" s="690"/>
      <c r="J32" s="690"/>
      <c r="K32" s="690"/>
    </row>
    <row r="33" spans="2:2" ht="20.15" customHeight="1">
      <c r="B33" s="174"/>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mergeCells count="3">
    <mergeCell ref="E11:I11"/>
    <mergeCell ref="E19:I19"/>
    <mergeCell ref="B32:K32"/>
  </mergeCells>
  <pageMargins left="0.7" right="0.7" top="0.75" bottom="0.75" header="0.3" footer="0.3"/>
  <pageSetup orientation="portrait"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election pane="topLeft" activeCell="I4" sqref="I4"/>
    </sheetView>
  </sheetViews>
  <sheetFormatPr defaultColWidth="7.07714285714286" defaultRowHeight="12.5"/>
  <cols>
    <col min="1" max="1" width="47.8571428571429" style="13" customWidth="1"/>
    <col min="2" max="2" width="7.07142857142857" style="13" customWidth="1"/>
    <col min="3" max="3" width="2.5" style="13" customWidth="1"/>
    <col min="4" max="4" width="10.8571428571429" style="13" bestFit="1" customWidth="1"/>
    <col min="5" max="8" width="7.07142857142857" style="13" customWidth="1"/>
    <col min="9" max="9" width="13.4285714285714" style="13" customWidth="1"/>
    <col min="10" max="10" width="47.8571428571429" style="13" customWidth="1"/>
    <col min="11" max="16384" width="7.07142857142857" style="13"/>
  </cols>
  <sheetData>
    <row r="1" spans="7:10" ht="16.5" customHeight="1">
      <c r="G1" s="2"/>
      <c r="H1" s="1"/>
      <c r="J1" s="3" t="s">
        <v>306</v>
      </c>
    </row>
    <row r="2" spans="7:10" ht="16.5" customHeight="1">
      <c r="G2" s="2"/>
      <c r="H2" s="2"/>
      <c r="J2" s="3" t="s">
        <v>275</v>
      </c>
    </row>
    <row r="3" spans="7:10" ht="16.5" customHeight="1">
      <c r="G3" s="1"/>
      <c r="H3" s="2"/>
      <c r="J3" s="3" t="str">
        <f>'Attachment H-21-A ATSI '!K4</f>
        <v>For the 12 months ended 12/31/2022</v>
      </c>
    </row>
    <row r="4" spans="7:9" ht="15.5">
      <c r="G4" s="1"/>
      <c r="H4" s="2"/>
      <c r="I4" s="3"/>
    </row>
    <row r="5" spans="7:9" ht="15.5">
      <c r="G5" s="1"/>
      <c r="H5" s="2"/>
      <c r="I5" s="3"/>
    </row>
    <row r="6" spans="2:9" ht="15.75" customHeight="1">
      <c r="B6" s="668" t="s">
        <v>276</v>
      </c>
      <c r="C6" s="668"/>
      <c r="D6" s="668"/>
      <c r="E6" s="668"/>
      <c r="F6" s="668"/>
      <c r="G6" s="668"/>
      <c r="H6" s="668"/>
      <c r="I6" s="668"/>
    </row>
    <row r="7" spans="2:9" ht="15.5">
      <c r="B7" s="12"/>
      <c r="C7" s="12"/>
      <c r="D7" s="15"/>
      <c r="E7" s="15"/>
      <c r="F7" s="14"/>
      <c r="G7" s="14" t="s">
        <v>3</v>
      </c>
      <c r="H7" s="14"/>
      <c r="I7" s="14"/>
    </row>
    <row r="8" spans="2:9" ht="15.5">
      <c r="B8" s="12"/>
      <c r="C8" s="12">
        <v>1</v>
      </c>
      <c r="D8" s="19">
        <f>'Attachment H-21-A ATSI '!I216</f>
        <v>5771897</v>
      </c>
      <c r="E8" s="12" t="s">
        <v>311</v>
      </c>
      <c r="F8" s="12"/>
      <c r="G8" s="16"/>
      <c r="H8" s="16"/>
      <c r="I8" s="16"/>
    </row>
    <row r="9" spans="2:9" ht="15.5">
      <c r="B9" s="12"/>
      <c r="C9" s="12">
        <v>2</v>
      </c>
      <c r="D9" s="171">
        <v>119800.64</v>
      </c>
      <c r="E9" s="20" t="s">
        <v>227</v>
      </c>
      <c r="F9" s="16"/>
      <c r="G9" s="16"/>
      <c r="H9" s="16"/>
      <c r="I9" s="16"/>
    </row>
    <row r="10" spans="2:9" ht="15.5">
      <c r="B10" s="12"/>
      <c r="C10" s="12">
        <v>3</v>
      </c>
      <c r="D10" s="21">
        <f>D8-D9</f>
        <v>5652096.3600000003</v>
      </c>
      <c r="E10" s="16" t="s">
        <v>228</v>
      </c>
      <c r="F10" s="12"/>
      <c r="G10" s="16"/>
      <c r="H10" s="16"/>
      <c r="I10" s="16"/>
    </row>
    <row r="11" spans="2:9" ht="7.5" customHeight="1">
      <c r="B11" s="12"/>
      <c r="C11" s="12"/>
      <c r="D11" s="12"/>
      <c r="E11" s="16"/>
      <c r="F11" s="16"/>
      <c r="G11" s="16"/>
      <c r="H11" s="16"/>
      <c r="I11" s="16"/>
    </row>
    <row r="12" spans="2:9" ht="15.5">
      <c r="B12" s="12"/>
      <c r="C12" s="12">
        <v>4</v>
      </c>
      <c r="D12" s="170">
        <v>66543820.549999997</v>
      </c>
      <c r="E12" s="16" t="s">
        <v>229</v>
      </c>
      <c r="F12" s="16"/>
      <c r="G12" s="16"/>
      <c r="H12" s="16"/>
      <c r="I12" s="16"/>
    </row>
    <row r="13" spans="2:9" ht="15.5">
      <c r="B13" s="16"/>
      <c r="C13" s="12">
        <v>5</v>
      </c>
      <c r="D13" s="22">
        <f>D10/D12</f>
        <v>0.084937959877928904</v>
      </c>
      <c r="E13" s="16" t="s">
        <v>300</v>
      </c>
      <c r="F13" s="16"/>
      <c r="G13" s="16"/>
      <c r="H13" s="16"/>
      <c r="I13" s="16"/>
    </row>
    <row r="14" spans="2:9" ht="15.5">
      <c r="B14" s="16"/>
      <c r="C14" s="16"/>
      <c r="D14" s="16"/>
      <c r="E14" s="16"/>
      <c r="F14" s="16"/>
      <c r="G14" s="16"/>
      <c r="H14" s="16"/>
      <c r="I14" s="16"/>
    </row>
    <row r="15" spans="2:9" ht="15.5">
      <c r="B15" s="25" t="s">
        <v>230</v>
      </c>
      <c r="D15" s="16"/>
      <c r="E15" s="16"/>
      <c r="F15" s="16"/>
      <c r="G15" s="16"/>
      <c r="H15" s="16"/>
      <c r="I15" s="16"/>
    </row>
    <row r="16" spans="2:9" ht="45.75" customHeight="1">
      <c r="B16" s="66" t="s">
        <v>141</v>
      </c>
      <c r="C16" s="666" t="s">
        <v>327</v>
      </c>
      <c r="D16" s="667"/>
      <c r="E16" s="667"/>
      <c r="F16" s="667"/>
      <c r="G16" s="667"/>
      <c r="H16" s="667"/>
      <c r="I16" s="667"/>
    </row>
    <row r="17" spans="2:9" ht="12" customHeight="1">
      <c r="B17" s="66"/>
      <c r="C17" s="23"/>
      <c r="D17" s="24"/>
      <c r="E17" s="24"/>
      <c r="F17" s="24"/>
      <c r="G17" s="24"/>
      <c r="H17" s="24"/>
      <c r="I17" s="24"/>
    </row>
    <row r="18" spans="2:9" ht="49.5" customHeight="1">
      <c r="B18" s="66" t="s">
        <v>142</v>
      </c>
      <c r="C18" s="666" t="s">
        <v>299</v>
      </c>
      <c r="D18" s="666"/>
      <c r="E18" s="666"/>
      <c r="F18" s="666"/>
      <c r="G18" s="666"/>
      <c r="H18" s="666"/>
      <c r="I18" s="666"/>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D1" sqref="D1"/>
    </sheetView>
  </sheetViews>
  <sheetFormatPr defaultColWidth="8.91714285714286" defaultRowHeight="20.15" customHeight="1"/>
  <cols>
    <col min="1" max="1" width="2.85714285714286" style="76" customWidth="1"/>
    <col min="2" max="2" width="40.8571428571429" style="70" customWidth="1"/>
    <col min="3" max="3" width="10.8571428571429" style="75" customWidth="1"/>
    <col min="4" max="4" width="12.8571428571429" style="84" customWidth="1"/>
    <col min="5" max="7" width="12.8571428571429" style="76" customWidth="1"/>
    <col min="8" max="16384" width="8.92857142857143" style="70"/>
  </cols>
  <sheetData>
    <row r="1" spans="1:1" ht="20.15" customHeight="1">
      <c r="A1" s="79" t="str">
        <f ca="1">RIGHT(CELL("filename",D2),LEN(CELL("filename",D2))-FIND("]",CELL("filename",D2)))</f>
        <v>WP05 Other Tax</v>
      </c>
    </row>
    <row r="3" spans="2:9" ht="20.15" customHeight="1">
      <c r="B3" s="75"/>
      <c r="C3" s="77" t="s">
        <v>363</v>
      </c>
      <c r="D3" s="78"/>
      <c r="F3" s="78"/>
      <c r="G3" s="78"/>
      <c r="I3" s="78"/>
    </row>
    <row r="4" spans="1:7" ht="20.15" customHeight="1">
      <c r="A4" s="88">
        <v>1</v>
      </c>
      <c r="B4" s="81" t="s">
        <v>391</v>
      </c>
      <c r="C4" s="84"/>
      <c r="D4" s="78"/>
      <c r="F4" s="78"/>
      <c r="G4" s="78"/>
    </row>
    <row r="5" spans="1:7" ht="20.15" customHeight="1">
      <c r="A5" s="88">
        <v>2</v>
      </c>
      <c r="B5" s="248" t="s">
        <v>385</v>
      </c>
      <c r="C5" s="84" t="s">
        <v>77</v>
      </c>
      <c r="D5" s="155">
        <v>881631</v>
      </c>
      <c r="F5" s="78"/>
      <c r="G5" s="78"/>
    </row>
    <row r="6" spans="1:7" ht="20.15" customHeight="1">
      <c r="A6" s="88" t="s">
        <v>344</v>
      </c>
      <c r="B6" s="248" t="s">
        <v>386</v>
      </c>
      <c r="C6" s="84" t="s">
        <v>77</v>
      </c>
      <c r="D6" s="155"/>
      <c r="F6" s="77"/>
      <c r="G6" s="77"/>
    </row>
    <row r="7" spans="1:9" ht="20.15" customHeight="1" thickBot="1">
      <c r="A7" s="88" t="s">
        <v>345</v>
      </c>
      <c r="B7" s="248" t="s">
        <v>387</v>
      </c>
      <c r="C7" s="84" t="s">
        <v>77</v>
      </c>
      <c r="D7" s="161"/>
      <c r="I7" s="71"/>
    </row>
    <row r="8" spans="1:9" ht="20.15" customHeight="1">
      <c r="A8" s="88"/>
      <c r="B8" s="85" t="s">
        <v>395</v>
      </c>
      <c r="C8" s="84"/>
      <c r="D8" s="162">
        <f>SUM(D5:D7)</f>
        <v>881631</v>
      </c>
      <c r="I8" s="71"/>
    </row>
    <row r="9" spans="1:4" ht="20.15" customHeight="1">
      <c r="A9" s="88"/>
      <c r="B9" s="81"/>
      <c r="C9" s="84"/>
      <c r="D9" s="162"/>
    </row>
    <row r="10" spans="1:9" ht="20.15" customHeight="1">
      <c r="A10" s="88" t="s">
        <v>237</v>
      </c>
      <c r="B10" s="81" t="s">
        <v>390</v>
      </c>
      <c r="C10" s="84"/>
      <c r="D10" s="162"/>
      <c r="F10" s="82"/>
      <c r="G10" s="82"/>
      <c r="H10" s="82"/>
      <c r="I10" s="82"/>
    </row>
    <row r="11" spans="1:9" ht="20.15" customHeight="1" thickBot="1">
      <c r="A11" s="88" t="s">
        <v>239</v>
      </c>
      <c r="B11" s="248" t="s">
        <v>702</v>
      </c>
      <c r="C11" s="84" t="s">
        <v>77</v>
      </c>
      <c r="D11" s="161">
        <v>5907</v>
      </c>
      <c r="F11" s="82"/>
      <c r="G11" s="82"/>
      <c r="H11" s="82"/>
      <c r="I11" s="82"/>
    </row>
    <row r="12" spans="1:9" ht="20.15" customHeight="1">
      <c r="A12" s="88"/>
      <c r="B12" s="86" t="s">
        <v>390</v>
      </c>
      <c r="C12" s="84"/>
      <c r="D12" s="162">
        <f>SUM(D11)</f>
        <v>5907</v>
      </c>
      <c r="F12" s="82"/>
      <c r="G12" s="82"/>
      <c r="H12" s="82"/>
      <c r="I12" s="82"/>
    </row>
    <row r="13" spans="1:9" ht="20.15" customHeight="1">
      <c r="A13" s="88"/>
      <c r="B13" s="81"/>
      <c r="C13" s="84"/>
      <c r="D13" s="162"/>
      <c r="F13" s="82"/>
      <c r="G13" s="82"/>
      <c r="H13" s="82"/>
      <c r="I13" s="82"/>
    </row>
    <row r="14" spans="1:9" ht="20.15" customHeight="1">
      <c r="A14" s="88" t="s">
        <v>241</v>
      </c>
      <c r="B14" s="81" t="s">
        <v>388</v>
      </c>
      <c r="C14" s="84"/>
      <c r="D14" s="162"/>
      <c r="F14" s="82"/>
      <c r="G14" s="82"/>
      <c r="H14" s="82"/>
      <c r="I14" s="82"/>
    </row>
    <row r="15" spans="1:9" ht="20.15" customHeight="1">
      <c r="A15" s="88" t="s">
        <v>245</v>
      </c>
      <c r="B15" s="248" t="s">
        <v>504</v>
      </c>
      <c r="C15" s="84" t="s">
        <v>77</v>
      </c>
      <c r="D15" s="155">
        <v>232546876</v>
      </c>
      <c r="F15" s="82"/>
      <c r="G15" s="82"/>
      <c r="H15" s="82"/>
      <c r="I15" s="82"/>
    </row>
    <row r="16" spans="1:9" ht="20.15" customHeight="1">
      <c r="A16" s="88" t="s">
        <v>246</v>
      </c>
      <c r="B16" s="248" t="s">
        <v>505</v>
      </c>
      <c r="C16" s="84" t="s">
        <v>77</v>
      </c>
      <c r="D16" s="155">
        <v>37870</v>
      </c>
      <c r="F16" s="82"/>
      <c r="G16" s="82"/>
      <c r="H16" s="82"/>
      <c r="I16" s="82"/>
    </row>
    <row r="17" spans="1:9" ht="20.15" customHeight="1" thickBot="1">
      <c r="A17" s="88" t="s">
        <v>248</v>
      </c>
      <c r="B17" s="248" t="s">
        <v>700</v>
      </c>
      <c r="C17" s="84" t="s">
        <v>77</v>
      </c>
      <c r="D17" s="161">
        <v>3788</v>
      </c>
      <c r="F17" s="82"/>
      <c r="G17" s="82"/>
      <c r="H17" s="82"/>
      <c r="I17" s="82"/>
    </row>
    <row r="18" spans="1:9" ht="20.15" customHeight="1">
      <c r="A18" s="88"/>
      <c r="B18" s="86" t="s">
        <v>388</v>
      </c>
      <c r="C18" s="84"/>
      <c r="D18" s="162">
        <f>SUM(D15:D17)</f>
        <v>232588534</v>
      </c>
      <c r="F18" s="82"/>
      <c r="G18" s="82"/>
      <c r="H18" s="82"/>
      <c r="I18" s="82"/>
    </row>
    <row r="19" spans="1:9" ht="20.15" customHeight="1">
      <c r="A19" s="88"/>
      <c r="B19" s="81"/>
      <c r="C19" s="84"/>
      <c r="D19" s="162"/>
      <c r="F19" s="82"/>
      <c r="G19" s="82"/>
      <c r="H19" s="82"/>
      <c r="I19" s="82"/>
    </row>
    <row r="20" spans="1:9" ht="20.15" customHeight="1">
      <c r="A20" s="88" t="s">
        <v>250</v>
      </c>
      <c r="B20" s="81" t="s">
        <v>389</v>
      </c>
      <c r="C20" s="70"/>
      <c r="D20" s="162"/>
      <c r="F20" s="82"/>
      <c r="G20" s="82"/>
      <c r="H20" s="82"/>
      <c r="I20" s="82"/>
    </row>
    <row r="21" spans="1:9" ht="20.15" customHeight="1" thickBot="1">
      <c r="A21" s="88" t="s">
        <v>252</v>
      </c>
      <c r="B21" s="248" t="s">
        <v>389</v>
      </c>
      <c r="C21" s="84" t="s">
        <v>77</v>
      </c>
      <c r="D21" s="161">
        <v>254282</v>
      </c>
      <c r="F21" s="82"/>
      <c r="G21" s="82"/>
      <c r="H21" s="82"/>
      <c r="I21" s="82"/>
    </row>
    <row r="22" spans="1:9" ht="20.15" customHeight="1">
      <c r="A22" s="88"/>
      <c r="B22" s="86" t="s">
        <v>389</v>
      </c>
      <c r="C22" s="70"/>
      <c r="D22" s="156">
        <f>SUM(D21:D21)</f>
        <v>254282</v>
      </c>
      <c r="F22" s="82"/>
      <c r="G22" s="82"/>
      <c r="H22" s="82"/>
      <c r="I22" s="82"/>
    </row>
    <row r="23" spans="1:9" ht="20.15" customHeight="1">
      <c r="A23" s="88"/>
      <c r="B23" s="81"/>
      <c r="C23" s="84"/>
      <c r="D23" s="162"/>
      <c r="F23" s="82"/>
      <c r="G23" s="82"/>
      <c r="H23" s="82"/>
      <c r="I23" s="82"/>
    </row>
    <row r="24" spans="1:9" ht="20.15" customHeight="1">
      <c r="A24" s="88" t="s">
        <v>346</v>
      </c>
      <c r="B24" s="81" t="s">
        <v>392</v>
      </c>
      <c r="C24" s="84"/>
      <c r="D24" s="162"/>
      <c r="F24" s="82"/>
      <c r="G24" s="82"/>
      <c r="H24" s="82"/>
      <c r="I24" s="82"/>
    </row>
    <row r="25" spans="1:9" ht="20.15" customHeight="1">
      <c r="A25" s="88" t="s">
        <v>347</v>
      </c>
      <c r="B25" s="249" t="s">
        <v>393</v>
      </c>
      <c r="C25" s="84" t="s">
        <v>77</v>
      </c>
      <c r="D25" s="155"/>
      <c r="F25" s="82"/>
      <c r="G25" s="82"/>
      <c r="H25" s="82"/>
      <c r="I25" s="82"/>
    </row>
    <row r="26" spans="1:9" ht="20.15" customHeight="1">
      <c r="A26" s="88" t="s">
        <v>348</v>
      </c>
      <c r="B26" s="249" t="s">
        <v>394</v>
      </c>
      <c r="C26" s="84" t="s">
        <v>77</v>
      </c>
      <c r="D26" s="155">
        <v>-27832</v>
      </c>
      <c r="F26" s="82"/>
      <c r="G26" s="82"/>
      <c r="H26" s="82"/>
      <c r="I26" s="82"/>
    </row>
    <row r="27" spans="1:4" ht="20.15" customHeight="1" thickBot="1">
      <c r="A27" s="88" t="s">
        <v>349</v>
      </c>
      <c r="B27" s="249" t="s">
        <v>701</v>
      </c>
      <c r="C27" s="84" t="s">
        <v>77</v>
      </c>
      <c r="D27" s="161"/>
    </row>
    <row r="28" spans="1:4" ht="20.15" customHeight="1">
      <c r="A28" s="88"/>
      <c r="B28" s="86" t="s">
        <v>392</v>
      </c>
      <c r="C28" s="84"/>
      <c r="D28" s="162">
        <f>SUM(D25:D27)</f>
        <v>-27832</v>
      </c>
    </row>
    <row r="29" spans="1:4" ht="20.15" customHeight="1">
      <c r="A29" s="88"/>
      <c r="B29" s="75"/>
      <c r="C29" s="84"/>
      <c r="D29" s="162"/>
    </row>
    <row r="30" spans="1:4" ht="20.15" customHeight="1">
      <c r="A30" s="88" t="s">
        <v>350</v>
      </c>
      <c r="B30" s="81" t="s">
        <v>396</v>
      </c>
      <c r="C30" s="84"/>
      <c r="D30" s="155">
        <v>0</v>
      </c>
    </row>
    <row r="36" spans="1:2" ht="20.15" customHeight="1">
      <c r="A36" s="70" t="s">
        <v>364</v>
      </c>
      <c r="B36" s="75"/>
    </row>
    <row r="37" spans="1:9" s="84" customFormat="1" ht="20.15"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G1" sqref="G1"/>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9" width="12.8571428571429" style="76" customWidth="1"/>
    <col min="10" max="11" width="8.92857142857143" style="70"/>
    <col min="12" max="13" width="13.5" style="70" bestFit="1" customWidth="1"/>
    <col min="14" max="16384" width="8.92857142857143" style="70"/>
  </cols>
  <sheetData>
    <row r="1" spans="1:1" ht="20.15" customHeight="1">
      <c r="A1" s="79" t="str">
        <f ca="1">RIGHT(CELL("filename",D2),LEN(CELL("filename",D2))-FIND("]",CELL("filename",D2)))</f>
        <v>WP06 Cap Structure</v>
      </c>
    </row>
    <row r="2" spans="5:9" ht="20.15" customHeight="1">
      <c r="E2" s="87" t="s">
        <v>27</v>
      </c>
      <c r="F2" s="87" t="s">
        <v>28</v>
      </c>
      <c r="G2" s="87" t="s">
        <v>29</v>
      </c>
      <c r="H2" s="87" t="s">
        <v>30</v>
      </c>
      <c r="I2" s="87" t="s">
        <v>31</v>
      </c>
    </row>
    <row r="3" spans="5:9" ht="20.15" customHeight="1">
      <c r="E3" s="78" t="s">
        <v>397</v>
      </c>
      <c r="F3" s="78" t="s">
        <v>399</v>
      </c>
      <c r="G3" s="78" t="s">
        <v>400</v>
      </c>
      <c r="H3" s="78" t="s">
        <v>122</v>
      </c>
      <c r="I3" s="78" t="s">
        <v>401</v>
      </c>
    </row>
    <row r="4" spans="5:9" ht="20.15" customHeight="1">
      <c r="E4" s="78" t="s">
        <v>398</v>
      </c>
      <c r="F4" s="78"/>
      <c r="G4" s="78"/>
      <c r="H4" s="78"/>
      <c r="I4" s="78"/>
    </row>
    <row r="5" spans="4:9" ht="20.15" customHeight="1">
      <c r="D5" s="74" t="s">
        <v>363</v>
      </c>
      <c r="E5" s="77" t="s">
        <v>402</v>
      </c>
      <c r="F5" s="77" t="s">
        <v>403</v>
      </c>
      <c r="G5" s="77" t="s">
        <v>404</v>
      </c>
      <c r="H5" s="77" t="s">
        <v>592</v>
      </c>
      <c r="I5" s="80" t="s">
        <v>405</v>
      </c>
    </row>
    <row r="6" spans="1:9" ht="20.15" customHeight="1">
      <c r="A6" s="80">
        <v>1</v>
      </c>
      <c r="B6" s="70" t="s">
        <v>332</v>
      </c>
      <c r="C6" s="184">
        <f>'WP01 Plant'!C6</f>
        <v>2021</v>
      </c>
      <c r="D6" s="74"/>
      <c r="E6" s="155">
        <v>1945148413</v>
      </c>
      <c r="F6" s="155"/>
      <c r="G6" s="155"/>
      <c r="H6" s="162">
        <f t="shared" si="0" ref="H6:H18">E6-F6-G6</f>
        <v>1945148413</v>
      </c>
      <c r="I6" s="155">
        <v>1500000000</v>
      </c>
    </row>
    <row r="7" spans="1:9" ht="20.15" customHeight="1">
      <c r="A7" s="80">
        <v>2</v>
      </c>
      <c r="B7" s="70" t="s">
        <v>333</v>
      </c>
      <c r="C7" s="73">
        <f>C6+1</f>
        <v>2022</v>
      </c>
      <c r="E7" s="155">
        <v>1963119886.6699998</v>
      </c>
      <c r="F7" s="155"/>
      <c r="G7" s="155"/>
      <c r="H7" s="162">
        <f t="shared" si="0"/>
        <v>1963119886.6699998</v>
      </c>
      <c r="I7" s="155">
        <v>1500000000</v>
      </c>
    </row>
    <row r="8" spans="1:9" ht="20.15" customHeight="1">
      <c r="A8" s="80">
        <v>3</v>
      </c>
      <c r="B8" s="70" t="s">
        <v>334</v>
      </c>
      <c r="C8" s="73">
        <f>C7</f>
        <v>2022</v>
      </c>
      <c r="E8" s="155">
        <v>2181108068.1399999</v>
      </c>
      <c r="F8" s="155"/>
      <c r="G8" s="155"/>
      <c r="H8" s="162">
        <f t="shared" si="0"/>
        <v>2181108068.1399999</v>
      </c>
      <c r="I8" s="155">
        <v>1500000000</v>
      </c>
    </row>
    <row r="9" spans="1:9" ht="20.15" customHeight="1">
      <c r="A9" s="80">
        <v>4</v>
      </c>
      <c r="B9" s="70" t="s">
        <v>335</v>
      </c>
      <c r="C9" s="73">
        <f t="shared" si="1" ref="C9:C18">C8</f>
        <v>2022</v>
      </c>
      <c r="E9" s="155">
        <v>2200011624</v>
      </c>
      <c r="F9" s="155"/>
      <c r="G9" s="155"/>
      <c r="H9" s="162">
        <f t="shared" si="0"/>
        <v>2200011624</v>
      </c>
      <c r="I9" s="155">
        <v>1500000000</v>
      </c>
    </row>
    <row r="10" spans="1:9" ht="20.15" customHeight="1">
      <c r="A10" s="80">
        <v>5</v>
      </c>
      <c r="B10" s="70" t="s">
        <v>336</v>
      </c>
      <c r="C10" s="73">
        <f t="shared" si="1"/>
        <v>2022</v>
      </c>
      <c r="E10" s="155">
        <v>2218290364.1000004</v>
      </c>
      <c r="F10" s="155"/>
      <c r="G10" s="155"/>
      <c r="H10" s="162">
        <f t="shared" si="0"/>
        <v>2218290364.1000004</v>
      </c>
      <c r="I10" s="155">
        <v>1500000000</v>
      </c>
    </row>
    <row r="11" spans="1:9" ht="20.15" customHeight="1">
      <c r="A11" s="80">
        <v>6</v>
      </c>
      <c r="B11" s="70" t="s">
        <v>337</v>
      </c>
      <c r="C11" s="73">
        <f t="shared" si="1"/>
        <v>2022</v>
      </c>
      <c r="E11" s="155">
        <v>2236890598.1100001</v>
      </c>
      <c r="F11" s="155"/>
      <c r="G11" s="155"/>
      <c r="H11" s="162">
        <f t="shared" si="0"/>
        <v>2236890598.1100001</v>
      </c>
      <c r="I11" s="155">
        <v>1500000000</v>
      </c>
    </row>
    <row r="12" spans="1:9" ht="20.15" customHeight="1">
      <c r="A12" s="80">
        <v>7</v>
      </c>
      <c r="B12" s="70" t="s">
        <v>353</v>
      </c>
      <c r="C12" s="73">
        <f t="shared" si="1"/>
        <v>2022</v>
      </c>
      <c r="E12" s="155">
        <v>2259251500</v>
      </c>
      <c r="F12" s="155"/>
      <c r="G12" s="155"/>
      <c r="H12" s="162">
        <f t="shared" si="0"/>
        <v>2259251500</v>
      </c>
      <c r="I12" s="155">
        <v>1500000000</v>
      </c>
    </row>
    <row r="13" spans="1:9" ht="20.15" customHeight="1">
      <c r="A13" s="80">
        <v>8</v>
      </c>
      <c r="B13" s="70" t="s">
        <v>338</v>
      </c>
      <c r="C13" s="73">
        <f t="shared" si="1"/>
        <v>2022</v>
      </c>
      <c r="E13" s="155">
        <v>2279087308.1199903</v>
      </c>
      <c r="F13" s="155"/>
      <c r="G13" s="155"/>
      <c r="H13" s="162">
        <f t="shared" si="0"/>
        <v>2279087308.1199903</v>
      </c>
      <c r="I13" s="155">
        <v>1500000000</v>
      </c>
    </row>
    <row r="14" spans="1:9" ht="20.15" customHeight="1">
      <c r="A14" s="80">
        <v>9</v>
      </c>
      <c r="B14" s="70" t="s">
        <v>339</v>
      </c>
      <c r="C14" s="73">
        <f t="shared" si="1"/>
        <v>2022</v>
      </c>
      <c r="E14" s="155">
        <v>2310667145.21</v>
      </c>
      <c r="F14" s="155"/>
      <c r="G14" s="155"/>
      <c r="H14" s="162">
        <f t="shared" si="0"/>
        <v>2310667145.21</v>
      </c>
      <c r="I14" s="155">
        <v>1500000000</v>
      </c>
    </row>
    <row r="15" spans="1:9" ht="20.15" customHeight="1">
      <c r="A15" s="80">
        <v>10</v>
      </c>
      <c r="B15" s="70" t="s">
        <v>340</v>
      </c>
      <c r="C15" s="73">
        <f t="shared" si="1"/>
        <v>2022</v>
      </c>
      <c r="E15" s="155">
        <v>2309682705</v>
      </c>
      <c r="F15" s="155"/>
      <c r="G15" s="155"/>
      <c r="H15" s="162">
        <f t="shared" si="0"/>
        <v>2309682705</v>
      </c>
      <c r="I15" s="155">
        <v>1500000000</v>
      </c>
    </row>
    <row r="16" spans="1:9" ht="20.15" customHeight="1">
      <c r="A16" s="80">
        <v>11</v>
      </c>
      <c r="B16" s="70" t="s">
        <v>342</v>
      </c>
      <c r="C16" s="73">
        <f t="shared" si="1"/>
        <v>2022</v>
      </c>
      <c r="E16" s="155">
        <v>2330561773.1199999</v>
      </c>
      <c r="F16" s="155"/>
      <c r="G16" s="155"/>
      <c r="H16" s="162">
        <f t="shared" si="0"/>
        <v>2330561773.1199999</v>
      </c>
      <c r="I16" s="155">
        <v>1500000000</v>
      </c>
    </row>
    <row r="17" spans="1:9" ht="20.15" customHeight="1">
      <c r="A17" s="80">
        <v>12</v>
      </c>
      <c r="B17" s="70" t="s">
        <v>341</v>
      </c>
      <c r="C17" s="73">
        <f t="shared" si="1"/>
        <v>2022</v>
      </c>
      <c r="E17" s="155">
        <v>2350616241.3800001</v>
      </c>
      <c r="F17" s="155"/>
      <c r="G17" s="155"/>
      <c r="H17" s="162">
        <f t="shared" si="0"/>
        <v>2350616241.3800001</v>
      </c>
      <c r="I17" s="155">
        <v>1500000000</v>
      </c>
    </row>
    <row r="18" spans="1:9" ht="20.15" customHeight="1">
      <c r="A18" s="80">
        <v>13</v>
      </c>
      <c r="B18" s="70" t="s">
        <v>332</v>
      </c>
      <c r="C18" s="73">
        <f t="shared" si="1"/>
        <v>2022</v>
      </c>
      <c r="E18" s="155">
        <v>2247905189</v>
      </c>
      <c r="F18" s="155"/>
      <c r="G18" s="155"/>
      <c r="H18" s="162">
        <f t="shared" si="0"/>
        <v>2247905189</v>
      </c>
      <c r="I18" s="155">
        <v>1500000000</v>
      </c>
    </row>
    <row r="19" spans="1:9" ht="20.15" customHeight="1">
      <c r="A19" s="70"/>
      <c r="E19" s="157"/>
      <c r="F19" s="157"/>
      <c r="G19" s="157"/>
      <c r="H19" s="157"/>
      <c r="I19" s="157"/>
    </row>
    <row r="20" spans="1:9" ht="20.15" customHeight="1">
      <c r="A20" s="80">
        <v>14</v>
      </c>
      <c r="B20" s="70" t="s">
        <v>362</v>
      </c>
      <c r="E20" s="157">
        <f>SUM(E6:E18)/13</f>
        <v>2217872370.4499993</v>
      </c>
      <c r="F20" s="157">
        <f>SUM(F6:F18)/13</f>
        <v>0</v>
      </c>
      <c r="G20" s="157">
        <f>SUM(G6:G18)/13</f>
        <v>0</v>
      </c>
      <c r="H20" s="157">
        <f>SUM(H6:H18)/13</f>
        <v>2217872370.4499993</v>
      </c>
      <c r="I20" s="157">
        <f>SUM(I6:I18)/13</f>
        <v>1500000000</v>
      </c>
    </row>
    <row r="21" spans="1:1" ht="20.15" customHeight="1">
      <c r="A21" s="80"/>
    </row>
    <row r="26" spans="1:1" ht="20.15" customHeight="1">
      <c r="A26" s="70" t="s">
        <v>364</v>
      </c>
    </row>
    <row r="27" spans="1:8" ht="20.15"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P45" sqref="P45"/>
    </sheetView>
  </sheetViews>
  <sheetFormatPr defaultColWidth="8.91714285714286" defaultRowHeight="12.5"/>
  <cols>
    <col min="1" max="16384" width="8.92857142857143" style="164"/>
  </cols>
  <sheetData>
    <row r="1" spans="1:1" ht="15.5">
      <c r="A1" s="79" t="str">
        <f ca="1">RIGHT(CELL("filename",D2),LEN(CELL("filename",D2))-FIND("]",CELL("filename",D2)))</f>
        <v>WP07 Stated-value Inputs</v>
      </c>
    </row>
    <row r="2" spans="1:1" ht="13">
      <c r="A2" s="165"/>
    </row>
    <row r="3" spans="1:1" ht="13">
      <c r="A3" s="165" t="s">
        <v>507</v>
      </c>
    </row>
    <row r="4" spans="1:1" ht="13">
      <c r="A4" s="187" t="s">
        <v>559</v>
      </c>
    </row>
    <row r="5" spans="1:1" ht="13">
      <c r="A5" s="165"/>
    </row>
    <row r="7" spans="1:1" ht="13">
      <c r="A7" s="165" t="s">
        <v>508</v>
      </c>
    </row>
    <row r="9" spans="1:9" ht="39" customHeight="1">
      <c r="A9" s="702" t="s">
        <v>560</v>
      </c>
      <c r="B9" s="703"/>
      <c r="C9" s="703"/>
      <c r="D9" s="703"/>
      <c r="E9" s="703"/>
      <c r="F9" s="703"/>
      <c r="G9" s="703"/>
      <c r="H9" s="703"/>
      <c r="I9" s="703"/>
    </row>
    <row r="12" spans="1:1" ht="13">
      <c r="A12" s="165" t="s">
        <v>509</v>
      </c>
    </row>
    <row r="13" spans="1:2" ht="13">
      <c r="A13" s="165"/>
      <c r="B13" s="166" t="s">
        <v>510</v>
      </c>
    </row>
    <row r="15" spans="1:15" s="167" customFormat="1" ht="45" customHeight="1">
      <c r="A15" s="704" t="s">
        <v>514</v>
      </c>
      <c r="B15" s="704"/>
      <c r="C15" s="704"/>
      <c r="D15" s="704"/>
      <c r="E15" s="704"/>
      <c r="F15" s="704"/>
      <c r="G15" s="704"/>
      <c r="H15" s="704"/>
      <c r="I15" s="704"/>
      <c r="J15" s="169"/>
      <c r="K15" s="169"/>
      <c r="L15" s="169"/>
      <c r="M15" s="169"/>
      <c r="N15" s="169"/>
      <c r="O15" s="169"/>
    </row>
    <row r="18" spans="1:1" ht="13">
      <c r="A18" s="165" t="s">
        <v>511</v>
      </c>
    </row>
    <row r="19" spans="1:1" ht="13">
      <c r="A19" s="165"/>
    </row>
    <row r="20" spans="1:3" ht="12.5">
      <c r="A20" s="164" t="s">
        <v>512</v>
      </c>
      <c r="C20" s="164" t="s">
        <v>513</v>
      </c>
    </row>
    <row r="21" spans="1:3" ht="12.5">
      <c r="A21" s="164">
        <v>352</v>
      </c>
      <c r="C21" s="168">
        <v>0.0224</v>
      </c>
    </row>
    <row r="22" spans="1:3" ht="12.5">
      <c r="A22" s="164">
        <v>353</v>
      </c>
      <c r="C22" s="168">
        <v>0.0206</v>
      </c>
    </row>
    <row r="23" spans="1:3" ht="12.5">
      <c r="A23" s="164">
        <v>354</v>
      </c>
      <c r="C23" s="168">
        <v>0.0224</v>
      </c>
    </row>
    <row r="24" spans="1:3" ht="12.5">
      <c r="A24" s="164">
        <v>355</v>
      </c>
      <c r="C24" s="168">
        <v>0.0309</v>
      </c>
    </row>
    <row r="25" spans="1:3" ht="12.5">
      <c r="A25" s="164">
        <v>356</v>
      </c>
      <c r="C25" s="168">
        <v>0.0269</v>
      </c>
    </row>
    <row r="26" spans="1:3" ht="12.5">
      <c r="A26" s="164">
        <v>357</v>
      </c>
      <c r="C26" s="168">
        <v>0.02</v>
      </c>
    </row>
    <row r="27" spans="1:3" ht="12.5">
      <c r="A27" s="164">
        <v>358</v>
      </c>
      <c r="C27" s="168">
        <v>0.020400000000000001</v>
      </c>
    </row>
    <row r="28" spans="1:3" ht="12.5">
      <c r="A28" s="164">
        <v>359</v>
      </c>
      <c r="C28" s="168">
        <v>0.013299999999999999</v>
      </c>
    </row>
  </sheetData>
  <mergeCells count="2">
    <mergeCell ref="A9:I9"/>
    <mergeCell ref="A15:I15"/>
  </mergeCells>
  <pageMargins left="0.7" right="0.7" top="0.75" bottom="0.75" header="0.3" footer="0.3"/>
  <pageSetup orientation="portrait"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G16"/>
  <sheetViews>
    <sheetView view="pageBreakPreview" zoomScale="85" zoomScaleNormal="100" zoomScaleSheetLayoutView="85" workbookViewId="0" topLeftCell="A1">
      <selection pane="topLeft" activeCell="E2" sqref="E2"/>
    </sheetView>
  </sheetViews>
  <sheetFormatPr defaultColWidth="8.91714285714286" defaultRowHeight="12.5"/>
  <cols>
    <col min="1" max="1" width="8.92857142857143" style="193"/>
    <col min="2" max="2" width="2.85714285714286" style="193" customWidth="1"/>
    <col min="3" max="3" width="25.1428571428571" style="193" customWidth="1"/>
    <col min="4" max="6" width="15.8571428571429" style="193" customWidth="1"/>
    <col min="7" max="7" width="16.8571428571429" style="193" customWidth="1"/>
    <col min="8" max="16384" width="8.92857142857143" style="193"/>
  </cols>
  <sheetData>
    <row r="1" spans="1:2" ht="15.5">
      <c r="A1" s="79" t="str">
        <f ca="1">RIGHT(CELL("filename",E2),LEN(CELL("filename",E2))-FIND("]",CELL("filename",E2)))</f>
        <v>WP08 Tax Rates</v>
      </c>
      <c r="B1" s="79"/>
    </row>
    <row r="2" spans="1:2" ht="13">
      <c r="A2" s="194"/>
      <c r="B2" s="194"/>
    </row>
    <row r="4" spans="2:7" ht="13.5" thickBot="1">
      <c r="B4" s="195" t="s">
        <v>585</v>
      </c>
      <c r="C4" s="195"/>
      <c r="D4" s="195"/>
      <c r="E4" s="195"/>
      <c r="F4" s="195"/>
      <c r="G4" s="195"/>
    </row>
    <row r="6" spans="3:4" ht="12.5">
      <c r="C6" s="193" t="s">
        <v>581</v>
      </c>
      <c r="D6" s="196">
        <v>0.20999999999999999</v>
      </c>
    </row>
    <row r="7" spans="3:3" ht="25">
      <c r="C7" s="197" t="s">
        <v>586</v>
      </c>
    </row>
    <row r="8" spans="3:3" ht="12.5">
      <c r="C8" s="197"/>
    </row>
    <row r="9" spans="3:3" ht="12.5">
      <c r="C9" s="197"/>
    </row>
    <row r="10" spans="2:7" ht="13.5" thickBot="1">
      <c r="B10" s="195" t="s">
        <v>587</v>
      </c>
      <c r="C10" s="195"/>
      <c r="D10" s="195"/>
      <c r="E10" s="195"/>
      <c r="F10" s="195"/>
      <c r="G10" s="195"/>
    </row>
    <row r="11" spans="2:7" ht="13">
      <c r="B11" s="194"/>
      <c r="C11" s="194"/>
      <c r="D11" s="194"/>
      <c r="E11" s="194"/>
      <c r="F11" s="194"/>
      <c r="G11" s="194"/>
    </row>
    <row r="12" spans="4:7" ht="12.5">
      <c r="D12" s="198" t="s">
        <v>588</v>
      </c>
      <c r="E12" s="198" t="s">
        <v>589</v>
      </c>
      <c r="F12" s="198" t="s">
        <v>590</v>
      </c>
      <c r="G12" s="198" t="s">
        <v>591</v>
      </c>
    </row>
    <row r="13" spans="4:7" ht="25">
      <c r="D13" s="198"/>
      <c r="E13" s="198"/>
      <c r="F13" s="198"/>
      <c r="G13" s="199" t="s">
        <v>586</v>
      </c>
    </row>
    <row r="14" spans="3:6" ht="12.5">
      <c r="C14" s="193" t="s">
        <v>583</v>
      </c>
      <c r="D14" s="196">
        <v>0.022161230000000001</v>
      </c>
      <c r="E14" s="196">
        <v>0.099900000000000003</v>
      </c>
      <c r="F14" s="196">
        <v>0.065000000000000002</v>
      </c>
    </row>
    <row r="15" spans="3:6" ht="12.5">
      <c r="C15" s="193" t="s">
        <v>584</v>
      </c>
      <c r="D15" s="196">
        <v>0.43881599999999998</v>
      </c>
      <c r="E15" s="196">
        <v>0.066500000000000004</v>
      </c>
      <c r="F15" s="196">
        <v>0</v>
      </c>
    </row>
    <row r="16" spans="3:7" ht="13" thickBot="1">
      <c r="C16" s="193" t="s">
        <v>582</v>
      </c>
      <c r="D16" s="200">
        <f>D14*D15</f>
        <v>0.0097247023036799995</v>
      </c>
      <c r="E16" s="200">
        <f t="shared" si="0" ref="E16:F16">E14*E15</f>
        <v>0.0066433500000000001</v>
      </c>
      <c r="F16" s="200">
        <f t="shared" si="0"/>
        <v>0</v>
      </c>
      <c r="G16" s="200">
        <f>SUM(D16:F16)</f>
        <v>0.016368052303679999</v>
      </c>
    </row>
    <row r="17" ht="13" thickTop="1"/>
  </sheetData>
  <pageMargins left="0.7" right="0.7" top="0.75" bottom="0.75" header="0.3" footer="0.3"/>
  <pageSetup orientation="portrait"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29"/>
  <sheetViews>
    <sheetView view="pageBreakPreview" zoomScale="70" zoomScaleNormal="65" zoomScaleSheetLayoutView="70" workbookViewId="0" topLeftCell="A1">
      <selection pane="topLeft" activeCell="B5" sqref="B5:J5"/>
    </sheetView>
  </sheetViews>
  <sheetFormatPr defaultColWidth="8.91714285714286" defaultRowHeight="15.5"/>
  <cols>
    <col min="1" max="1" width="5.35714285714286" style="51" bestFit="1" customWidth="1"/>
    <col min="2" max="2" width="15.8571428571429" style="11" customWidth="1"/>
    <col min="3" max="3" width="5.85714285714286" style="209" customWidth="1"/>
    <col min="4" max="4" width="31.9285714285714" style="1" bestFit="1" customWidth="1"/>
    <col min="5" max="5" width="4.85714285714286" style="26" customWidth="1"/>
    <col min="6" max="6" width="18.8571428571429" style="209" customWidth="1"/>
    <col min="7" max="10" width="18.8571428571429" style="1" customWidth="1"/>
    <col min="11" max="11" width="4.85714285714286" style="1" customWidth="1"/>
    <col min="12" max="16384" width="8.92857142857143" style="1"/>
  </cols>
  <sheetData>
    <row r="1" spans="1:11" ht="15.5">
      <c r="A1" s="313"/>
      <c r="B1" s="313"/>
      <c r="C1" s="313"/>
      <c r="D1" s="313"/>
      <c r="K1" s="3" t="s">
        <v>461</v>
      </c>
    </row>
    <row r="2" spans="1:11" ht="15.5">
      <c r="A2" s="313"/>
      <c r="B2" s="313"/>
      <c r="C2" s="313"/>
      <c r="D2" s="313"/>
      <c r="K2" s="3" t="s">
        <v>275</v>
      </c>
    </row>
    <row r="3" spans="1:11" ht="15.5">
      <c r="A3" s="313"/>
      <c r="B3" s="313"/>
      <c r="C3" s="313"/>
      <c r="D3" s="313"/>
      <c r="K3" s="3" t="str">
        <f>'Attachment H-21-A ATSI '!K4</f>
        <v>For the 12 months ended 12/31/2022</v>
      </c>
    </row>
    <row r="5" spans="2:10" ht="15.5">
      <c r="B5" s="669" t="s">
        <v>621</v>
      </c>
      <c r="C5" s="669"/>
      <c r="D5" s="669"/>
      <c r="E5" s="669"/>
      <c r="F5" s="669"/>
      <c r="G5" s="669"/>
      <c r="H5" s="669"/>
      <c r="I5" s="669"/>
      <c r="J5" s="669"/>
    </row>
    <row r="6" spans="2:10" ht="15.5">
      <c r="B6" s="670" t="s">
        <v>312</v>
      </c>
      <c r="C6" s="670"/>
      <c r="D6" s="670"/>
      <c r="E6" s="670"/>
      <c r="F6" s="670"/>
      <c r="G6" s="670"/>
      <c r="H6" s="670"/>
      <c r="I6" s="670"/>
      <c r="J6" s="670"/>
    </row>
    <row r="8" spans="1:10" s="32" customFormat="1" ht="15.5">
      <c r="A8" s="51"/>
      <c r="B8" s="7" t="s">
        <v>363</v>
      </c>
      <c r="C8" s="51" t="s">
        <v>377</v>
      </c>
      <c r="D8" s="32" t="s">
        <v>506</v>
      </c>
      <c r="E8" s="26"/>
      <c r="F8" s="32" t="s">
        <v>547</v>
      </c>
      <c r="G8" s="51" t="s">
        <v>550</v>
      </c>
      <c r="H8" s="32" t="s">
        <v>611</v>
      </c>
      <c r="I8" s="32" t="s">
        <v>612</v>
      </c>
      <c r="J8" s="32" t="s">
        <v>613</v>
      </c>
    </row>
    <row r="9" spans="2:10" s="211" customFormat="1" ht="65.15" customHeight="1">
      <c r="B9" s="211" t="s">
        <v>601</v>
      </c>
      <c r="D9" s="211" t="s">
        <v>602</v>
      </c>
      <c r="E9" s="213"/>
      <c r="F9" s="212" t="s">
        <v>605</v>
      </c>
      <c r="G9" s="211" t="s">
        <v>606</v>
      </c>
      <c r="H9" s="211" t="s">
        <v>607</v>
      </c>
      <c r="I9" s="211" t="s">
        <v>608</v>
      </c>
      <c r="J9" s="211" t="s">
        <v>609</v>
      </c>
    </row>
    <row r="10" spans="5:10" s="211" customFormat="1" ht="15.5">
      <c r="E10" s="213"/>
      <c r="F10" s="212"/>
      <c r="G10" s="254" t="s">
        <v>646</v>
      </c>
      <c r="H10" s="254" t="s">
        <v>647</v>
      </c>
      <c r="I10" s="254"/>
      <c r="J10" s="254" t="s">
        <v>651</v>
      </c>
    </row>
    <row r="11" spans="1:11" ht="15.5">
      <c r="A11" s="51">
        <v>1</v>
      </c>
      <c r="B11" s="11" t="s">
        <v>332</v>
      </c>
      <c r="C11" s="210">
        <v>2021</v>
      </c>
      <c r="D11" s="1" t="s">
        <v>603</v>
      </c>
      <c r="F11" s="214">
        <v>109</v>
      </c>
      <c r="G11" s="149"/>
      <c r="H11" s="149"/>
      <c r="I11" s="149"/>
      <c r="J11" s="163">
        <v>8411237.9999999925</v>
      </c>
      <c r="K11" s="152"/>
    </row>
    <row r="12" spans="1:10" ht="15.5">
      <c r="A12" s="51">
        <v>2</v>
      </c>
      <c r="B12" s="11" t="s">
        <v>333</v>
      </c>
      <c r="C12" s="210">
        <f>C11+1</f>
        <v>2022</v>
      </c>
      <c r="D12" s="1" t="s">
        <v>635</v>
      </c>
      <c r="F12" s="214">
        <f>F11-1</f>
        <v>108</v>
      </c>
      <c r="G12" s="149">
        <f>J11</f>
        <v>8411237.9999999925</v>
      </c>
      <c r="H12" s="149">
        <f>G12/F12</f>
        <v>77881.83333333327</v>
      </c>
      <c r="I12" s="163">
        <v>0</v>
      </c>
      <c r="J12" s="149">
        <f>G12-H12+I12</f>
        <v>8333356.1666666595</v>
      </c>
    </row>
    <row r="13" spans="1:10" ht="15.5">
      <c r="A13" s="51">
        <v>3</v>
      </c>
      <c r="B13" s="11" t="s">
        <v>334</v>
      </c>
      <c r="C13" s="210">
        <f>C12</f>
        <v>2022</v>
      </c>
      <c r="D13" s="1" t="s">
        <v>635</v>
      </c>
      <c r="F13" s="214">
        <f t="shared" si="0" ref="F13:F23">F12-1</f>
        <v>107</v>
      </c>
      <c r="G13" s="149">
        <f t="shared" si="1" ref="G13:G22">J12</f>
        <v>8333356.1666666595</v>
      </c>
      <c r="H13" s="149">
        <f t="shared" si="2" ref="H13:H23">G13/F13</f>
        <v>77881.83333333327</v>
      </c>
      <c r="I13" s="163">
        <v>0</v>
      </c>
      <c r="J13" s="149">
        <f t="shared" si="3" ref="J13:J23">G13-H13+I13</f>
        <v>8255474.3333333265</v>
      </c>
    </row>
    <row r="14" spans="1:10" ht="15.5">
      <c r="A14" s="51">
        <v>4</v>
      </c>
      <c r="B14" s="11" t="s">
        <v>335</v>
      </c>
      <c r="C14" s="210">
        <f t="shared" si="4" ref="C14:C23">C13</f>
        <v>2022</v>
      </c>
      <c r="D14" s="1" t="s">
        <v>635</v>
      </c>
      <c r="F14" s="214">
        <f t="shared" si="0"/>
        <v>106</v>
      </c>
      <c r="G14" s="149">
        <f t="shared" si="1"/>
        <v>8255474.3333333265</v>
      </c>
      <c r="H14" s="149">
        <f t="shared" si="2"/>
        <v>77881.83333333327</v>
      </c>
      <c r="I14" s="163">
        <v>0</v>
      </c>
      <c r="J14" s="149">
        <f t="shared" si="3"/>
        <v>8177592.4999999935</v>
      </c>
    </row>
    <row r="15" spans="1:10" ht="15.5">
      <c r="A15" s="51">
        <v>5</v>
      </c>
      <c r="B15" s="11" t="s">
        <v>336</v>
      </c>
      <c r="C15" s="210">
        <f t="shared" si="4"/>
        <v>2022</v>
      </c>
      <c r="D15" s="1" t="s">
        <v>635</v>
      </c>
      <c r="F15" s="214">
        <f t="shared" si="0"/>
        <v>105</v>
      </c>
      <c r="G15" s="149">
        <f t="shared" si="1"/>
        <v>8177592.4999999935</v>
      </c>
      <c r="H15" s="149">
        <f t="shared" si="2"/>
        <v>77881.83333333327</v>
      </c>
      <c r="I15" s="163">
        <v>0</v>
      </c>
      <c r="J15" s="149">
        <f t="shared" si="3"/>
        <v>8099710.6666666605</v>
      </c>
    </row>
    <row r="16" spans="1:10" ht="15.5">
      <c r="A16" s="51">
        <v>6</v>
      </c>
      <c r="B16" s="11" t="s">
        <v>337</v>
      </c>
      <c r="C16" s="210">
        <f t="shared" si="4"/>
        <v>2022</v>
      </c>
      <c r="D16" s="1" t="s">
        <v>635</v>
      </c>
      <c r="F16" s="214">
        <f t="shared" si="0"/>
        <v>104</v>
      </c>
      <c r="G16" s="149">
        <f t="shared" si="1"/>
        <v>8099710.6666666605</v>
      </c>
      <c r="H16" s="149">
        <f t="shared" si="2"/>
        <v>77881.83333333327</v>
      </c>
      <c r="I16" s="163">
        <v>0</v>
      </c>
      <c r="J16" s="149">
        <f t="shared" si="3"/>
        <v>8021828.8333333274</v>
      </c>
    </row>
    <row r="17" spans="1:10" ht="15.5">
      <c r="A17" s="51">
        <v>7</v>
      </c>
      <c r="B17" s="11" t="s">
        <v>353</v>
      </c>
      <c r="C17" s="210">
        <f t="shared" si="4"/>
        <v>2022</v>
      </c>
      <c r="D17" s="1" t="s">
        <v>635</v>
      </c>
      <c r="F17" s="214">
        <f t="shared" si="0"/>
        <v>103</v>
      </c>
      <c r="G17" s="149">
        <f t="shared" si="1"/>
        <v>8021828.8333333274</v>
      </c>
      <c r="H17" s="149">
        <f t="shared" si="2"/>
        <v>77881.83333333327</v>
      </c>
      <c r="I17" s="163">
        <v>0</v>
      </c>
      <c r="J17" s="149">
        <f t="shared" si="3"/>
        <v>7943946.9999999944</v>
      </c>
    </row>
    <row r="18" spans="1:10" ht="15.5">
      <c r="A18" s="51">
        <v>8</v>
      </c>
      <c r="B18" s="11" t="s">
        <v>338</v>
      </c>
      <c r="C18" s="210">
        <f t="shared" si="4"/>
        <v>2022</v>
      </c>
      <c r="D18" s="1" t="s">
        <v>635</v>
      </c>
      <c r="F18" s="214">
        <f t="shared" si="0"/>
        <v>102</v>
      </c>
      <c r="G18" s="149">
        <f t="shared" si="1"/>
        <v>7943946.9999999944</v>
      </c>
      <c r="H18" s="149">
        <f t="shared" si="2"/>
        <v>77881.833333333285</v>
      </c>
      <c r="I18" s="163">
        <v>0</v>
      </c>
      <c r="J18" s="149">
        <f t="shared" si="3"/>
        <v>7866065.1666666614</v>
      </c>
    </row>
    <row r="19" spans="1:10" ht="15.5">
      <c r="A19" s="51">
        <v>9</v>
      </c>
      <c r="B19" s="11" t="s">
        <v>339</v>
      </c>
      <c r="C19" s="210">
        <f t="shared" si="4"/>
        <v>2022</v>
      </c>
      <c r="D19" s="1" t="s">
        <v>635</v>
      </c>
      <c r="F19" s="214">
        <f t="shared" si="0"/>
        <v>101</v>
      </c>
      <c r="G19" s="149">
        <f t="shared" si="1"/>
        <v>7866065.1666666614</v>
      </c>
      <c r="H19" s="149">
        <f t="shared" si="2"/>
        <v>77881.833333333285</v>
      </c>
      <c r="I19" s="163">
        <v>0</v>
      </c>
      <c r="J19" s="149">
        <f t="shared" si="3"/>
        <v>7788183.3333333284</v>
      </c>
    </row>
    <row r="20" spans="1:10" ht="15.5">
      <c r="A20" s="51">
        <v>10</v>
      </c>
      <c r="B20" s="11" t="s">
        <v>340</v>
      </c>
      <c r="C20" s="210">
        <f t="shared" si="4"/>
        <v>2022</v>
      </c>
      <c r="D20" s="1" t="s">
        <v>635</v>
      </c>
      <c r="F20" s="214">
        <f t="shared" si="0"/>
        <v>100</v>
      </c>
      <c r="G20" s="149">
        <f t="shared" si="1"/>
        <v>7788183.3333333284</v>
      </c>
      <c r="H20" s="149">
        <f t="shared" si="2"/>
        <v>77881.833333333285</v>
      </c>
      <c r="I20" s="163">
        <v>0</v>
      </c>
      <c r="J20" s="149">
        <f t="shared" si="3"/>
        <v>7710301.4999999953</v>
      </c>
    </row>
    <row r="21" spans="1:10" ht="15.5">
      <c r="A21" s="51">
        <v>11</v>
      </c>
      <c r="B21" s="11" t="s">
        <v>342</v>
      </c>
      <c r="C21" s="210">
        <f t="shared" si="4"/>
        <v>2022</v>
      </c>
      <c r="D21" s="1" t="s">
        <v>635</v>
      </c>
      <c r="F21" s="214">
        <f t="shared" si="0"/>
        <v>99</v>
      </c>
      <c r="G21" s="149">
        <f t="shared" si="1"/>
        <v>7710301.4999999953</v>
      </c>
      <c r="H21" s="149">
        <f t="shared" si="2"/>
        <v>77881.833333333285</v>
      </c>
      <c r="I21" s="163">
        <v>0</v>
      </c>
      <c r="J21" s="149">
        <f t="shared" si="3"/>
        <v>7632419.6666666623</v>
      </c>
    </row>
    <row r="22" spans="1:10" ht="15.5">
      <c r="A22" s="51">
        <v>12</v>
      </c>
      <c r="B22" s="11" t="s">
        <v>341</v>
      </c>
      <c r="C22" s="210">
        <f t="shared" si="4"/>
        <v>2022</v>
      </c>
      <c r="D22" s="1" t="s">
        <v>635</v>
      </c>
      <c r="F22" s="214">
        <f t="shared" si="0"/>
        <v>98</v>
      </c>
      <c r="G22" s="149">
        <f t="shared" si="1"/>
        <v>7632419.6666666623</v>
      </c>
      <c r="H22" s="149">
        <f t="shared" si="2"/>
        <v>77881.833333333285</v>
      </c>
      <c r="I22" s="163">
        <v>0</v>
      </c>
      <c r="J22" s="149">
        <f t="shared" si="3"/>
        <v>7554537.8333333293</v>
      </c>
    </row>
    <row r="23" spans="1:10" s="221" customFormat="1" ht="16" thickBot="1">
      <c r="A23" s="215">
        <v>13</v>
      </c>
      <c r="B23" s="216" t="s">
        <v>332</v>
      </c>
      <c r="C23" s="217">
        <f t="shared" si="4"/>
        <v>2022</v>
      </c>
      <c r="D23" s="221" t="s">
        <v>617</v>
      </c>
      <c r="E23" s="190"/>
      <c r="F23" s="218">
        <f t="shared" si="0"/>
        <v>97</v>
      </c>
      <c r="G23" s="219">
        <f>J22</f>
        <v>7554537.8333333293</v>
      </c>
      <c r="H23" s="223">
        <f t="shared" si="2"/>
        <v>77881.833333333285</v>
      </c>
      <c r="I23" s="220">
        <v>0</v>
      </c>
      <c r="J23" s="219">
        <f t="shared" si="3"/>
        <v>7476655.9999999963</v>
      </c>
    </row>
    <row r="24" spans="1:10" s="221" customFormat="1" ht="15.5">
      <c r="A24" s="215">
        <v>14</v>
      </c>
      <c r="B24" s="216"/>
      <c r="C24" s="222"/>
      <c r="E24" s="190"/>
      <c r="F24" s="215"/>
      <c r="G24" s="224" t="s">
        <v>615</v>
      </c>
      <c r="H24" s="219">
        <f>SUM(H12:H23)</f>
        <v>934581.99999999919</v>
      </c>
      <c r="I24" s="427"/>
      <c r="J24" s="428"/>
    </row>
    <row r="25" spans="1:10" ht="15.5">
      <c r="A25" s="51">
        <v>15</v>
      </c>
      <c r="G25" s="26" t="s">
        <v>616</v>
      </c>
      <c r="I25" s="429"/>
      <c r="J25" s="430"/>
    </row>
    <row r="26" spans="1:9" ht="15.5">
      <c r="A26" s="51">
        <v>16</v>
      </c>
      <c r="F26" s="26" t="s">
        <v>619</v>
      </c>
      <c r="G26" s="26" t="s">
        <v>729</v>
      </c>
      <c r="I26" s="429"/>
    </row>
    <row r="28" spans="1:1" ht="15.5">
      <c r="A28" s="62" t="s">
        <v>297</v>
      </c>
    </row>
    <row r="29" spans="1:11" s="364" customFormat="1" ht="33" customHeight="1">
      <c r="A29" s="60" t="s">
        <v>141</v>
      </c>
      <c r="B29" s="671" t="s">
        <v>818</v>
      </c>
      <c r="C29" s="671"/>
      <c r="D29" s="671"/>
      <c r="E29" s="671"/>
      <c r="F29" s="671"/>
      <c r="G29" s="671"/>
      <c r="H29" s="671"/>
      <c r="I29" s="671"/>
      <c r="J29" s="671"/>
      <c r="K29" s="671"/>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K29"/>
  <sheetViews>
    <sheetView view="pageBreakPreview" zoomScale="70" zoomScaleNormal="65" zoomScaleSheetLayoutView="70" workbookViewId="0" topLeftCell="A1">
      <selection pane="topLeft" activeCell="B6" sqref="B6:J6"/>
    </sheetView>
  </sheetViews>
  <sheetFormatPr defaultColWidth="8.91714285714286" defaultRowHeight="15.5"/>
  <cols>
    <col min="1" max="1" width="5.35714285714286" style="51" bestFit="1" customWidth="1"/>
    <col min="2" max="2" width="15.8571428571429" style="11" customWidth="1"/>
    <col min="3" max="3" width="5.85714285714286" style="209" customWidth="1"/>
    <col min="4" max="4" width="31.9285714285714" style="1" bestFit="1" customWidth="1"/>
    <col min="5" max="5" width="4.85714285714286" style="26" customWidth="1"/>
    <col min="6" max="6" width="18.8571428571429" style="209" customWidth="1"/>
    <col min="7" max="10" width="18.8571428571429" style="1" customWidth="1"/>
    <col min="11" max="11" width="4.85714285714286" style="1" customWidth="1"/>
    <col min="12" max="16384" width="8.92857142857143" style="1"/>
  </cols>
  <sheetData>
    <row r="1" spans="1:11" ht="15.5">
      <c r="A1" s="313"/>
      <c r="B1" s="313"/>
      <c r="C1" s="313"/>
      <c r="D1" s="313"/>
      <c r="K1" s="3" t="s">
        <v>307</v>
      </c>
    </row>
    <row r="2" spans="1:11" ht="15.5">
      <c r="A2" s="313"/>
      <c r="B2" s="313"/>
      <c r="C2" s="313"/>
      <c r="D2" s="313"/>
      <c r="K2" s="3" t="s">
        <v>275</v>
      </c>
    </row>
    <row r="3" spans="1:11" ht="15.5">
      <c r="A3" s="313"/>
      <c r="B3" s="313"/>
      <c r="C3" s="313"/>
      <c r="D3" s="313"/>
      <c r="K3" s="3" t="str">
        <f>'Attachment H-21-A ATSI '!K4</f>
        <v>For the 12 months ended 12/31/2022</v>
      </c>
    </row>
    <row r="5" spans="2:10" ht="15.5">
      <c r="B5" s="669" t="s">
        <v>610</v>
      </c>
      <c r="C5" s="669"/>
      <c r="D5" s="669"/>
      <c r="E5" s="669"/>
      <c r="F5" s="669"/>
      <c r="G5" s="669"/>
      <c r="H5" s="669"/>
      <c r="I5" s="669"/>
      <c r="J5" s="669"/>
    </row>
    <row r="6" spans="2:10" ht="15.5">
      <c r="B6" s="670" t="s">
        <v>312</v>
      </c>
      <c r="C6" s="670"/>
      <c r="D6" s="670"/>
      <c r="E6" s="670"/>
      <c r="F6" s="670"/>
      <c r="G6" s="670"/>
      <c r="H6" s="670"/>
      <c r="I6" s="670"/>
      <c r="J6" s="670"/>
    </row>
    <row r="8" spans="1:10" s="32" customFormat="1" ht="15.5">
      <c r="A8" s="51"/>
      <c r="B8" s="7" t="s">
        <v>363</v>
      </c>
      <c r="C8" s="51" t="s">
        <v>377</v>
      </c>
      <c r="D8" s="32" t="s">
        <v>506</v>
      </c>
      <c r="E8" s="26"/>
      <c r="F8" s="32" t="s">
        <v>547</v>
      </c>
      <c r="G8" s="51" t="s">
        <v>550</v>
      </c>
      <c r="H8" s="32" t="s">
        <v>611</v>
      </c>
      <c r="I8" s="32" t="s">
        <v>612</v>
      </c>
      <c r="J8" s="32" t="s">
        <v>613</v>
      </c>
    </row>
    <row r="9" spans="2:10" s="211" customFormat="1" ht="65.15" customHeight="1">
      <c r="B9" s="211" t="s">
        <v>601</v>
      </c>
      <c r="D9" s="211" t="s">
        <v>602</v>
      </c>
      <c r="E9" s="213"/>
      <c r="F9" s="212" t="s">
        <v>605</v>
      </c>
      <c r="G9" s="211" t="s">
        <v>606</v>
      </c>
      <c r="H9" s="211" t="s">
        <v>607</v>
      </c>
      <c r="I9" s="211" t="s">
        <v>608</v>
      </c>
      <c r="J9" s="211" t="s">
        <v>609</v>
      </c>
    </row>
    <row r="10" spans="5:10" s="211" customFormat="1" ht="15.5">
      <c r="E10" s="213"/>
      <c r="F10" s="212"/>
      <c r="G10" s="254" t="s">
        <v>646</v>
      </c>
      <c r="H10" s="254" t="s">
        <v>647</v>
      </c>
      <c r="I10" s="254"/>
      <c r="J10" s="254" t="s">
        <v>651</v>
      </c>
    </row>
    <row r="11" spans="1:11" ht="15.5">
      <c r="A11" s="51">
        <v>1</v>
      </c>
      <c r="B11" s="11" t="s">
        <v>332</v>
      </c>
      <c r="C11" s="210">
        <f>'Appendix B-Veg'!C11</f>
        <v>2021</v>
      </c>
      <c r="D11" s="1" t="s">
        <v>603</v>
      </c>
      <c r="F11" s="214">
        <v>109</v>
      </c>
      <c r="G11" s="149"/>
      <c r="H11" s="149"/>
      <c r="I11" s="149"/>
      <c r="J11" s="163">
        <v>10364184.899999991</v>
      </c>
      <c r="K11" s="152"/>
    </row>
    <row r="12" spans="1:10" ht="15.5">
      <c r="A12" s="51">
        <v>2</v>
      </c>
      <c r="B12" s="11" t="s">
        <v>333</v>
      </c>
      <c r="C12" s="210">
        <f>C11+1</f>
        <v>2022</v>
      </c>
      <c r="D12" s="1" t="s">
        <v>635</v>
      </c>
      <c r="F12" s="214">
        <f>F11-1</f>
        <v>108</v>
      </c>
      <c r="G12" s="149">
        <f t="shared" si="0" ref="G12:G22">J11</f>
        <v>10364184.899999991</v>
      </c>
      <c r="H12" s="149">
        <f>G12/F12</f>
        <v>95964.674999999916</v>
      </c>
      <c r="I12" s="163">
        <v>0</v>
      </c>
      <c r="J12" s="149">
        <f>G12-H12+I12</f>
        <v>10268220.22499999</v>
      </c>
    </row>
    <row r="13" spans="1:10" ht="15.5">
      <c r="A13" s="51">
        <v>3</v>
      </c>
      <c r="B13" s="11" t="s">
        <v>334</v>
      </c>
      <c r="C13" s="210">
        <f>C12</f>
        <v>2022</v>
      </c>
      <c r="D13" s="1" t="s">
        <v>635</v>
      </c>
      <c r="F13" s="214">
        <f t="shared" si="1" ref="F13:F23">F12-1</f>
        <v>107</v>
      </c>
      <c r="G13" s="149">
        <f t="shared" si="0"/>
        <v>10268220.22499999</v>
      </c>
      <c r="H13" s="149">
        <f t="shared" si="2" ref="H13:H23">G13/F13</f>
        <v>95964.674999999916</v>
      </c>
      <c r="I13" s="163">
        <v>0</v>
      </c>
      <c r="J13" s="149">
        <f t="shared" si="3" ref="J13:J23">G13-H13+I13</f>
        <v>10172255.54999999</v>
      </c>
    </row>
    <row r="14" spans="1:10" ht="15.5">
      <c r="A14" s="51">
        <v>4</v>
      </c>
      <c r="B14" s="11" t="s">
        <v>335</v>
      </c>
      <c r="C14" s="210">
        <f t="shared" si="4" ref="C14:C23">C13</f>
        <v>2022</v>
      </c>
      <c r="D14" s="1" t="s">
        <v>635</v>
      </c>
      <c r="F14" s="214">
        <f t="shared" si="1"/>
        <v>106</v>
      </c>
      <c r="G14" s="149">
        <f t="shared" si="0"/>
        <v>10172255.54999999</v>
      </c>
      <c r="H14" s="149">
        <f t="shared" si="2"/>
        <v>95964.674999999901</v>
      </c>
      <c r="I14" s="163">
        <v>0</v>
      </c>
      <c r="J14" s="149">
        <f>G14-H14+I14</f>
        <v>10076290.874999989</v>
      </c>
    </row>
    <row r="15" spans="1:10" ht="15.5">
      <c r="A15" s="51">
        <v>5</v>
      </c>
      <c r="B15" s="11" t="s">
        <v>336</v>
      </c>
      <c r="C15" s="210">
        <f t="shared" si="4"/>
        <v>2022</v>
      </c>
      <c r="D15" s="1" t="s">
        <v>635</v>
      </c>
      <c r="F15" s="214">
        <f t="shared" si="1"/>
        <v>105</v>
      </c>
      <c r="G15" s="149">
        <f t="shared" si="0"/>
        <v>10076290.874999989</v>
      </c>
      <c r="H15" s="149">
        <f t="shared" si="2"/>
        <v>95964.674999999886</v>
      </c>
      <c r="I15" s="163">
        <v>0</v>
      </c>
      <c r="J15" s="149">
        <f t="shared" si="3"/>
        <v>9980326.1999999881</v>
      </c>
    </row>
    <row r="16" spans="1:10" ht="15.5">
      <c r="A16" s="51">
        <v>6</v>
      </c>
      <c r="B16" s="11" t="s">
        <v>337</v>
      </c>
      <c r="C16" s="210">
        <f t="shared" si="4"/>
        <v>2022</v>
      </c>
      <c r="D16" s="1" t="s">
        <v>635</v>
      </c>
      <c r="F16" s="214">
        <f t="shared" si="1"/>
        <v>104</v>
      </c>
      <c r="G16" s="149">
        <f t="shared" si="0"/>
        <v>9980326.1999999881</v>
      </c>
      <c r="H16" s="149">
        <f t="shared" si="2"/>
        <v>95964.674999999886</v>
      </c>
      <c r="I16" s="163">
        <v>0</v>
      </c>
      <c r="J16" s="149">
        <f t="shared" si="3"/>
        <v>9884361.5249999873</v>
      </c>
    </row>
    <row r="17" spans="1:10" ht="15.5">
      <c r="A17" s="51">
        <v>7</v>
      </c>
      <c r="B17" s="11" t="s">
        <v>353</v>
      </c>
      <c r="C17" s="210">
        <f t="shared" si="4"/>
        <v>2022</v>
      </c>
      <c r="D17" s="1" t="s">
        <v>635</v>
      </c>
      <c r="F17" s="214">
        <f t="shared" si="1"/>
        <v>103</v>
      </c>
      <c r="G17" s="149">
        <f t="shared" si="0"/>
        <v>9884361.5249999873</v>
      </c>
      <c r="H17" s="149">
        <f t="shared" si="2"/>
        <v>95964.674999999872</v>
      </c>
      <c r="I17" s="163">
        <v>0</v>
      </c>
      <c r="J17" s="149">
        <f t="shared" si="3"/>
        <v>9788396.8499999866</v>
      </c>
    </row>
    <row r="18" spans="1:10" ht="15.5">
      <c r="A18" s="51">
        <v>8</v>
      </c>
      <c r="B18" s="11" t="s">
        <v>338</v>
      </c>
      <c r="C18" s="210">
        <f t="shared" si="4"/>
        <v>2022</v>
      </c>
      <c r="D18" s="1" t="s">
        <v>635</v>
      </c>
      <c r="F18" s="214">
        <f t="shared" si="1"/>
        <v>102</v>
      </c>
      <c r="G18" s="149">
        <f t="shared" si="0"/>
        <v>9788396.8499999866</v>
      </c>
      <c r="H18" s="149">
        <f t="shared" si="2"/>
        <v>95964.674999999872</v>
      </c>
      <c r="I18" s="163">
        <v>0</v>
      </c>
      <c r="J18" s="149">
        <f t="shared" si="3"/>
        <v>9692432.1749999858</v>
      </c>
    </row>
    <row r="19" spans="1:10" ht="15.5">
      <c r="A19" s="51">
        <v>9</v>
      </c>
      <c r="B19" s="11" t="s">
        <v>339</v>
      </c>
      <c r="C19" s="210">
        <f t="shared" si="4"/>
        <v>2022</v>
      </c>
      <c r="D19" s="1" t="s">
        <v>635</v>
      </c>
      <c r="F19" s="214">
        <f t="shared" si="1"/>
        <v>101</v>
      </c>
      <c r="G19" s="149">
        <f t="shared" si="0"/>
        <v>9692432.1749999858</v>
      </c>
      <c r="H19" s="149">
        <f t="shared" si="2"/>
        <v>95964.674999999857</v>
      </c>
      <c r="I19" s="163">
        <v>0</v>
      </c>
      <c r="J19" s="149">
        <f t="shared" si="3"/>
        <v>9596467.4999999851</v>
      </c>
    </row>
    <row r="20" spans="1:10" ht="15.5">
      <c r="A20" s="51">
        <v>10</v>
      </c>
      <c r="B20" s="11" t="s">
        <v>340</v>
      </c>
      <c r="C20" s="210">
        <f t="shared" si="4"/>
        <v>2022</v>
      </c>
      <c r="D20" s="1" t="s">
        <v>635</v>
      </c>
      <c r="F20" s="214">
        <f t="shared" si="1"/>
        <v>100</v>
      </c>
      <c r="G20" s="149">
        <f t="shared" si="0"/>
        <v>9596467.4999999851</v>
      </c>
      <c r="H20" s="149">
        <f t="shared" si="2"/>
        <v>95964.674999999857</v>
      </c>
      <c r="I20" s="163">
        <v>0</v>
      </c>
      <c r="J20" s="149">
        <f t="shared" si="3"/>
        <v>9500502.8249999844</v>
      </c>
    </row>
    <row r="21" spans="1:10" ht="15.5">
      <c r="A21" s="51">
        <v>11</v>
      </c>
      <c r="B21" s="11" t="s">
        <v>342</v>
      </c>
      <c r="C21" s="210">
        <f t="shared" si="4"/>
        <v>2022</v>
      </c>
      <c r="D21" s="1" t="s">
        <v>635</v>
      </c>
      <c r="F21" s="214">
        <f t="shared" si="1"/>
        <v>99</v>
      </c>
      <c r="G21" s="149">
        <f t="shared" si="0"/>
        <v>9500502.8249999844</v>
      </c>
      <c r="H21" s="149">
        <f t="shared" si="2"/>
        <v>95964.674999999843</v>
      </c>
      <c r="I21" s="163">
        <v>0</v>
      </c>
      <c r="J21" s="149">
        <f t="shared" si="3"/>
        <v>9404538.1499999836</v>
      </c>
    </row>
    <row r="22" spans="1:10" ht="15.5">
      <c r="A22" s="51">
        <v>12</v>
      </c>
      <c r="B22" s="11" t="s">
        <v>341</v>
      </c>
      <c r="C22" s="210">
        <f t="shared" si="4"/>
        <v>2022</v>
      </c>
      <c r="D22" s="1" t="s">
        <v>635</v>
      </c>
      <c r="F22" s="214">
        <f t="shared" si="1"/>
        <v>98</v>
      </c>
      <c r="G22" s="149">
        <f t="shared" si="0"/>
        <v>9404538.1499999836</v>
      </c>
      <c r="H22" s="149">
        <f t="shared" si="2"/>
        <v>95964.674999999828</v>
      </c>
      <c r="I22" s="163">
        <v>0</v>
      </c>
      <c r="J22" s="149">
        <f t="shared" si="3"/>
        <v>9308573.4749999829</v>
      </c>
    </row>
    <row r="23" spans="1:10" s="221" customFormat="1" ht="16" thickBot="1">
      <c r="A23" s="215">
        <v>13</v>
      </c>
      <c r="B23" s="216" t="s">
        <v>332</v>
      </c>
      <c r="C23" s="217">
        <f t="shared" si="4"/>
        <v>2022</v>
      </c>
      <c r="D23" s="221" t="s">
        <v>617</v>
      </c>
      <c r="E23" s="190"/>
      <c r="F23" s="218">
        <f t="shared" si="1"/>
        <v>97</v>
      </c>
      <c r="G23" s="219">
        <f>J22</f>
        <v>9308573.4749999829</v>
      </c>
      <c r="H23" s="223">
        <f t="shared" si="2"/>
        <v>95964.674999999828</v>
      </c>
      <c r="I23" s="220">
        <v>0</v>
      </c>
      <c r="J23" s="219">
        <f t="shared" si="3"/>
        <v>9212608.7999999821</v>
      </c>
    </row>
    <row r="24" spans="1:10" s="221" customFormat="1" ht="15.5">
      <c r="A24" s="215">
        <v>14</v>
      </c>
      <c r="B24" s="216"/>
      <c r="C24" s="222"/>
      <c r="E24" s="190"/>
      <c r="F24" s="215"/>
      <c r="G24" s="224" t="s">
        <v>615</v>
      </c>
      <c r="H24" s="219">
        <f>SUM(H12:H23)</f>
        <v>1151576.0999999982</v>
      </c>
      <c r="I24" s="427"/>
      <c r="J24" s="428"/>
    </row>
    <row r="25" spans="1:10" ht="15.5">
      <c r="A25" s="51">
        <v>15</v>
      </c>
      <c r="G25" s="26" t="s">
        <v>616</v>
      </c>
      <c r="I25" s="429"/>
      <c r="J25" s="430"/>
    </row>
    <row r="26" spans="1:9" ht="15.5">
      <c r="A26" s="51">
        <v>16</v>
      </c>
      <c r="F26" s="26" t="s">
        <v>619</v>
      </c>
      <c r="G26" s="26" t="s">
        <v>729</v>
      </c>
      <c r="I26" s="429"/>
    </row>
    <row r="28" spans="1:1" ht="15.5">
      <c r="A28" s="62" t="s">
        <v>297</v>
      </c>
    </row>
    <row r="29" spans="1:11" ht="37.75" customHeight="1">
      <c r="A29" s="60" t="s">
        <v>141</v>
      </c>
      <c r="B29" s="671" t="s">
        <v>819</v>
      </c>
      <c r="C29" s="671"/>
      <c r="D29" s="671"/>
      <c r="E29" s="671"/>
      <c r="F29" s="671"/>
      <c r="G29" s="671"/>
      <c r="H29" s="671"/>
      <c r="I29" s="671"/>
      <c r="J29" s="671"/>
      <c r="K29" s="671"/>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topLeftCell="A1">
      <selection pane="topLeft" activeCell="K33" sqref="K33"/>
    </sheetView>
  </sheetViews>
  <sheetFormatPr defaultColWidth="8.91714285714286" defaultRowHeight="15.5"/>
  <cols>
    <col min="1" max="1" width="6" style="1" customWidth="1"/>
    <col min="2" max="2" width="1.42857142857143" style="1" customWidth="1"/>
    <col min="3" max="3" width="59.2142857142857" style="1" bestFit="1" customWidth="1"/>
    <col min="4" max="4" width="12" style="1" customWidth="1"/>
    <col min="5" max="5" width="14.4285714285714" style="1" customWidth="1"/>
    <col min="6" max="6" width="11.9285714285714" style="1" customWidth="1"/>
    <col min="7" max="7" width="15.0714285714286" style="1" customWidth="1"/>
    <col min="8" max="8" width="13.9285714285714" style="1" customWidth="1"/>
    <col min="9" max="9" width="12.8571428571429" style="1" customWidth="1"/>
    <col min="10" max="10" width="14.0714285714286" style="1" customWidth="1"/>
    <col min="11" max="11" width="13.5" style="1" customWidth="1"/>
    <col min="12" max="12" width="13.5" style="225" customWidth="1"/>
    <col min="13" max="13" width="15.3571428571429" style="1" customWidth="1"/>
    <col min="14" max="14" width="13.8571428571429" style="1" customWidth="1"/>
    <col min="15" max="15" width="28.8571428571429" style="1" customWidth="1"/>
    <col min="16" max="16384" width="8.92857142857143" style="1"/>
  </cols>
  <sheetData>
    <row r="1" spans="15:15" ht="15.5">
      <c r="O1" s="3" t="s">
        <v>308</v>
      </c>
    </row>
    <row r="2" spans="7:15" ht="15.5">
      <c r="G2" s="33"/>
      <c r="O2" s="3" t="s">
        <v>278</v>
      </c>
    </row>
    <row r="3" spans="15:15" ht="15.5">
      <c r="O3" s="3" t="str">
        <f>'Attachment H-21-A ATSI '!K4</f>
        <v>For the 12 months ended 12/31/2022</v>
      </c>
    </row>
    <row r="5" spans="1:15" ht="15.5">
      <c r="A5" s="669" t="s">
        <v>295</v>
      </c>
      <c r="B5" s="669"/>
      <c r="C5" s="669"/>
      <c r="D5" s="669"/>
      <c r="E5" s="669"/>
      <c r="F5" s="669"/>
      <c r="G5" s="669"/>
      <c r="H5" s="669"/>
      <c r="I5" s="669"/>
      <c r="J5" s="669"/>
      <c r="K5" s="669"/>
      <c r="L5" s="669"/>
      <c r="M5" s="669"/>
      <c r="N5" s="669"/>
      <c r="O5" s="669"/>
    </row>
    <row r="6" spans="1:15" ht="15.5">
      <c r="A6" s="675" t="s">
        <v>312</v>
      </c>
      <c r="B6" s="675"/>
      <c r="C6" s="675"/>
      <c r="D6" s="675"/>
      <c r="E6" s="675"/>
      <c r="F6" s="675"/>
      <c r="G6" s="675"/>
      <c r="H6" s="675"/>
      <c r="I6" s="675"/>
      <c r="J6" s="675"/>
      <c r="K6" s="675"/>
      <c r="L6" s="675"/>
      <c r="M6" s="675"/>
      <c r="N6" s="675"/>
      <c r="O6" s="675"/>
    </row>
    <row r="7" spans="1:13" ht="15.5">
      <c r="A7" s="675"/>
      <c r="B7" s="675"/>
      <c r="C7" s="675"/>
      <c r="D7" s="675"/>
      <c r="E7" s="675"/>
      <c r="F7" s="675"/>
      <c r="G7" s="675"/>
      <c r="H7" s="675"/>
      <c r="I7" s="675"/>
      <c r="J7" s="675"/>
      <c r="K7" s="675"/>
      <c r="L7" s="675"/>
      <c r="M7" s="675"/>
    </row>
    <row r="8" spans="1:13" ht="15.5">
      <c r="A8" s="27"/>
      <c r="C8" s="2"/>
      <c r="D8" s="2"/>
      <c r="F8" s="2"/>
      <c r="H8" s="2"/>
      <c r="I8" s="2"/>
      <c r="J8" s="2"/>
      <c r="K8" s="2"/>
      <c r="L8" s="226"/>
      <c r="M8" s="2"/>
    </row>
    <row r="9" spans="1:13" ht="15.5">
      <c r="A9" s="27"/>
      <c r="C9" s="2"/>
      <c r="D9" s="2"/>
      <c r="E9" s="2"/>
      <c r="F9" s="2"/>
      <c r="G9" s="11"/>
      <c r="H9" s="2"/>
      <c r="I9" s="2"/>
      <c r="J9" s="2"/>
      <c r="K9" s="2"/>
      <c r="L9" s="226"/>
      <c r="M9" s="2"/>
    </row>
    <row r="10" spans="1:13" ht="15.5">
      <c r="A10" s="27"/>
      <c r="D10" s="2"/>
      <c r="E10" s="2"/>
      <c r="F10" s="2"/>
      <c r="G10" s="11"/>
      <c r="H10" s="2"/>
      <c r="I10" s="2"/>
      <c r="J10" s="2"/>
      <c r="K10" s="2"/>
      <c r="L10" s="226"/>
      <c r="M10" s="2"/>
    </row>
    <row r="11" spans="1:13" ht="15.5">
      <c r="A11" s="27"/>
      <c r="C11" s="2"/>
      <c r="D11" s="2"/>
      <c r="E11" s="2"/>
      <c r="F11" s="2"/>
      <c r="G11" s="11"/>
      <c r="M11" s="2"/>
    </row>
    <row r="12" spans="1:13" ht="15.5">
      <c r="A12" s="27"/>
      <c r="C12" s="2"/>
      <c r="D12" s="2"/>
      <c r="E12" s="2"/>
      <c r="F12" s="2"/>
      <c r="G12" s="2"/>
      <c r="M12" s="4"/>
    </row>
    <row r="13" spans="3:9" ht="15.5">
      <c r="C13" s="5" t="s">
        <v>27</v>
      </c>
      <c r="D13" s="5"/>
      <c r="E13" s="5" t="s">
        <v>28</v>
      </c>
      <c r="F13" s="5"/>
      <c r="G13" s="5" t="s">
        <v>29</v>
      </c>
      <c r="I13" s="7" t="s">
        <v>30</v>
      </c>
    </row>
    <row r="14" spans="3:7" ht="15.5">
      <c r="C14" s="2"/>
      <c r="D14" s="2"/>
      <c r="E14" s="17"/>
      <c r="F14" s="17"/>
      <c r="G14" s="4"/>
    </row>
    <row r="15" spans="1:9" ht="15.5">
      <c r="A15" s="27" t="s">
        <v>5</v>
      </c>
      <c r="C15" s="2"/>
      <c r="D15" s="2"/>
      <c r="E15" s="153" t="s">
        <v>277</v>
      </c>
      <c r="F15" s="153"/>
      <c r="G15" s="28" t="s">
        <v>33</v>
      </c>
      <c r="I15" s="28" t="s">
        <v>12</v>
      </c>
    </row>
    <row r="16" spans="1:9" ht="15.5">
      <c r="A16" s="27" t="s">
        <v>7</v>
      </c>
      <c r="C16" s="18"/>
      <c r="D16" s="18"/>
      <c r="E16" s="4"/>
      <c r="F16" s="4"/>
      <c r="G16" s="4"/>
      <c r="I16" s="4"/>
    </row>
    <row r="17" spans="1:9" ht="15.5">
      <c r="A17" s="29"/>
      <c r="C17" s="2"/>
      <c r="D17" s="2"/>
      <c r="E17" s="4"/>
      <c r="F17" s="4"/>
      <c r="G17" s="4"/>
      <c r="I17" s="4"/>
    </row>
    <row r="18" spans="1:7" ht="15.5">
      <c r="A18" s="152">
        <v>1</v>
      </c>
      <c r="C18" s="2" t="s">
        <v>231</v>
      </c>
      <c r="D18" s="2"/>
      <c r="E18" s="152" t="s">
        <v>314</v>
      </c>
      <c r="F18" s="152"/>
      <c r="G18" s="19">
        <f>'Attachment H-21-A ATSI '!I66</f>
        <v>5369041876.7430782</v>
      </c>
    </row>
    <row r="19" spans="1:7" ht="15.5">
      <c r="A19" s="152">
        <v>2</v>
      </c>
      <c r="C19" s="2" t="s">
        <v>232</v>
      </c>
      <c r="D19" s="2"/>
      <c r="E19" s="152" t="s">
        <v>315</v>
      </c>
      <c r="F19" s="152"/>
      <c r="G19" s="19">
        <f>'Attachment H-21-A ATSI '!I82</f>
        <v>4149782058.119173</v>
      </c>
    </row>
    <row r="20" spans="1:6" ht="15.5">
      <c r="A20" s="152"/>
      <c r="E20" s="152"/>
      <c r="F20" s="152"/>
    </row>
    <row r="21" spans="1:9" ht="15.5">
      <c r="A21" s="152"/>
      <c r="C21" s="2" t="s">
        <v>233</v>
      </c>
      <c r="D21" s="2"/>
      <c r="E21" s="152"/>
      <c r="F21" s="152"/>
      <c r="G21" s="4"/>
      <c r="I21" s="4"/>
    </row>
    <row r="22" spans="1:7" ht="15.5">
      <c r="A22" s="152">
        <v>3</v>
      </c>
      <c r="C22" s="2" t="s">
        <v>234</v>
      </c>
      <c r="D22" s="2"/>
      <c r="E22" s="152" t="s">
        <v>316</v>
      </c>
      <c r="F22" s="152"/>
      <c r="G22" s="19">
        <f>'Attachment H-21-A ATSI '!I146</f>
        <v>229673987.87710103</v>
      </c>
    </row>
    <row r="23" spans="1:9" ht="15.5">
      <c r="A23" s="152">
        <v>4</v>
      </c>
      <c r="C23" s="2" t="s">
        <v>235</v>
      </c>
      <c r="D23" s="2"/>
      <c r="E23" s="152" t="s">
        <v>279</v>
      </c>
      <c r="F23" s="152"/>
      <c r="G23" s="67">
        <f>IF(G22=0,0,G22/G18)</f>
        <v>0.042777462562170195</v>
      </c>
      <c r="I23" s="68">
        <f>G23</f>
        <v>0.042777462562170195</v>
      </c>
    </row>
    <row r="24" spans="1:9" ht="15.5">
      <c r="A24" s="152"/>
      <c r="E24" s="152"/>
      <c r="F24" s="152"/>
      <c r="I24" s="67"/>
    </row>
    <row r="25" spans="1:9" ht="15.5">
      <c r="A25" s="7"/>
      <c r="C25" s="2" t="s">
        <v>236</v>
      </c>
      <c r="D25" s="2"/>
      <c r="E25" s="32"/>
      <c r="F25" s="32"/>
      <c r="G25" s="4"/>
      <c r="I25" s="67"/>
    </row>
    <row r="26" spans="1:9" ht="15.5">
      <c r="A26" s="7" t="s">
        <v>237</v>
      </c>
      <c r="C26" s="2" t="s">
        <v>238</v>
      </c>
      <c r="D26" s="2"/>
      <c r="E26" s="152" t="s">
        <v>313</v>
      </c>
      <c r="F26" s="152"/>
      <c r="G26" s="19">
        <f>'Attachment H-21-A ATSI '!I163</f>
        <v>233448240</v>
      </c>
      <c r="I26" s="67"/>
    </row>
    <row r="27" spans="1:9" ht="15.5">
      <c r="A27" s="7" t="s">
        <v>239</v>
      </c>
      <c r="C27" s="2" t="s">
        <v>240</v>
      </c>
      <c r="D27" s="2"/>
      <c r="E27" s="152" t="s">
        <v>280</v>
      </c>
      <c r="F27" s="152"/>
      <c r="G27" s="67">
        <f>IF(G26=0,0,G26/G18)</f>
        <v>0.043480428232683548</v>
      </c>
      <c r="I27" s="68">
        <f>G27</f>
        <v>0.043480428232683548</v>
      </c>
    </row>
    <row r="28" spans="1:9" ht="15.5">
      <c r="A28" s="7"/>
      <c r="C28" s="2"/>
      <c r="D28" s="2"/>
      <c r="E28" s="152"/>
      <c r="F28" s="152"/>
      <c r="G28" s="4"/>
      <c r="I28" s="67"/>
    </row>
    <row r="29" spans="1:9" ht="15.5">
      <c r="A29" s="151" t="s">
        <v>241</v>
      </c>
      <c r="B29" s="33"/>
      <c r="C29" s="18" t="s">
        <v>242</v>
      </c>
      <c r="D29" s="18"/>
      <c r="E29" s="17" t="s">
        <v>243</v>
      </c>
      <c r="F29" s="17"/>
      <c r="G29" s="9"/>
      <c r="I29" s="69">
        <f>I23+I27</f>
        <v>0.086257890794853742</v>
      </c>
    </row>
    <row r="30" spans="1:9" ht="15.5">
      <c r="A30" s="7"/>
      <c r="C30" s="2"/>
      <c r="D30" s="2"/>
      <c r="E30" s="152"/>
      <c r="F30" s="152"/>
      <c r="G30" s="4"/>
      <c r="I30" s="67"/>
    </row>
    <row r="31" spans="1:9" ht="15.5">
      <c r="A31" s="7"/>
      <c r="C31" s="4" t="s">
        <v>244</v>
      </c>
      <c r="D31" s="4"/>
      <c r="E31" s="152"/>
      <c r="F31" s="152"/>
      <c r="G31" s="4"/>
      <c r="I31" s="67"/>
    </row>
    <row r="32" spans="1:9" ht="15.5">
      <c r="A32" s="7" t="s">
        <v>245</v>
      </c>
      <c r="C32" s="4" t="s">
        <v>92</v>
      </c>
      <c r="D32" s="4"/>
      <c r="E32" s="152" t="s">
        <v>317</v>
      </c>
      <c r="F32" s="152"/>
      <c r="G32" s="19">
        <f>'Attachment H-21-A ATSI '!I176</f>
        <v>57892702.075192064</v>
      </c>
      <c r="I32" s="67"/>
    </row>
    <row r="33" spans="1:9" ht="15.5">
      <c r="A33" s="7" t="s">
        <v>246</v>
      </c>
      <c r="C33" s="4" t="s">
        <v>247</v>
      </c>
      <c r="D33" s="4"/>
      <c r="E33" s="152" t="s">
        <v>281</v>
      </c>
      <c r="F33" s="152"/>
      <c r="G33" s="67">
        <f>IF(G19=0,0,G32/G19)</f>
        <v>0.013950781333666248</v>
      </c>
      <c r="I33" s="68">
        <f>G33</f>
        <v>0.013950781333666248</v>
      </c>
    </row>
    <row r="34" spans="1:9" ht="15.5">
      <c r="A34" s="7"/>
      <c r="C34" s="4"/>
      <c r="D34" s="4"/>
      <c r="E34" s="152"/>
      <c r="F34" s="152"/>
      <c r="G34" s="4"/>
      <c r="I34" s="67"/>
    </row>
    <row r="35" spans="1:9" ht="15.5">
      <c r="A35" s="7"/>
      <c r="C35" s="2" t="s">
        <v>93</v>
      </c>
      <c r="D35" s="2"/>
      <c r="E35" s="10"/>
      <c r="F35" s="10"/>
      <c r="I35" s="67"/>
    </row>
    <row r="36" spans="1:9" ht="15.5">
      <c r="A36" s="7" t="s">
        <v>248</v>
      </c>
      <c r="C36" s="2" t="s">
        <v>249</v>
      </c>
      <c r="D36" s="2"/>
      <c r="E36" s="152" t="s">
        <v>318</v>
      </c>
      <c r="F36" s="152"/>
      <c r="G36" s="19">
        <f>'Attachment H-21-A ATSI '!I178</f>
        <v>273051894.57446367</v>
      </c>
      <c r="I36" s="67"/>
    </row>
    <row r="37" spans="1:9" ht="15.5">
      <c r="A37" s="7" t="s">
        <v>250</v>
      </c>
      <c r="C37" s="4" t="s">
        <v>251</v>
      </c>
      <c r="D37" s="4"/>
      <c r="E37" s="152" t="s">
        <v>282</v>
      </c>
      <c r="F37" s="152"/>
      <c r="G37" s="68">
        <f>IF(G19=0,0,G36/G19)</f>
        <v>0.06579909275963769</v>
      </c>
      <c r="I37" s="68">
        <f>G37</f>
        <v>0.06579909275963769</v>
      </c>
    </row>
    <row r="38" spans="1:9" ht="15.5">
      <c r="A38" s="7"/>
      <c r="C38" s="2"/>
      <c r="D38" s="2"/>
      <c r="E38" s="152"/>
      <c r="F38" s="152"/>
      <c r="G38" s="4"/>
      <c r="I38" s="67"/>
    </row>
    <row r="39" spans="1:9" ht="15.5">
      <c r="A39" s="151" t="s">
        <v>252</v>
      </c>
      <c r="B39" s="33"/>
      <c r="C39" s="18" t="s">
        <v>253</v>
      </c>
      <c r="D39" s="18"/>
      <c r="E39" s="17" t="s">
        <v>254</v>
      </c>
      <c r="F39" s="17"/>
      <c r="G39" s="9"/>
      <c r="I39" s="69">
        <f>I33+I37</f>
        <v>0.079749874093303932</v>
      </c>
    </row>
    <row r="42" spans="1:7" ht="15.5">
      <c r="A42" s="27"/>
      <c r="G42" s="4"/>
    </row>
    <row r="43" spans="15:15" ht="15.5">
      <c r="O43" s="26" t="str">
        <f>O1</f>
        <v>Attachment  H-21A, Appendix D</v>
      </c>
    </row>
    <row r="44" spans="15:15" ht="15.5">
      <c r="O44" s="26" t="s">
        <v>283</v>
      </c>
    </row>
    <row r="45" spans="15:15" ht="15.5">
      <c r="O45" s="26" t="str">
        <f>O3</f>
        <v>For the 12 months ended 12/31/2022</v>
      </c>
    </row>
    <row r="46" spans="1:7" ht="15.5">
      <c r="A46" s="27"/>
      <c r="G46" s="4"/>
    </row>
    <row r="47" spans="1:4" ht="15.5">
      <c r="A47" s="27"/>
      <c r="C47" s="2"/>
      <c r="D47" s="2"/>
    </row>
    <row r="48" spans="1:13" ht="15.5">
      <c r="A48" s="27"/>
      <c r="C48" s="2"/>
      <c r="D48" s="2"/>
      <c r="M48" s="4"/>
    </row>
    <row r="49" spans="1:1" ht="14.25" customHeight="1">
      <c r="A49" s="27"/>
    </row>
    <row r="50" spans="1:15" ht="15.5">
      <c r="A50" s="673" t="str">
        <f>A5</f>
        <v>Transmission Enhancement Credit</v>
      </c>
      <c r="B50" s="673"/>
      <c r="C50" s="673"/>
      <c r="D50" s="673"/>
      <c r="E50" s="673"/>
      <c r="F50" s="673"/>
      <c r="G50" s="673"/>
      <c r="H50" s="673"/>
      <c r="I50" s="673"/>
      <c r="J50" s="673"/>
      <c r="K50" s="673"/>
      <c r="L50" s="673"/>
      <c r="M50" s="673"/>
      <c r="N50" s="673"/>
      <c r="O50" s="673"/>
    </row>
    <row r="51" spans="1:15" ht="15.5">
      <c r="A51" s="674" t="str">
        <f>A6</f>
        <v>To be completed in conjunction with Attachment H-21A</v>
      </c>
      <c r="B51" s="674"/>
      <c r="C51" s="674"/>
      <c r="D51" s="674"/>
      <c r="E51" s="674"/>
      <c r="F51" s="674"/>
      <c r="G51" s="674"/>
      <c r="H51" s="674"/>
      <c r="I51" s="674"/>
      <c r="J51" s="674"/>
      <c r="K51" s="674"/>
      <c r="L51" s="674"/>
      <c r="M51" s="674"/>
      <c r="N51" s="674"/>
      <c r="O51" s="674"/>
    </row>
    <row r="52" spans="1:13" ht="15.5">
      <c r="A52" s="27"/>
      <c r="E52" s="18"/>
      <c r="H52" s="2"/>
      <c r="I52" s="2"/>
      <c r="J52" s="2"/>
      <c r="K52" s="2"/>
      <c r="L52" s="226"/>
      <c r="M52" s="2"/>
    </row>
    <row r="53" spans="1:13" ht="15.5">
      <c r="A53" s="27"/>
      <c r="E53" s="18"/>
      <c r="F53" s="18"/>
      <c r="H53" s="2"/>
      <c r="I53" s="2"/>
      <c r="J53" s="2"/>
      <c r="K53" s="2"/>
      <c r="L53" s="226"/>
      <c r="M53" s="2"/>
    </row>
    <row r="54" spans="1:14" ht="15.5">
      <c r="A54" s="27"/>
      <c r="C54" s="35">
        <v>-1</v>
      </c>
      <c r="D54" s="35">
        <v>-2</v>
      </c>
      <c r="E54" s="35">
        <v>-3</v>
      </c>
      <c r="F54" s="35">
        <v>-4</v>
      </c>
      <c r="G54" s="35">
        <v>-5</v>
      </c>
      <c r="H54" s="35">
        <v>-6</v>
      </c>
      <c r="I54" s="35">
        <v>-7</v>
      </c>
      <c r="J54" s="35">
        <v>-8</v>
      </c>
      <c r="K54" s="35">
        <v>-9</v>
      </c>
      <c r="L54" s="35">
        <v>-10</v>
      </c>
      <c r="M54" s="151" t="s">
        <v>714</v>
      </c>
      <c r="N54" s="151" t="s">
        <v>715</v>
      </c>
    </row>
    <row r="55" spans="1:14" ht="60.5">
      <c r="A55" s="36" t="s">
        <v>255</v>
      </c>
      <c r="B55" s="37"/>
      <c r="C55" s="64" t="s">
        <v>256</v>
      </c>
      <c r="D55" s="38" t="s">
        <v>296</v>
      </c>
      <c r="E55" s="39" t="s">
        <v>481</v>
      </c>
      <c r="F55" s="39" t="s">
        <v>242</v>
      </c>
      <c r="G55" s="40" t="s">
        <v>259</v>
      </c>
      <c r="H55" s="39" t="s">
        <v>260</v>
      </c>
      <c r="I55" s="39" t="s">
        <v>253</v>
      </c>
      <c r="J55" s="40" t="s">
        <v>261</v>
      </c>
      <c r="K55" s="39" t="s">
        <v>262</v>
      </c>
      <c r="L55" s="314"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4" t="s">
        <v>639</v>
      </c>
      <c r="M56" s="154" t="s">
        <v>580</v>
      </c>
      <c r="N56" s="154" t="s">
        <v>716</v>
      </c>
    </row>
    <row r="57" spans="1:14" ht="15.5">
      <c r="A57" s="47"/>
      <c r="B57" s="2"/>
      <c r="C57" s="2"/>
      <c r="D57" s="2"/>
      <c r="E57" s="2"/>
      <c r="F57" s="2"/>
      <c r="G57" s="48"/>
      <c r="H57" s="2"/>
      <c r="I57" s="2"/>
      <c r="J57" s="48"/>
      <c r="K57" s="2"/>
      <c r="L57" s="229"/>
      <c r="M57" s="48"/>
      <c r="N57" s="48"/>
    </row>
    <row r="58" spans="1:15" ht="15.5">
      <c r="A58" s="65" t="s">
        <v>9</v>
      </c>
      <c r="B58" s="32"/>
      <c r="C58" s="283" t="s">
        <v>915</v>
      </c>
      <c r="D58" s="285" t="s">
        <v>916</v>
      </c>
      <c r="E58" s="99">
        <v>11591749.349999996</v>
      </c>
      <c r="F58" s="68">
        <f>$I$29</f>
        <v>0.086257890794853742</v>
      </c>
      <c r="G58" s="246">
        <f>E58*F58</f>
        <v>999879.84955361648</v>
      </c>
      <c r="H58" s="99">
        <v>9787415.4406118859</v>
      </c>
      <c r="I58" s="68">
        <f>$I$39</f>
        <v>0.079749874093303932</v>
      </c>
      <c r="J58" s="246">
        <f>H58*I58</f>
        <v>780545.14908765676</v>
      </c>
      <c r="K58" s="99">
        <v>298093.42628459999</v>
      </c>
      <c r="L58" s="61">
        <f>G58+J58+K58</f>
        <v>2078518.4249258733</v>
      </c>
      <c r="M58" s="293"/>
      <c r="N58" s="61">
        <f>L58+M58</f>
        <v>2078518.4249258733</v>
      </c>
      <c r="O58" s="602"/>
    </row>
    <row r="59" spans="1:15" ht="15.5">
      <c r="A59" s="65" t="s">
        <v>267</v>
      </c>
      <c r="B59" s="32"/>
      <c r="C59" s="283" t="s">
        <v>917</v>
      </c>
      <c r="D59" s="285" t="s">
        <v>918</v>
      </c>
      <c r="E59" s="99">
        <v>18993935.189999998</v>
      </c>
      <c r="F59" s="68">
        <f>$I$29</f>
        <v>0.086257890794853742</v>
      </c>
      <c r="G59" s="246">
        <f>E59*F59</f>
        <v>1638376.7873835494</v>
      </c>
      <c r="H59" s="99">
        <v>14614625.08918695</v>
      </c>
      <c r="I59" s="68">
        <f>$I$39</f>
        <v>0.079749874093303932</v>
      </c>
      <c r="J59" s="246">
        <f>H59*I59</f>
        <v>1165514.5107835</v>
      </c>
      <c r="K59" s="99">
        <v>535173.11791343987</v>
      </c>
      <c r="L59" s="61">
        <f>G59+J59+K59</f>
        <v>3339064.4160804893</v>
      </c>
      <c r="M59" s="293"/>
      <c r="N59" s="61">
        <f>L59+M59</f>
        <v>3339064.4160804893</v>
      </c>
      <c r="O59" s="602"/>
    </row>
    <row r="60" spans="1:15" ht="15.5">
      <c r="A60" s="65" t="s">
        <v>268</v>
      </c>
      <c r="B60" s="32"/>
      <c r="C60" s="283" t="s">
        <v>919</v>
      </c>
      <c r="D60" s="285" t="s">
        <v>920</v>
      </c>
      <c r="E60" s="99">
        <v>38175348.164615385</v>
      </c>
      <c r="F60" s="68">
        <f>$I$29</f>
        <v>0.086257890794853742</v>
      </c>
      <c r="G60" s="246">
        <f>E60*F60</f>
        <v>3292925.0130389142</v>
      </c>
      <c r="H60" s="99">
        <v>31500464.545058779</v>
      </c>
      <c r="I60" s="68">
        <f>$I$39</f>
        <v>0.079749874093303932</v>
      </c>
      <c r="J60" s="246">
        <f>H60*I60</f>
        <v>2512158.0813490222</v>
      </c>
      <c r="K60" s="99">
        <v>909790.6204981202</v>
      </c>
      <c r="L60" s="61">
        <f>G60+J60+K60</f>
        <v>6714873.7148860563</v>
      </c>
      <c r="M60" s="293"/>
      <c r="N60" s="61">
        <f>L60+M60</f>
        <v>6714873.7148860563</v>
      </c>
      <c r="O60" s="602"/>
    </row>
    <row r="61" spans="1:15" ht="15.5">
      <c r="A61" s="65" t="s">
        <v>705</v>
      </c>
      <c r="B61" s="32"/>
      <c r="C61" s="283" t="s">
        <v>921</v>
      </c>
      <c r="D61" s="285" t="s">
        <v>922</v>
      </c>
      <c r="E61" s="99">
        <v>84548213.016153842</v>
      </c>
      <c r="F61" s="68">
        <f t="shared" si="0" ref="F61:F65">$I$29</f>
        <v>0.086257890794853742</v>
      </c>
      <c r="G61" s="246">
        <f t="shared" si="1" ref="G61:G65">E61*F61</f>
        <v>7292950.5252474295</v>
      </c>
      <c r="H61" s="99">
        <v>74639716.764037088</v>
      </c>
      <c r="I61" s="68">
        <f t="shared" si="2" ref="I61:I65">$I$39</f>
        <v>0.079749874093303932</v>
      </c>
      <c r="J61" s="246">
        <f t="shared" si="3" ref="J61:J65">H61*I61</f>
        <v>5952508.0142918248</v>
      </c>
      <c r="K61" s="99">
        <v>2415709.43448433</v>
      </c>
      <c r="L61" s="61">
        <f t="shared" si="4" ref="L61:L65">G61+J61+K61</f>
        <v>15661167.974023584</v>
      </c>
      <c r="M61" s="293"/>
      <c r="N61" s="61">
        <f t="shared" si="5" ref="N61:N65">L61+M61</f>
        <v>15661167.974023584</v>
      </c>
      <c r="O61" s="602"/>
    </row>
    <row r="62" spans="1:15" ht="15.5">
      <c r="A62" s="65" t="s">
        <v>706</v>
      </c>
      <c r="B62" s="32"/>
      <c r="C62" s="283" t="s">
        <v>923</v>
      </c>
      <c r="D62" s="285" t="s">
        <v>924</v>
      </c>
      <c r="E62" s="99">
        <v>10461075.739999998</v>
      </c>
      <c r="F62" s="68">
        <f t="shared" si="0"/>
        <v>0.086257890794853742</v>
      </c>
      <c r="G62" s="246">
        <f t="shared" si="1"/>
        <v>902350.3287776137</v>
      </c>
      <c r="H62" s="99">
        <v>8595566.6729516312</v>
      </c>
      <c r="I62" s="68">
        <f t="shared" si="2"/>
        <v>0.079749874093303932</v>
      </c>
      <c r="J62" s="246">
        <f t="shared" si="3"/>
        <v>685495.35992849199</v>
      </c>
      <c r="K62" s="99">
        <v>319983.38473511999</v>
      </c>
      <c r="L62" s="61">
        <f t="shared" si="4"/>
        <v>1907829.0734412256</v>
      </c>
      <c r="M62" s="293"/>
      <c r="N62" s="61">
        <f t="shared" si="5"/>
        <v>1907829.0734412256</v>
      </c>
      <c r="O62" s="602"/>
    </row>
    <row r="63" spans="1:15" ht="15.5">
      <c r="A63" s="65" t="s">
        <v>707</v>
      </c>
      <c r="B63" s="32"/>
      <c r="C63" s="283" t="s">
        <v>925</v>
      </c>
      <c r="D63" s="285" t="s">
        <v>926</v>
      </c>
      <c r="E63" s="99">
        <v>2764577.4900000012</v>
      </c>
      <c r="F63" s="68">
        <f t="shared" si="0"/>
        <v>0.086257890794853742</v>
      </c>
      <c r="G63" s="246">
        <f t="shared" si="1"/>
        <v>238466.62322633096</v>
      </c>
      <c r="H63" s="99">
        <v>2415769.5653790571</v>
      </c>
      <c r="I63" s="68">
        <f t="shared" si="2"/>
        <v>0.079749874093303932</v>
      </c>
      <c r="J63" s="246">
        <f t="shared" si="3"/>
        <v>192657.31867741537</v>
      </c>
      <c r="K63" s="99">
        <v>56961.354603960004</v>
      </c>
      <c r="L63" s="61">
        <f t="shared" si="4"/>
        <v>488085.29650770634</v>
      </c>
      <c r="M63" s="293"/>
      <c r="N63" s="61">
        <f t="shared" si="5"/>
        <v>488085.29650770634</v>
      </c>
      <c r="O63" s="602"/>
    </row>
    <row r="64" spans="1:15" ht="15.5">
      <c r="A64" s="65" t="s">
        <v>708</v>
      </c>
      <c r="B64" s="32"/>
      <c r="C64" s="283" t="s">
        <v>927</v>
      </c>
      <c r="D64" s="285" t="s">
        <v>928</v>
      </c>
      <c r="E64" s="99">
        <v>6276432.9800000023</v>
      </c>
      <c r="F64" s="68">
        <f t="shared" si="0"/>
        <v>0.086257890794853742</v>
      </c>
      <c r="G64" s="246">
        <f t="shared" si="1"/>
        <v>541391.87057005859</v>
      </c>
      <c r="H64" s="99">
        <v>5448574.1339640198</v>
      </c>
      <c r="I64" s="68">
        <f t="shared" si="2"/>
        <v>0.079749874093303932</v>
      </c>
      <c r="J64" s="246">
        <f t="shared" si="3"/>
        <v>434523.10117166309</v>
      </c>
      <c r="K64" s="99">
        <v>133160.80210368001</v>
      </c>
      <c r="L64" s="61">
        <f t="shared" si="4"/>
        <v>1109075.7738454018</v>
      </c>
      <c r="M64" s="293"/>
      <c r="N64" s="61">
        <f t="shared" si="5"/>
        <v>1109075.7738454018</v>
      </c>
      <c r="O64" s="602"/>
    </row>
    <row r="65" spans="1:15" ht="15.5">
      <c r="A65" s="65" t="s">
        <v>709</v>
      </c>
      <c r="B65" s="32"/>
      <c r="C65" s="283" t="s">
        <v>929</v>
      </c>
      <c r="D65" s="285" t="s">
        <v>930</v>
      </c>
      <c r="E65" s="99">
        <v>3233283.8892307696</v>
      </c>
      <c r="F65" s="68">
        <f t="shared" si="0"/>
        <v>0.086257890794853742</v>
      </c>
      <c r="G65" s="246">
        <f t="shared" si="1"/>
        <v>278896.24862602772</v>
      </c>
      <c r="H65" s="99">
        <v>2991209.792471908</v>
      </c>
      <c r="I65" s="68">
        <f t="shared" si="2"/>
        <v>0.079749874093303932</v>
      </c>
      <c r="J65" s="246">
        <f t="shared" si="3"/>
        <v>238548.60433629245</v>
      </c>
      <c r="K65" s="99">
        <v>86989.133630370008</v>
      </c>
      <c r="L65" s="61">
        <f t="shared" si="4"/>
        <v>604433.98659269023</v>
      </c>
      <c r="M65" s="293"/>
      <c r="N65" s="61">
        <f t="shared" si="5"/>
        <v>604433.98659269023</v>
      </c>
      <c r="O65" s="602"/>
    </row>
    <row r="66" spans="1:14" ht="15.5">
      <c r="A66" s="50"/>
      <c r="C66" s="52"/>
      <c r="D66" s="52"/>
      <c r="E66" s="52"/>
      <c r="F66" s="52"/>
      <c r="G66" s="53"/>
      <c r="H66" s="52"/>
      <c r="I66" s="52"/>
      <c r="J66" s="53"/>
      <c r="K66" s="52"/>
      <c r="L66" s="53"/>
      <c r="M66" s="53"/>
      <c r="N66" s="53"/>
    </row>
    <row r="67" spans="1:14" ht="15.5">
      <c r="A67" s="50"/>
      <c r="C67" s="52"/>
      <c r="D67" s="52"/>
      <c r="E67" s="52"/>
      <c r="F67" s="52"/>
      <c r="G67" s="53"/>
      <c r="H67" s="52"/>
      <c r="I67" s="52"/>
      <c r="J67" s="53"/>
      <c r="K67" s="52"/>
      <c r="L67" s="53"/>
      <c r="M67" s="53"/>
      <c r="N67" s="53"/>
    </row>
    <row r="68" spans="1:14" ht="15.5">
      <c r="A68" s="50"/>
      <c r="C68" s="52"/>
      <c r="D68" s="52"/>
      <c r="E68" s="52"/>
      <c r="F68" s="52"/>
      <c r="G68" s="53"/>
      <c r="H68" s="52"/>
      <c r="I68" s="52"/>
      <c r="J68" s="53"/>
      <c r="K68" s="52"/>
      <c r="L68" s="53"/>
      <c r="M68" s="53"/>
      <c r="N68" s="53"/>
    </row>
    <row r="69" spans="1:14" ht="15.5">
      <c r="A69" s="50"/>
      <c r="C69" s="52"/>
      <c r="D69" s="52"/>
      <c r="E69" s="52"/>
      <c r="F69" s="52"/>
      <c r="G69" s="53"/>
      <c r="H69" s="52"/>
      <c r="I69" s="52"/>
      <c r="J69" s="53"/>
      <c r="K69" s="52"/>
      <c r="L69" s="53"/>
      <c r="M69" s="53"/>
      <c r="N69" s="53"/>
    </row>
    <row r="70" spans="1:14" ht="15.5">
      <c r="A70" s="50"/>
      <c r="C70" s="52"/>
      <c r="D70" s="52"/>
      <c r="E70" s="52"/>
      <c r="F70" s="52"/>
      <c r="G70" s="53"/>
      <c r="H70" s="52"/>
      <c r="I70" s="52"/>
      <c r="J70" s="53"/>
      <c r="K70" s="52"/>
      <c r="L70" s="53"/>
      <c r="M70" s="53"/>
      <c r="N70" s="53"/>
    </row>
    <row r="71" spans="1:14" ht="15.5">
      <c r="A71" s="50"/>
      <c r="C71" s="52"/>
      <c r="D71" s="52"/>
      <c r="E71" s="52"/>
      <c r="F71" s="52"/>
      <c r="G71" s="53"/>
      <c r="H71" s="52"/>
      <c r="I71" s="52"/>
      <c r="J71" s="53"/>
      <c r="K71" s="52"/>
      <c r="L71" s="53"/>
      <c r="M71" s="53"/>
      <c r="N71" s="53"/>
    </row>
    <row r="72" spans="1:14" ht="15.5">
      <c r="A72" s="50"/>
      <c r="C72" s="52"/>
      <c r="D72" s="52"/>
      <c r="E72" s="52"/>
      <c r="F72" s="52"/>
      <c r="G72" s="53"/>
      <c r="H72" s="52"/>
      <c r="I72" s="52"/>
      <c r="J72" s="53"/>
      <c r="K72" s="52"/>
      <c r="L72" s="53"/>
      <c r="M72" s="53"/>
      <c r="N72" s="53"/>
    </row>
    <row r="73" spans="1:14" ht="15.5">
      <c r="A73" s="50"/>
      <c r="C73" s="52"/>
      <c r="D73" s="52"/>
      <c r="E73" s="52"/>
      <c r="F73" s="52"/>
      <c r="G73" s="53"/>
      <c r="H73" s="52"/>
      <c r="I73" s="52"/>
      <c r="J73" s="53"/>
      <c r="K73" s="52"/>
      <c r="L73" s="53"/>
      <c r="M73" s="53"/>
      <c r="N73" s="53"/>
    </row>
    <row r="74" spans="1:14" ht="15.5">
      <c r="A74" s="54"/>
      <c r="B74" s="55"/>
      <c r="C74" s="56"/>
      <c r="D74" s="56"/>
      <c r="E74" s="56"/>
      <c r="F74" s="56"/>
      <c r="G74" s="57"/>
      <c r="H74" s="56"/>
      <c r="I74" s="56"/>
      <c r="J74" s="57"/>
      <c r="K74" s="56"/>
      <c r="L74" s="57"/>
      <c r="M74" s="57"/>
      <c r="N74" s="57"/>
    </row>
    <row r="75" spans="1:14" ht="15.5">
      <c r="A75" s="7" t="s">
        <v>269</v>
      </c>
      <c r="C75" s="1" t="s">
        <v>319</v>
      </c>
      <c r="D75" s="2"/>
      <c r="E75" s="32"/>
      <c r="F75" s="32"/>
      <c r="G75" s="4"/>
      <c r="H75" s="4"/>
      <c r="I75" s="4"/>
      <c r="J75" s="4"/>
      <c r="K75" s="4"/>
      <c r="L75" s="4">
        <f>SUM(L58:L74)</f>
        <v>31903048.660303026</v>
      </c>
      <c r="M75" s="19"/>
      <c r="N75" s="245"/>
    </row>
    <row r="76" spans="1:13" ht="15.5">
      <c r="A76" s="52"/>
      <c r="B76" s="52"/>
      <c r="C76" s="52"/>
      <c r="D76" s="52"/>
      <c r="E76" s="52"/>
      <c r="F76" s="52"/>
      <c r="G76" s="52"/>
      <c r="H76" s="52"/>
      <c r="I76" s="52"/>
      <c r="J76" s="52"/>
      <c r="K76" s="52"/>
      <c r="L76" s="227"/>
      <c r="M76" s="52"/>
    </row>
    <row r="77" spans="1:13" ht="15.5">
      <c r="A77" s="62" t="s">
        <v>297</v>
      </c>
      <c r="B77" s="52"/>
      <c r="C77" s="52"/>
      <c r="D77" s="52"/>
      <c r="E77" s="52"/>
      <c r="F77" s="52"/>
      <c r="G77" s="52"/>
      <c r="H77" s="52"/>
      <c r="I77" s="52"/>
      <c r="J77" s="52"/>
      <c r="K77" s="52"/>
      <c r="L77" s="227"/>
      <c r="M77" s="52"/>
    </row>
    <row r="78" spans="1:13" ht="15.5">
      <c r="A78" s="32" t="s">
        <v>141</v>
      </c>
      <c r="C78" s="660" t="s">
        <v>320</v>
      </c>
      <c r="D78" s="660"/>
      <c r="E78" s="660"/>
      <c r="F78" s="660"/>
      <c r="G78" s="660"/>
      <c r="H78" s="660"/>
      <c r="I78" s="660"/>
      <c r="J78" s="660"/>
      <c r="K78" s="660"/>
      <c r="L78" s="660"/>
      <c r="M78" s="660"/>
    </row>
    <row r="79" spans="1:13" ht="15.5">
      <c r="A79" s="32" t="s">
        <v>142</v>
      </c>
      <c r="C79" s="660" t="s">
        <v>321</v>
      </c>
      <c r="D79" s="660"/>
      <c r="E79" s="660"/>
      <c r="F79" s="660"/>
      <c r="G79" s="660"/>
      <c r="H79" s="660"/>
      <c r="I79" s="660"/>
      <c r="J79" s="660"/>
      <c r="K79" s="660"/>
      <c r="L79" s="660"/>
      <c r="M79" s="660"/>
    </row>
    <row r="80" spans="1:13" ht="33" customHeight="1">
      <c r="A80" s="60" t="s">
        <v>143</v>
      </c>
      <c r="C80" s="676" t="s">
        <v>301</v>
      </c>
      <c r="D80" s="676"/>
      <c r="E80" s="676"/>
      <c r="F80" s="676"/>
      <c r="G80" s="676"/>
      <c r="H80" s="676"/>
      <c r="I80" s="676"/>
      <c r="J80" s="676"/>
      <c r="K80" s="676"/>
      <c r="L80" s="676"/>
      <c r="M80" s="676"/>
    </row>
    <row r="81" spans="1:13" ht="15.5">
      <c r="A81" s="60" t="s">
        <v>144</v>
      </c>
      <c r="C81" s="676" t="s">
        <v>271</v>
      </c>
      <c r="D81" s="676"/>
      <c r="E81" s="676"/>
      <c r="F81" s="676"/>
      <c r="G81" s="676"/>
      <c r="H81" s="676"/>
      <c r="I81" s="676"/>
      <c r="J81" s="676"/>
      <c r="K81" s="676"/>
      <c r="L81" s="676"/>
      <c r="M81" s="676"/>
    </row>
    <row r="82" spans="1:13" ht="15.5">
      <c r="A82" s="32" t="s">
        <v>145</v>
      </c>
      <c r="C82" s="660" t="s">
        <v>322</v>
      </c>
      <c r="D82" s="660"/>
      <c r="E82" s="660"/>
      <c r="F82" s="660"/>
      <c r="G82" s="660"/>
      <c r="H82" s="660"/>
      <c r="I82" s="660"/>
      <c r="J82" s="660"/>
      <c r="K82" s="660"/>
      <c r="L82" s="660"/>
      <c r="M82" s="660"/>
    </row>
    <row r="83" spans="1:13" s="225" customFormat="1" ht="15.5">
      <c r="A83" s="247" t="s">
        <v>146</v>
      </c>
      <c r="C83" s="672" t="s">
        <v>681</v>
      </c>
      <c r="D83" s="672"/>
      <c r="E83" s="672"/>
      <c r="F83" s="672"/>
      <c r="G83" s="672"/>
      <c r="H83" s="672"/>
      <c r="I83" s="672"/>
      <c r="J83" s="672"/>
      <c r="K83" s="672"/>
      <c r="L83" s="672"/>
      <c r="M83" s="672"/>
    </row>
    <row r="84" spans="1:10" ht="15.5">
      <c r="A84" s="6"/>
      <c r="C84" s="7"/>
      <c r="D84" s="7"/>
      <c r="E84" s="32"/>
      <c r="F84" s="32"/>
      <c r="G84" s="4"/>
      <c r="J84" s="30"/>
    </row>
    <row r="85" spans="1:10" ht="15.5">
      <c r="A85" s="6"/>
      <c r="C85" s="7"/>
      <c r="D85" s="7"/>
      <c r="E85" s="32"/>
      <c r="F85" s="32"/>
      <c r="G85" s="4"/>
      <c r="J85" s="30"/>
    </row>
    <row r="86" spans="3:13" ht="15.5">
      <c r="C86" s="52"/>
      <c r="D86" s="52"/>
      <c r="E86" s="52"/>
      <c r="F86" s="52"/>
      <c r="G86" s="52"/>
      <c r="H86" s="52"/>
      <c r="I86" s="52"/>
      <c r="J86" s="52"/>
      <c r="K86" s="52"/>
      <c r="L86" s="227"/>
      <c r="M86" s="52"/>
    </row>
    <row r="87" spans="3:13" ht="15.5">
      <c r="C87" s="52"/>
      <c r="D87" s="52"/>
      <c r="E87" s="52"/>
      <c r="F87" s="52"/>
      <c r="G87" s="52"/>
      <c r="H87" s="52"/>
      <c r="I87" s="52"/>
      <c r="J87" s="52"/>
      <c r="K87" s="52"/>
      <c r="L87" s="227"/>
      <c r="M87" s="52"/>
    </row>
    <row r="88" spans="3:13" ht="15.5">
      <c r="C88" s="52"/>
      <c r="D88" s="52"/>
      <c r="E88" s="52"/>
      <c r="F88" s="52"/>
      <c r="G88" s="52"/>
      <c r="H88" s="52"/>
      <c r="I88" s="52"/>
      <c r="J88" s="52"/>
      <c r="K88" s="52"/>
      <c r="L88" s="227"/>
      <c r="M88" s="52"/>
    </row>
    <row r="89" spans="3:13" ht="15.5">
      <c r="C89" s="52"/>
      <c r="D89" s="52"/>
      <c r="E89" s="52"/>
      <c r="F89" s="52"/>
      <c r="G89" s="52"/>
      <c r="H89" s="52"/>
      <c r="I89" s="52"/>
      <c r="J89" s="52"/>
      <c r="K89" s="52"/>
      <c r="L89" s="227"/>
      <c r="M89" s="52"/>
    </row>
    <row r="90" spans="3:13" ht="15.5">
      <c r="C90" s="52"/>
      <c r="D90" s="52"/>
      <c r="E90" s="52"/>
      <c r="F90" s="52"/>
      <c r="G90" s="52"/>
      <c r="H90" s="52"/>
      <c r="I90" s="52"/>
      <c r="J90" s="52"/>
      <c r="K90" s="52"/>
      <c r="L90" s="227"/>
      <c r="M90" s="52"/>
    </row>
    <row r="91" spans="3:13" ht="15.5">
      <c r="C91" s="52"/>
      <c r="D91" s="52"/>
      <c r="E91" s="52"/>
      <c r="F91" s="52"/>
      <c r="G91" s="52"/>
      <c r="H91" s="52"/>
      <c r="I91" s="52"/>
      <c r="J91" s="52"/>
      <c r="K91" s="52"/>
      <c r="L91" s="227"/>
      <c r="M91" s="52"/>
    </row>
    <row r="92" spans="3:13" ht="15.5">
      <c r="C92" s="52"/>
      <c r="D92" s="52"/>
      <c r="E92" s="52"/>
      <c r="F92" s="52"/>
      <c r="G92" s="52"/>
      <c r="H92" s="52"/>
      <c r="I92" s="52"/>
      <c r="J92" s="52"/>
      <c r="K92" s="52"/>
      <c r="L92" s="227"/>
      <c r="M92" s="52"/>
    </row>
    <row r="93" spans="3:13" ht="15.5">
      <c r="C93" s="52"/>
      <c r="D93" s="52"/>
      <c r="E93" s="52"/>
      <c r="F93" s="52"/>
      <c r="G93" s="52"/>
      <c r="H93" s="52"/>
      <c r="I93" s="52"/>
      <c r="J93" s="52"/>
      <c r="K93" s="52"/>
      <c r="L93" s="227"/>
      <c r="M93" s="52"/>
    </row>
    <row r="94" spans="3:13" ht="15.5">
      <c r="C94" s="52"/>
      <c r="D94" s="52"/>
      <c r="E94" s="52"/>
      <c r="F94" s="52"/>
      <c r="G94" s="52"/>
      <c r="H94" s="52"/>
      <c r="I94" s="52"/>
      <c r="J94" s="52"/>
      <c r="K94" s="52"/>
      <c r="L94" s="227"/>
      <c r="M94" s="52"/>
    </row>
    <row r="95" spans="3:13" ht="15.5">
      <c r="C95" s="52"/>
      <c r="D95" s="52"/>
      <c r="E95" s="52"/>
      <c r="F95" s="52"/>
      <c r="G95" s="52"/>
      <c r="H95" s="52"/>
      <c r="I95" s="52"/>
      <c r="J95" s="52"/>
      <c r="K95" s="52"/>
      <c r="L95" s="227"/>
      <c r="M95" s="52"/>
    </row>
    <row r="96" spans="3:13" ht="15.5">
      <c r="C96" s="52"/>
      <c r="D96" s="52"/>
      <c r="E96" s="52"/>
      <c r="F96" s="52"/>
      <c r="G96" s="52"/>
      <c r="H96" s="52"/>
      <c r="I96" s="52"/>
      <c r="J96" s="52"/>
      <c r="K96" s="52"/>
      <c r="L96" s="227"/>
      <c r="M96" s="52"/>
    </row>
    <row r="97" spans="3:13" ht="15.5">
      <c r="C97" s="52"/>
      <c r="D97" s="52"/>
      <c r="E97" s="52"/>
      <c r="F97" s="52"/>
      <c r="G97" s="52"/>
      <c r="H97" s="52"/>
      <c r="I97" s="52"/>
      <c r="J97" s="52"/>
      <c r="K97" s="52"/>
      <c r="L97" s="227"/>
      <c r="M97" s="52"/>
    </row>
    <row r="98" spans="3:13" ht="15.5">
      <c r="C98" s="52"/>
      <c r="D98" s="52"/>
      <c r="E98" s="52"/>
      <c r="F98" s="52"/>
      <c r="G98" s="52"/>
      <c r="H98" s="52"/>
      <c r="I98" s="52"/>
      <c r="J98" s="52"/>
      <c r="K98" s="52"/>
      <c r="L98" s="227"/>
      <c r="M98" s="52"/>
    </row>
    <row r="99" spans="3:13" ht="15.5">
      <c r="C99" s="52"/>
      <c r="D99" s="52"/>
      <c r="E99" s="52"/>
      <c r="F99" s="52"/>
      <c r="G99" s="52"/>
      <c r="H99" s="52"/>
      <c r="I99" s="52"/>
      <c r="J99" s="52"/>
      <c r="K99" s="52"/>
      <c r="L99" s="227"/>
      <c r="M99" s="52"/>
    </row>
    <row r="100" spans="3:13" ht="15.5">
      <c r="C100" s="52"/>
      <c r="D100" s="52"/>
      <c r="E100" s="52"/>
      <c r="F100" s="52"/>
      <c r="G100" s="52"/>
      <c r="H100" s="52"/>
      <c r="I100" s="52"/>
      <c r="J100" s="52"/>
      <c r="K100" s="52"/>
      <c r="L100" s="227"/>
      <c r="M100" s="52"/>
    </row>
    <row r="101" spans="3:13" ht="15.5">
      <c r="C101" s="52"/>
      <c r="D101" s="52"/>
      <c r="E101" s="52"/>
      <c r="F101" s="52"/>
      <c r="G101" s="52"/>
      <c r="H101" s="52"/>
      <c r="I101" s="52"/>
      <c r="J101" s="52"/>
      <c r="K101" s="52"/>
      <c r="L101" s="227"/>
      <c r="M101" s="52"/>
    </row>
    <row r="102" spans="3:13" ht="15.5">
      <c r="C102" s="52"/>
      <c r="D102" s="52"/>
      <c r="E102" s="52"/>
      <c r="F102" s="52"/>
      <c r="G102" s="52"/>
      <c r="H102" s="52"/>
      <c r="I102" s="52"/>
      <c r="J102" s="52"/>
      <c r="K102" s="52"/>
      <c r="L102" s="227"/>
      <c r="M102" s="52"/>
    </row>
    <row r="103" spans="3:13" ht="15.5">
      <c r="C103" s="52"/>
      <c r="D103" s="52"/>
      <c r="E103" s="52"/>
      <c r="F103" s="52"/>
      <c r="G103" s="52"/>
      <c r="H103" s="52"/>
      <c r="I103" s="52"/>
      <c r="J103" s="52"/>
      <c r="K103" s="52"/>
      <c r="L103" s="227"/>
      <c r="M103" s="52"/>
    </row>
    <row r="104" spans="3:13" ht="15.5">
      <c r="C104" s="52"/>
      <c r="D104" s="52"/>
      <c r="E104" s="52"/>
      <c r="F104" s="52"/>
      <c r="G104" s="52"/>
      <c r="H104" s="52"/>
      <c r="I104" s="52"/>
      <c r="J104" s="52"/>
      <c r="K104" s="52"/>
      <c r="L104" s="227"/>
      <c r="M104" s="52"/>
    </row>
    <row r="105" spans="3:13" ht="15.5">
      <c r="C105" s="52"/>
      <c r="D105" s="52"/>
      <c r="E105" s="52"/>
      <c r="F105" s="52"/>
      <c r="G105" s="52"/>
      <c r="H105" s="52"/>
      <c r="I105" s="52"/>
      <c r="J105" s="52"/>
      <c r="K105" s="52"/>
      <c r="L105" s="227"/>
      <c r="M105" s="52"/>
    </row>
    <row r="106" spans="3:13" ht="15.5">
      <c r="C106" s="52"/>
      <c r="D106" s="52"/>
      <c r="E106" s="52"/>
      <c r="F106" s="52"/>
      <c r="G106" s="52"/>
      <c r="H106" s="52"/>
      <c r="I106" s="52"/>
      <c r="J106" s="52"/>
      <c r="K106" s="52"/>
      <c r="L106" s="227"/>
      <c r="M106" s="52"/>
    </row>
    <row r="107" spans="3:13" ht="15.5">
      <c r="C107" s="52"/>
      <c r="D107" s="52"/>
      <c r="E107" s="52"/>
      <c r="F107" s="52"/>
      <c r="G107" s="52"/>
      <c r="H107" s="52"/>
      <c r="I107" s="52"/>
      <c r="J107" s="52"/>
      <c r="K107" s="52"/>
      <c r="L107" s="227"/>
      <c r="M107" s="52"/>
    </row>
    <row r="108" spans="3:13" ht="15.5">
      <c r="C108" s="52"/>
      <c r="D108" s="52"/>
      <c r="E108" s="52"/>
      <c r="F108" s="52"/>
      <c r="G108" s="52"/>
      <c r="H108" s="52"/>
      <c r="I108" s="52"/>
      <c r="J108" s="52"/>
      <c r="K108" s="52"/>
      <c r="L108" s="227"/>
      <c r="M108" s="52"/>
    </row>
    <row r="109" spans="3:13" ht="15.5">
      <c r="C109" s="52"/>
      <c r="D109" s="52"/>
      <c r="E109" s="52"/>
      <c r="F109" s="52"/>
      <c r="G109" s="52"/>
      <c r="H109" s="52"/>
      <c r="I109" s="52"/>
      <c r="J109" s="52"/>
      <c r="K109" s="52"/>
      <c r="L109" s="227"/>
      <c r="M109" s="52"/>
    </row>
    <row r="110" spans="3:13" ht="15.5">
      <c r="C110" s="52"/>
      <c r="D110" s="52"/>
      <c r="E110" s="52"/>
      <c r="F110" s="52"/>
      <c r="G110" s="52"/>
      <c r="H110" s="52"/>
      <c r="I110" s="52"/>
      <c r="J110" s="52"/>
      <c r="K110" s="52"/>
      <c r="L110" s="227"/>
      <c r="M110" s="52"/>
    </row>
    <row r="111" spans="3:13" ht="15.5">
      <c r="C111" s="52"/>
      <c r="D111" s="52"/>
      <c r="E111" s="52"/>
      <c r="F111" s="52"/>
      <c r="G111" s="52"/>
      <c r="H111" s="52"/>
      <c r="I111" s="52"/>
      <c r="J111" s="52"/>
      <c r="K111" s="52"/>
      <c r="L111" s="227"/>
      <c r="M111" s="52"/>
    </row>
    <row r="112" spans="3:13" ht="15.5">
      <c r="C112" s="52"/>
      <c r="D112" s="52"/>
      <c r="E112" s="52"/>
      <c r="F112" s="52"/>
      <c r="G112" s="52"/>
      <c r="H112" s="52"/>
      <c r="I112" s="52"/>
      <c r="J112" s="52"/>
      <c r="K112" s="52"/>
      <c r="L112" s="227"/>
      <c r="M112" s="52"/>
    </row>
    <row r="113" spans="3:13" ht="15.5">
      <c r="C113" s="52"/>
      <c r="D113" s="52"/>
      <c r="E113" s="52"/>
      <c r="F113" s="52"/>
      <c r="G113" s="52"/>
      <c r="H113" s="52"/>
      <c r="I113" s="52"/>
      <c r="J113" s="52"/>
      <c r="K113" s="52"/>
      <c r="L113" s="227"/>
      <c r="M113" s="52"/>
    </row>
    <row r="114" spans="3:13" ht="15.5">
      <c r="C114" s="52"/>
      <c r="D114" s="52"/>
      <c r="E114" s="52"/>
      <c r="F114" s="52"/>
      <c r="G114" s="52"/>
      <c r="H114" s="52"/>
      <c r="I114" s="52"/>
      <c r="J114" s="52"/>
      <c r="K114" s="52"/>
      <c r="L114" s="227"/>
      <c r="M114" s="52"/>
    </row>
    <row r="115" spans="3:13" ht="15.5">
      <c r="C115" s="52"/>
      <c r="D115" s="52"/>
      <c r="E115" s="52"/>
      <c r="F115" s="52"/>
      <c r="G115" s="52"/>
      <c r="H115" s="52"/>
      <c r="I115" s="52"/>
      <c r="J115" s="52"/>
      <c r="K115" s="52"/>
      <c r="L115" s="227"/>
      <c r="M115" s="52"/>
    </row>
    <row r="116" spans="3:13" ht="15.5">
      <c r="C116" s="52"/>
      <c r="D116" s="52"/>
      <c r="E116" s="52"/>
      <c r="F116" s="52"/>
      <c r="G116" s="52"/>
      <c r="H116" s="52"/>
      <c r="I116" s="52"/>
      <c r="J116" s="52"/>
      <c r="K116" s="52"/>
      <c r="L116" s="227"/>
      <c r="M116" s="52"/>
    </row>
    <row r="117" spans="3:13" ht="15.5">
      <c r="C117" s="52"/>
      <c r="D117" s="52"/>
      <c r="E117" s="52"/>
      <c r="F117" s="52"/>
      <c r="G117" s="52"/>
      <c r="H117" s="52"/>
      <c r="I117" s="52"/>
      <c r="J117" s="52"/>
      <c r="K117" s="52"/>
      <c r="L117" s="227"/>
      <c r="M117" s="52"/>
    </row>
    <row r="118" spans="3:13" ht="15.5">
      <c r="C118" s="52"/>
      <c r="D118" s="52"/>
      <c r="E118" s="52"/>
      <c r="F118" s="52"/>
      <c r="G118" s="52"/>
      <c r="H118" s="52"/>
      <c r="I118" s="52"/>
      <c r="J118" s="52"/>
      <c r="K118" s="52"/>
      <c r="L118" s="227"/>
      <c r="M118" s="52"/>
    </row>
    <row r="119" spans="3:13" ht="15.5">
      <c r="C119" s="52"/>
      <c r="D119" s="52"/>
      <c r="E119" s="52"/>
      <c r="F119" s="52"/>
      <c r="G119" s="52"/>
      <c r="H119" s="52"/>
      <c r="I119" s="52"/>
      <c r="J119" s="52"/>
      <c r="K119" s="52"/>
      <c r="L119" s="227"/>
      <c r="M119" s="52"/>
    </row>
    <row r="120" spans="3:13" ht="15.5">
      <c r="C120" s="52"/>
      <c r="D120" s="52"/>
      <c r="E120" s="52"/>
      <c r="F120" s="52"/>
      <c r="G120" s="52"/>
      <c r="H120" s="52"/>
      <c r="I120" s="52"/>
      <c r="J120" s="52"/>
      <c r="K120" s="52"/>
      <c r="L120" s="227"/>
      <c r="M120" s="52"/>
    </row>
    <row r="121" spans="3:13" ht="15.5">
      <c r="C121" s="52"/>
      <c r="D121" s="52"/>
      <c r="E121" s="52"/>
      <c r="F121" s="52"/>
      <c r="G121" s="52"/>
      <c r="H121" s="52"/>
      <c r="I121" s="52"/>
      <c r="J121" s="52"/>
      <c r="K121" s="52"/>
      <c r="L121" s="227"/>
      <c r="M121" s="52"/>
    </row>
    <row r="122" spans="3:13" ht="15.5">
      <c r="C122" s="52"/>
      <c r="D122" s="52"/>
      <c r="E122" s="52"/>
      <c r="F122" s="52"/>
      <c r="G122" s="52"/>
      <c r="H122" s="52"/>
      <c r="I122" s="52"/>
      <c r="J122" s="52"/>
      <c r="K122" s="52"/>
      <c r="L122" s="227"/>
      <c r="M122" s="52"/>
    </row>
    <row r="123" spans="3:13" ht="15.5">
      <c r="C123" s="52"/>
      <c r="D123" s="52"/>
      <c r="E123" s="52"/>
      <c r="F123" s="52"/>
      <c r="G123" s="52"/>
      <c r="H123" s="52"/>
      <c r="I123" s="52"/>
      <c r="J123" s="52"/>
      <c r="K123" s="52"/>
      <c r="L123" s="227"/>
      <c r="M123" s="52"/>
    </row>
    <row r="124" spans="3:13" ht="15.5">
      <c r="C124" s="52"/>
      <c r="D124" s="52"/>
      <c r="E124" s="52"/>
      <c r="F124" s="52"/>
      <c r="G124" s="52"/>
      <c r="H124" s="52"/>
      <c r="I124" s="52"/>
      <c r="J124" s="52"/>
      <c r="K124" s="52"/>
      <c r="L124" s="227"/>
      <c r="M124" s="52"/>
    </row>
    <row r="125" spans="3:13" ht="15.5">
      <c r="C125" s="52"/>
      <c r="D125" s="52"/>
      <c r="E125" s="52"/>
      <c r="F125" s="52"/>
      <c r="G125" s="52"/>
      <c r="H125" s="52"/>
      <c r="I125" s="52"/>
      <c r="J125" s="52"/>
      <c r="K125" s="52"/>
      <c r="L125" s="227"/>
      <c r="M125" s="52"/>
    </row>
    <row r="126" spans="3:13" ht="15.5">
      <c r="C126" s="52"/>
      <c r="D126" s="52"/>
      <c r="E126" s="52"/>
      <c r="F126" s="52"/>
      <c r="G126" s="52"/>
      <c r="H126" s="52"/>
      <c r="I126" s="52"/>
      <c r="J126" s="52"/>
      <c r="K126" s="52"/>
      <c r="L126" s="227"/>
      <c r="M126" s="52"/>
    </row>
    <row r="127" spans="3:13" ht="15.5">
      <c r="C127" s="52"/>
      <c r="D127" s="52"/>
      <c r="E127" s="52"/>
      <c r="F127" s="52"/>
      <c r="G127" s="52"/>
      <c r="H127" s="52"/>
      <c r="I127" s="52"/>
      <c r="J127" s="52"/>
      <c r="K127" s="52"/>
      <c r="L127" s="227"/>
      <c r="M127" s="52"/>
    </row>
    <row r="128" spans="3:13" ht="15.5">
      <c r="C128" s="52"/>
      <c r="D128" s="52"/>
      <c r="E128" s="52"/>
      <c r="F128" s="52"/>
      <c r="G128" s="52"/>
      <c r="H128" s="52"/>
      <c r="I128" s="52"/>
      <c r="J128" s="52"/>
      <c r="K128" s="52"/>
      <c r="L128" s="227"/>
      <c r="M128" s="52"/>
    </row>
    <row r="129" spans="3:13" ht="15.5">
      <c r="C129" s="52"/>
      <c r="D129" s="52"/>
      <c r="E129" s="52"/>
      <c r="F129" s="52"/>
      <c r="G129" s="52"/>
      <c r="H129" s="52"/>
      <c r="I129" s="52"/>
      <c r="J129" s="52"/>
      <c r="K129" s="52"/>
      <c r="L129" s="227"/>
      <c r="M129" s="52"/>
    </row>
    <row r="130" spans="3:13" ht="15.5">
      <c r="C130" s="52"/>
      <c r="D130" s="52"/>
      <c r="E130" s="52"/>
      <c r="F130" s="52"/>
      <c r="G130" s="52"/>
      <c r="H130" s="52"/>
      <c r="I130" s="52"/>
      <c r="J130" s="52"/>
      <c r="K130" s="52"/>
      <c r="L130" s="227"/>
      <c r="M130" s="52"/>
    </row>
    <row r="131" spans="3:13" ht="15.5">
      <c r="C131" s="52"/>
      <c r="D131" s="52"/>
      <c r="E131" s="52"/>
      <c r="F131" s="52"/>
      <c r="G131" s="52"/>
      <c r="H131" s="52"/>
      <c r="I131" s="52"/>
      <c r="J131" s="52"/>
      <c r="K131" s="52"/>
      <c r="L131" s="227"/>
      <c r="M131" s="52"/>
    </row>
    <row r="132" spans="3:13" ht="15.5">
      <c r="C132" s="52"/>
      <c r="D132" s="52"/>
      <c r="E132" s="52"/>
      <c r="F132" s="52"/>
      <c r="G132" s="52"/>
      <c r="H132" s="52"/>
      <c r="I132" s="52"/>
      <c r="J132" s="52"/>
      <c r="K132" s="52"/>
      <c r="L132" s="227"/>
      <c r="M132" s="52"/>
    </row>
    <row r="133" spans="3:13" ht="15.5">
      <c r="C133" s="52"/>
      <c r="D133" s="52"/>
      <c r="E133" s="52"/>
      <c r="F133" s="52"/>
      <c r="G133" s="52"/>
      <c r="H133" s="52"/>
      <c r="I133" s="52"/>
      <c r="J133" s="52"/>
      <c r="K133" s="52"/>
      <c r="L133" s="227"/>
      <c r="M133" s="52"/>
    </row>
    <row r="134" spans="3:13" ht="15.5">
      <c r="C134" s="52"/>
      <c r="D134" s="52"/>
      <c r="E134" s="52"/>
      <c r="F134" s="52"/>
      <c r="G134" s="52"/>
      <c r="H134" s="52"/>
      <c r="I134" s="52"/>
      <c r="J134" s="52"/>
      <c r="K134" s="52"/>
      <c r="L134" s="227"/>
      <c r="M134" s="52"/>
    </row>
    <row r="135" spans="3:13" ht="15.5">
      <c r="C135" s="52"/>
      <c r="D135" s="52"/>
      <c r="E135" s="52"/>
      <c r="F135" s="52"/>
      <c r="G135" s="52"/>
      <c r="H135" s="52"/>
      <c r="I135" s="52"/>
      <c r="J135" s="52"/>
      <c r="K135" s="52"/>
      <c r="L135" s="227"/>
      <c r="M135" s="52"/>
    </row>
    <row r="136" spans="3:13" ht="15.5">
      <c r="C136" s="52"/>
      <c r="D136" s="52"/>
      <c r="E136" s="52"/>
      <c r="F136" s="52"/>
      <c r="G136" s="52"/>
      <c r="H136" s="52"/>
      <c r="I136" s="52"/>
      <c r="J136" s="52"/>
      <c r="K136" s="52"/>
      <c r="L136" s="227"/>
      <c r="M136" s="52"/>
    </row>
    <row r="137" spans="3:13" ht="15.5">
      <c r="C137" s="52"/>
      <c r="D137" s="52"/>
      <c r="E137" s="52"/>
      <c r="F137" s="52"/>
      <c r="G137" s="52"/>
      <c r="H137" s="52"/>
      <c r="I137" s="52"/>
      <c r="J137" s="52"/>
      <c r="K137" s="52"/>
      <c r="L137" s="227"/>
      <c r="M137" s="52"/>
    </row>
    <row r="138" spans="3:13" ht="15.5">
      <c r="C138" s="52"/>
      <c r="D138" s="52"/>
      <c r="E138" s="52"/>
      <c r="F138" s="52"/>
      <c r="G138" s="52"/>
      <c r="H138" s="52"/>
      <c r="I138" s="52"/>
      <c r="J138" s="52"/>
      <c r="K138" s="52"/>
      <c r="L138" s="227"/>
      <c r="M138" s="52"/>
    </row>
    <row r="139" spans="3:13" ht="15.5">
      <c r="C139" s="52"/>
      <c r="D139" s="52"/>
      <c r="E139" s="52"/>
      <c r="F139" s="52"/>
      <c r="G139" s="52"/>
      <c r="H139" s="52"/>
      <c r="I139" s="52"/>
      <c r="J139" s="52"/>
      <c r="K139" s="52"/>
      <c r="L139" s="227"/>
      <c r="M139" s="52"/>
    </row>
    <row r="140" spans="3:13" ht="15.5">
      <c r="C140" s="52"/>
      <c r="D140" s="52"/>
      <c r="E140" s="52"/>
      <c r="F140" s="52"/>
      <c r="G140" s="52"/>
      <c r="H140" s="52"/>
      <c r="I140" s="52"/>
      <c r="J140" s="52"/>
      <c r="K140" s="52"/>
      <c r="L140" s="227"/>
      <c r="M140" s="52"/>
    </row>
    <row r="141" spans="3:13" ht="15.5">
      <c r="C141" s="52"/>
      <c r="D141" s="52"/>
      <c r="E141" s="52"/>
      <c r="F141" s="52"/>
      <c r="G141" s="52"/>
      <c r="H141" s="52"/>
      <c r="I141" s="52"/>
      <c r="J141" s="52"/>
      <c r="K141" s="52"/>
      <c r="L141" s="227"/>
      <c r="M141" s="52"/>
    </row>
    <row r="142" spans="3:13" ht="15.5">
      <c r="C142" s="52"/>
      <c r="D142" s="52"/>
      <c r="E142" s="52"/>
      <c r="F142" s="52"/>
      <c r="G142" s="52"/>
      <c r="H142" s="52"/>
      <c r="I142" s="52"/>
      <c r="J142" s="52"/>
      <c r="K142" s="52"/>
      <c r="L142" s="227"/>
      <c r="M142" s="52"/>
    </row>
    <row r="143" spans="3:13" ht="15.5">
      <c r="C143" s="52"/>
      <c r="D143" s="52"/>
      <c r="E143" s="52"/>
      <c r="F143" s="52"/>
      <c r="G143" s="52"/>
      <c r="H143" s="52"/>
      <c r="I143" s="52"/>
      <c r="J143" s="52"/>
      <c r="K143" s="52"/>
      <c r="L143" s="227"/>
      <c r="M143" s="52"/>
    </row>
    <row r="144" spans="3:13" ht="15.5">
      <c r="C144" s="52"/>
      <c r="D144" s="52"/>
      <c r="E144" s="52"/>
      <c r="F144" s="52"/>
      <c r="G144" s="52"/>
      <c r="H144" s="52"/>
      <c r="I144" s="52"/>
      <c r="J144" s="52"/>
      <c r="K144" s="52"/>
      <c r="L144" s="227"/>
      <c r="M144" s="52"/>
    </row>
    <row r="145" spans="3:13" ht="15.5">
      <c r="C145" s="52"/>
      <c r="D145" s="52"/>
      <c r="E145" s="52"/>
      <c r="F145" s="52"/>
      <c r="G145" s="52"/>
      <c r="H145" s="52"/>
      <c r="I145" s="52"/>
      <c r="J145" s="52"/>
      <c r="K145" s="52"/>
      <c r="L145" s="227"/>
      <c r="M145" s="52"/>
    </row>
    <row r="146" spans="3:13" ht="15.5">
      <c r="C146" s="52"/>
      <c r="D146" s="52"/>
      <c r="E146" s="52"/>
      <c r="F146" s="52"/>
      <c r="G146" s="52"/>
      <c r="H146" s="52"/>
      <c r="I146" s="52"/>
      <c r="J146" s="52"/>
      <c r="K146" s="52"/>
      <c r="L146" s="227"/>
      <c r="M146" s="52"/>
    </row>
    <row r="147" spans="3:13" ht="15.5">
      <c r="C147" s="52"/>
      <c r="D147" s="52"/>
      <c r="E147" s="52"/>
      <c r="F147" s="52"/>
      <c r="G147" s="52"/>
      <c r="H147" s="52"/>
      <c r="I147" s="52"/>
      <c r="J147" s="52"/>
      <c r="K147" s="52"/>
      <c r="L147" s="227"/>
      <c r="M147" s="52"/>
    </row>
    <row r="148" spans="3:13" ht="15.5">
      <c r="C148" s="52"/>
      <c r="D148" s="52"/>
      <c r="E148" s="52"/>
      <c r="F148" s="52"/>
      <c r="G148" s="52"/>
      <c r="H148" s="52"/>
      <c r="I148" s="52"/>
      <c r="J148" s="52"/>
      <c r="K148" s="52"/>
      <c r="L148" s="227"/>
      <c r="M148" s="52"/>
    </row>
    <row r="149" spans="3:13" ht="15.5">
      <c r="C149" s="52"/>
      <c r="D149" s="52"/>
      <c r="E149" s="52"/>
      <c r="F149" s="52"/>
      <c r="G149" s="52"/>
      <c r="H149" s="52"/>
      <c r="I149" s="52"/>
      <c r="J149" s="52"/>
      <c r="K149" s="52"/>
      <c r="L149" s="227"/>
      <c r="M149" s="52"/>
    </row>
    <row r="150" spans="3:13" ht="15.5">
      <c r="C150" s="52"/>
      <c r="D150" s="52"/>
      <c r="E150" s="52"/>
      <c r="F150" s="52"/>
      <c r="G150" s="52"/>
      <c r="H150" s="52"/>
      <c r="I150" s="52"/>
      <c r="J150" s="52"/>
      <c r="K150" s="52"/>
      <c r="L150" s="227"/>
      <c r="M150" s="52"/>
    </row>
    <row r="151" spans="3:13" ht="15.5">
      <c r="C151" s="52"/>
      <c r="D151" s="52"/>
      <c r="E151" s="52"/>
      <c r="F151" s="52"/>
      <c r="G151" s="52"/>
      <c r="H151" s="52"/>
      <c r="I151" s="52"/>
      <c r="J151" s="52"/>
      <c r="K151" s="52"/>
      <c r="L151" s="227"/>
      <c r="M151" s="52"/>
    </row>
    <row r="152" spans="3:13" ht="15.5">
      <c r="C152" s="52"/>
      <c r="D152" s="52"/>
      <c r="E152" s="52"/>
      <c r="F152" s="52"/>
      <c r="G152" s="52"/>
      <c r="H152" s="52"/>
      <c r="I152" s="52"/>
      <c r="J152" s="52"/>
      <c r="K152" s="52"/>
      <c r="L152" s="227"/>
      <c r="M152" s="52"/>
    </row>
    <row r="153" spans="3:13" ht="15.5">
      <c r="C153" s="52"/>
      <c r="D153" s="52"/>
      <c r="E153" s="52"/>
      <c r="F153" s="52"/>
      <c r="G153" s="52"/>
      <c r="H153" s="52"/>
      <c r="I153" s="52"/>
      <c r="J153" s="52"/>
      <c r="K153" s="52"/>
      <c r="L153" s="227"/>
      <c r="M153" s="52"/>
    </row>
    <row r="154" spans="3:13" ht="15.5">
      <c r="C154" s="52"/>
      <c r="D154" s="52"/>
      <c r="E154" s="52"/>
      <c r="F154" s="52"/>
      <c r="G154" s="52"/>
      <c r="H154" s="52"/>
      <c r="I154" s="52"/>
      <c r="J154" s="52"/>
      <c r="K154" s="52"/>
      <c r="L154" s="227"/>
      <c r="M154" s="52"/>
    </row>
    <row r="155" spans="3:13" ht="15.5">
      <c r="C155" s="52"/>
      <c r="D155" s="52"/>
      <c r="E155" s="52"/>
      <c r="F155" s="52"/>
      <c r="G155" s="52"/>
      <c r="H155" s="52"/>
      <c r="I155" s="52"/>
      <c r="J155" s="52"/>
      <c r="K155" s="52"/>
      <c r="L155" s="227"/>
      <c r="M155" s="52"/>
    </row>
    <row r="156" spans="3:13" ht="15.5">
      <c r="C156" s="52"/>
      <c r="D156" s="52"/>
      <c r="E156" s="52"/>
      <c r="F156" s="52"/>
      <c r="G156" s="52"/>
      <c r="H156" s="52"/>
      <c r="I156" s="52"/>
      <c r="J156" s="52"/>
      <c r="K156" s="52"/>
      <c r="L156" s="227"/>
      <c r="M156" s="52"/>
    </row>
    <row r="157" spans="3:13" ht="15.5">
      <c r="C157" s="52"/>
      <c r="D157" s="52"/>
      <c r="E157" s="52"/>
      <c r="F157" s="52"/>
      <c r="G157" s="52"/>
      <c r="H157" s="52"/>
      <c r="I157" s="52"/>
      <c r="J157" s="52"/>
      <c r="K157" s="52"/>
      <c r="L157" s="227"/>
      <c r="M157" s="52"/>
    </row>
    <row r="158" spans="3:13" ht="15.5">
      <c r="C158" s="52"/>
      <c r="D158" s="52"/>
      <c r="E158" s="52"/>
      <c r="F158" s="52"/>
      <c r="G158" s="52"/>
      <c r="H158" s="52"/>
      <c r="I158" s="52"/>
      <c r="J158" s="52"/>
      <c r="K158" s="52"/>
      <c r="L158" s="227"/>
      <c r="M158" s="52"/>
    </row>
    <row r="159" spans="3:13" ht="15.5">
      <c r="C159" s="52"/>
      <c r="D159" s="52"/>
      <c r="E159" s="52"/>
      <c r="F159" s="52"/>
      <c r="G159" s="52"/>
      <c r="H159" s="52"/>
      <c r="I159" s="52"/>
      <c r="J159" s="52"/>
      <c r="K159" s="52"/>
      <c r="L159" s="227"/>
      <c r="M159" s="52"/>
    </row>
    <row r="160" spans="3:13" ht="15.5">
      <c r="C160" s="52"/>
      <c r="D160" s="52"/>
      <c r="E160" s="52"/>
      <c r="F160" s="52"/>
      <c r="G160" s="52"/>
      <c r="H160" s="52"/>
      <c r="I160" s="52"/>
      <c r="J160" s="52"/>
      <c r="K160" s="52"/>
      <c r="L160" s="227"/>
      <c r="M160" s="52"/>
    </row>
    <row r="161" spans="3:13" ht="15.5">
      <c r="C161" s="52"/>
      <c r="D161" s="52"/>
      <c r="E161" s="52"/>
      <c r="F161" s="52"/>
      <c r="G161" s="52"/>
      <c r="H161" s="52"/>
      <c r="I161" s="52"/>
      <c r="J161" s="52"/>
      <c r="K161" s="52"/>
      <c r="L161" s="227"/>
      <c r="M161" s="52"/>
    </row>
    <row r="162" spans="3:13" ht="15.5">
      <c r="C162" s="52"/>
      <c r="D162" s="52"/>
      <c r="E162" s="52"/>
      <c r="F162" s="52"/>
      <c r="G162" s="52"/>
      <c r="H162" s="52"/>
      <c r="I162" s="52"/>
      <c r="J162" s="52"/>
      <c r="K162" s="52"/>
      <c r="L162" s="227"/>
      <c r="M162" s="52"/>
    </row>
    <row r="163" spans="3:13" ht="15.5">
      <c r="C163" s="52"/>
      <c r="D163" s="52"/>
      <c r="E163" s="52"/>
      <c r="F163" s="52"/>
      <c r="G163" s="52"/>
      <c r="H163" s="52"/>
      <c r="I163" s="52"/>
      <c r="J163" s="52"/>
      <c r="K163" s="52"/>
      <c r="L163" s="227"/>
      <c r="M163" s="52"/>
    </row>
    <row r="164" spans="3:13" ht="15.5">
      <c r="C164" s="52"/>
      <c r="D164" s="52"/>
      <c r="E164" s="52"/>
      <c r="F164" s="52"/>
      <c r="G164" s="52"/>
      <c r="H164" s="52"/>
      <c r="I164" s="52"/>
      <c r="J164" s="52"/>
      <c r="K164" s="52"/>
      <c r="L164" s="227"/>
      <c r="M164" s="52"/>
    </row>
    <row r="165" spans="3:13" ht="15.5">
      <c r="C165" s="52"/>
      <c r="D165" s="52"/>
      <c r="E165" s="52"/>
      <c r="F165" s="52"/>
      <c r="G165" s="52"/>
      <c r="H165" s="52"/>
      <c r="I165" s="52"/>
      <c r="J165" s="52"/>
      <c r="K165" s="52"/>
      <c r="L165" s="227"/>
      <c r="M165" s="52"/>
    </row>
    <row r="166" spans="3:13" ht="15.5">
      <c r="C166" s="52"/>
      <c r="D166" s="52"/>
      <c r="E166" s="52"/>
      <c r="F166" s="52"/>
      <c r="G166" s="52"/>
      <c r="H166" s="52"/>
      <c r="I166" s="52"/>
      <c r="J166" s="52"/>
      <c r="K166" s="52"/>
      <c r="L166" s="227"/>
      <c r="M166" s="52"/>
    </row>
    <row r="167" spans="3:13" ht="15.5">
      <c r="C167" s="52"/>
      <c r="D167" s="52"/>
      <c r="E167" s="52"/>
      <c r="F167" s="52"/>
      <c r="G167" s="52"/>
      <c r="H167" s="52"/>
      <c r="I167" s="52"/>
      <c r="J167" s="52"/>
      <c r="K167" s="52"/>
      <c r="L167" s="227"/>
      <c r="M167" s="52"/>
    </row>
    <row r="168" spans="3:13" ht="15.5">
      <c r="C168" s="52"/>
      <c r="D168" s="52"/>
      <c r="E168" s="52"/>
      <c r="F168" s="52"/>
      <c r="G168" s="52"/>
      <c r="H168" s="52"/>
      <c r="I168" s="52"/>
      <c r="J168" s="52"/>
      <c r="K168" s="52"/>
      <c r="L168" s="227"/>
      <c r="M168" s="52"/>
    </row>
    <row r="169" spans="3:13" ht="15.5">
      <c r="C169" s="52"/>
      <c r="D169" s="52"/>
      <c r="E169" s="52"/>
      <c r="F169" s="52"/>
      <c r="G169" s="52"/>
      <c r="H169" s="52"/>
      <c r="I169" s="52"/>
      <c r="J169" s="52"/>
      <c r="K169" s="52"/>
      <c r="L169" s="227"/>
      <c r="M169" s="52"/>
    </row>
    <row r="170" spans="3:13" ht="15.5">
      <c r="C170" s="52"/>
      <c r="D170" s="52"/>
      <c r="E170" s="52"/>
      <c r="F170" s="52"/>
      <c r="G170" s="52"/>
      <c r="H170" s="52"/>
      <c r="I170" s="52"/>
      <c r="J170" s="52"/>
      <c r="K170" s="52"/>
      <c r="L170" s="227"/>
      <c r="M170" s="52"/>
    </row>
    <row r="171" spans="3:13" ht="15.5">
      <c r="C171" s="52"/>
      <c r="D171" s="52"/>
      <c r="E171" s="52"/>
      <c r="F171" s="52"/>
      <c r="G171" s="52"/>
      <c r="H171" s="52"/>
      <c r="I171" s="52"/>
      <c r="J171" s="52"/>
      <c r="K171" s="52"/>
      <c r="L171" s="227"/>
      <c r="M171" s="52"/>
    </row>
    <row r="172" spans="3:13" ht="15.5">
      <c r="C172" s="52"/>
      <c r="D172" s="52"/>
      <c r="E172" s="52"/>
      <c r="F172" s="52"/>
      <c r="G172" s="52"/>
      <c r="H172" s="52"/>
      <c r="I172" s="52"/>
      <c r="J172" s="52"/>
      <c r="K172" s="52"/>
      <c r="L172" s="227"/>
      <c r="M172" s="52"/>
    </row>
    <row r="173" spans="3:13" ht="15.5">
      <c r="C173" s="52"/>
      <c r="D173" s="52"/>
      <c r="E173" s="52"/>
      <c r="F173" s="52"/>
      <c r="G173" s="52"/>
      <c r="H173" s="52"/>
      <c r="I173" s="52"/>
      <c r="J173" s="52"/>
      <c r="K173" s="52"/>
      <c r="L173" s="227"/>
      <c r="M173" s="52"/>
    </row>
    <row r="174" spans="3:13" ht="15.5">
      <c r="C174" s="52"/>
      <c r="D174" s="52"/>
      <c r="E174" s="52"/>
      <c r="F174" s="52"/>
      <c r="G174" s="52"/>
      <c r="H174" s="52"/>
      <c r="I174" s="52"/>
      <c r="J174" s="52"/>
      <c r="K174" s="52"/>
      <c r="L174" s="227"/>
      <c r="M174" s="52"/>
    </row>
    <row r="175" spans="3:13" ht="15.5">
      <c r="C175" s="52"/>
      <c r="D175" s="52"/>
      <c r="E175" s="52"/>
      <c r="F175" s="52"/>
      <c r="G175" s="52"/>
      <c r="H175" s="52"/>
      <c r="I175" s="52"/>
      <c r="J175" s="52"/>
      <c r="K175" s="52"/>
      <c r="L175" s="227"/>
      <c r="M175" s="52"/>
    </row>
    <row r="176" spans="3:13" ht="15.5">
      <c r="C176" s="52"/>
      <c r="D176" s="52"/>
      <c r="E176" s="52"/>
      <c r="F176" s="52"/>
      <c r="G176" s="52"/>
      <c r="H176" s="52"/>
      <c r="I176" s="52"/>
      <c r="J176" s="52"/>
      <c r="K176" s="52"/>
      <c r="L176" s="227"/>
      <c r="M176" s="52"/>
    </row>
    <row r="177" spans="3:13" ht="15.5">
      <c r="C177" s="52"/>
      <c r="D177" s="52"/>
      <c r="E177" s="52"/>
      <c r="F177" s="52"/>
      <c r="G177" s="52"/>
      <c r="H177" s="52"/>
      <c r="I177" s="52"/>
      <c r="J177" s="52"/>
      <c r="K177" s="52"/>
      <c r="L177" s="227"/>
      <c r="M177" s="52"/>
    </row>
    <row r="178" spans="3:13" ht="15.5">
      <c r="C178" s="52"/>
      <c r="D178" s="52"/>
      <c r="E178" s="52"/>
      <c r="F178" s="52"/>
      <c r="G178" s="52"/>
      <c r="H178" s="52"/>
      <c r="I178" s="52"/>
      <c r="J178" s="52"/>
      <c r="K178" s="52"/>
      <c r="L178" s="227"/>
      <c r="M178" s="52"/>
    </row>
    <row r="179" spans="3:13" ht="15.5">
      <c r="C179" s="52"/>
      <c r="D179" s="52"/>
      <c r="E179" s="52"/>
      <c r="F179" s="52"/>
      <c r="G179" s="52"/>
      <c r="H179" s="52"/>
      <c r="I179" s="52"/>
      <c r="J179" s="52"/>
      <c r="K179" s="52"/>
      <c r="L179" s="227"/>
      <c r="M179" s="52"/>
    </row>
    <row r="180" spans="3:13" ht="15.5">
      <c r="C180" s="52"/>
      <c r="D180" s="52"/>
      <c r="E180" s="52"/>
      <c r="F180" s="52"/>
      <c r="G180" s="52"/>
      <c r="H180" s="52"/>
      <c r="I180" s="52"/>
      <c r="J180" s="52"/>
      <c r="K180" s="52"/>
      <c r="L180" s="227"/>
      <c r="M180" s="52"/>
    </row>
    <row r="181" spans="3:13" ht="15.5">
      <c r="C181" s="52"/>
      <c r="D181" s="52"/>
      <c r="E181" s="52"/>
      <c r="F181" s="52"/>
      <c r="G181" s="52"/>
      <c r="H181" s="52"/>
      <c r="I181" s="52"/>
      <c r="J181" s="52"/>
      <c r="K181" s="52"/>
      <c r="L181" s="227"/>
      <c r="M181" s="52"/>
    </row>
    <row r="182" spans="3:13" ht="15.5">
      <c r="C182" s="52"/>
      <c r="D182" s="52"/>
      <c r="E182" s="52"/>
      <c r="F182" s="52"/>
      <c r="G182" s="52"/>
      <c r="H182" s="52"/>
      <c r="I182" s="52"/>
      <c r="J182" s="52"/>
      <c r="K182" s="52"/>
      <c r="L182" s="227"/>
      <c r="M182" s="52"/>
    </row>
    <row r="183" spans="3:13" ht="15.5">
      <c r="C183" s="52"/>
      <c r="D183" s="52"/>
      <c r="E183" s="52"/>
      <c r="F183" s="52"/>
      <c r="G183" s="52"/>
      <c r="H183" s="52"/>
      <c r="I183" s="52"/>
      <c r="J183" s="52"/>
      <c r="K183" s="52"/>
      <c r="L183" s="227"/>
      <c r="M183" s="52"/>
    </row>
    <row r="184" spans="3:13" ht="15.5">
      <c r="C184" s="52"/>
      <c r="D184" s="52"/>
      <c r="E184" s="52"/>
      <c r="F184" s="52"/>
      <c r="G184" s="52"/>
      <c r="H184" s="52"/>
      <c r="I184" s="52"/>
      <c r="J184" s="52"/>
      <c r="K184" s="52"/>
      <c r="L184" s="227"/>
      <c r="M184" s="52"/>
    </row>
    <row r="185" spans="3:13" ht="15.5">
      <c r="C185" s="52"/>
      <c r="D185" s="52"/>
      <c r="E185" s="52"/>
      <c r="F185" s="52"/>
      <c r="G185" s="52"/>
      <c r="H185" s="52"/>
      <c r="I185" s="52"/>
      <c r="J185" s="52"/>
      <c r="K185" s="52"/>
      <c r="L185" s="227"/>
      <c r="M185" s="52"/>
    </row>
    <row r="186" spans="3:13" ht="15.5">
      <c r="C186" s="52"/>
      <c r="D186" s="52"/>
      <c r="E186" s="52"/>
      <c r="F186" s="52"/>
      <c r="G186" s="52"/>
      <c r="H186" s="52"/>
      <c r="I186" s="52"/>
      <c r="J186" s="52"/>
      <c r="K186" s="52"/>
      <c r="L186" s="227"/>
      <c r="M186" s="52"/>
    </row>
    <row r="187" spans="3:13" ht="15.5">
      <c r="C187" s="52"/>
      <c r="D187" s="52"/>
      <c r="E187" s="52"/>
      <c r="F187" s="52"/>
      <c r="G187" s="52"/>
      <c r="H187" s="52"/>
      <c r="I187" s="52"/>
      <c r="J187" s="52"/>
      <c r="K187" s="52"/>
      <c r="L187" s="227"/>
      <c r="M187" s="52"/>
    </row>
    <row r="188" spans="3:13" ht="15.5">
      <c r="C188" s="52"/>
      <c r="D188" s="52"/>
      <c r="E188" s="52"/>
      <c r="F188" s="52"/>
      <c r="G188" s="52"/>
      <c r="H188" s="52"/>
      <c r="I188" s="52"/>
      <c r="J188" s="52"/>
      <c r="K188" s="52"/>
      <c r="L188" s="227"/>
      <c r="M188" s="52"/>
    </row>
    <row r="189" spans="3:13" ht="15.5">
      <c r="C189" s="52"/>
      <c r="D189" s="52"/>
      <c r="E189" s="52"/>
      <c r="F189" s="52"/>
      <c r="G189" s="52"/>
      <c r="H189" s="52"/>
      <c r="I189" s="52"/>
      <c r="J189" s="52"/>
      <c r="K189" s="52"/>
      <c r="L189" s="227"/>
      <c r="M189" s="52"/>
    </row>
    <row r="190" spans="3:13" ht="15.5">
      <c r="C190" s="52"/>
      <c r="D190" s="52"/>
      <c r="E190" s="52"/>
      <c r="F190" s="52"/>
      <c r="G190" s="52"/>
      <c r="H190" s="52"/>
      <c r="I190" s="52"/>
      <c r="J190" s="52"/>
      <c r="K190" s="52"/>
      <c r="L190" s="227"/>
      <c r="M190" s="52"/>
    </row>
    <row r="191" spans="3:13" ht="15.5">
      <c r="C191" s="52"/>
      <c r="D191" s="52"/>
      <c r="E191" s="52"/>
      <c r="F191" s="52"/>
      <c r="G191" s="52"/>
      <c r="H191" s="52"/>
      <c r="I191" s="52"/>
      <c r="J191" s="52"/>
      <c r="K191" s="52"/>
      <c r="L191" s="227"/>
      <c r="M191" s="52"/>
    </row>
    <row r="192" spans="3:13" ht="15.5">
      <c r="C192" s="52"/>
      <c r="D192" s="52"/>
      <c r="E192" s="52"/>
      <c r="F192" s="52"/>
      <c r="G192" s="52"/>
      <c r="H192" s="52"/>
      <c r="I192" s="52"/>
      <c r="J192" s="52"/>
      <c r="K192" s="52"/>
      <c r="L192" s="227"/>
      <c r="M192" s="52"/>
    </row>
    <row r="193" spans="3:13" ht="15.5">
      <c r="C193" s="52"/>
      <c r="D193" s="52"/>
      <c r="E193" s="52"/>
      <c r="F193" s="52"/>
      <c r="G193" s="52"/>
      <c r="H193" s="52"/>
      <c r="I193" s="52"/>
      <c r="J193" s="52"/>
      <c r="K193" s="52"/>
      <c r="L193" s="227"/>
      <c r="M193" s="52"/>
    </row>
    <row r="194" spans="3:13" ht="15.5">
      <c r="C194" s="52"/>
      <c r="D194" s="52"/>
      <c r="E194" s="52"/>
      <c r="F194" s="52"/>
      <c r="G194" s="52"/>
      <c r="H194" s="52"/>
      <c r="I194" s="52"/>
      <c r="J194" s="52"/>
      <c r="K194" s="52"/>
      <c r="L194" s="227"/>
      <c r="M194" s="52"/>
    </row>
    <row r="195" spans="3:13" ht="15.5">
      <c r="C195" s="52"/>
      <c r="D195" s="52"/>
      <c r="E195" s="52"/>
      <c r="F195" s="52"/>
      <c r="G195" s="52"/>
      <c r="H195" s="52"/>
      <c r="I195" s="52"/>
      <c r="J195" s="52"/>
      <c r="K195" s="52"/>
      <c r="L195" s="227"/>
      <c r="M195" s="52"/>
    </row>
    <row r="196" spans="3:13" ht="15.5">
      <c r="C196" s="52"/>
      <c r="D196" s="52"/>
      <c r="E196" s="52"/>
      <c r="F196" s="52"/>
      <c r="G196" s="52"/>
      <c r="H196" s="52"/>
      <c r="I196" s="52"/>
      <c r="J196" s="52"/>
      <c r="K196" s="52"/>
      <c r="L196" s="227"/>
      <c r="M196" s="52"/>
    </row>
    <row r="197" spans="3:13" ht="15.5">
      <c r="C197" s="52"/>
      <c r="D197" s="52"/>
      <c r="E197" s="52"/>
      <c r="F197" s="52"/>
      <c r="G197" s="52"/>
      <c r="H197" s="52"/>
      <c r="I197" s="52"/>
      <c r="J197" s="52"/>
      <c r="K197" s="52"/>
      <c r="L197" s="227"/>
      <c r="M197" s="52"/>
    </row>
    <row r="198" spans="3:13" ht="15.5">
      <c r="C198" s="52"/>
      <c r="D198" s="52"/>
      <c r="E198" s="52"/>
      <c r="F198" s="52"/>
      <c r="G198" s="52"/>
      <c r="H198" s="52"/>
      <c r="I198" s="52"/>
      <c r="J198" s="52"/>
      <c r="K198" s="52"/>
      <c r="L198" s="227"/>
      <c r="M198" s="52"/>
    </row>
    <row r="199" spans="3:13" ht="15.5">
      <c r="C199" s="52"/>
      <c r="D199" s="52"/>
      <c r="E199" s="52"/>
      <c r="F199" s="52"/>
      <c r="G199" s="52"/>
      <c r="H199" s="52"/>
      <c r="I199" s="52"/>
      <c r="J199" s="52"/>
      <c r="K199" s="52"/>
      <c r="L199" s="227"/>
      <c r="M199" s="52"/>
    </row>
    <row r="200" spans="3:13" ht="15.5">
      <c r="C200" s="52"/>
      <c r="D200" s="52"/>
      <c r="E200" s="52"/>
      <c r="F200" s="52"/>
      <c r="G200" s="52"/>
      <c r="H200" s="52"/>
      <c r="I200" s="52"/>
      <c r="J200" s="52"/>
      <c r="K200" s="52"/>
      <c r="L200" s="227"/>
      <c r="M200" s="52"/>
    </row>
    <row r="201" spans="3:13" ht="15.5">
      <c r="C201" s="52"/>
      <c r="D201" s="52"/>
      <c r="E201" s="52"/>
      <c r="F201" s="52"/>
      <c r="G201" s="52"/>
      <c r="H201" s="52"/>
      <c r="I201" s="52"/>
      <c r="J201" s="52"/>
      <c r="K201" s="52"/>
      <c r="L201" s="227"/>
      <c r="M201" s="52"/>
    </row>
    <row r="202" spans="3:13" ht="15.5">
      <c r="C202" s="52"/>
      <c r="D202" s="52"/>
      <c r="E202" s="52"/>
      <c r="F202" s="52"/>
      <c r="G202" s="52"/>
      <c r="H202" s="52"/>
      <c r="I202" s="52"/>
      <c r="J202" s="52"/>
      <c r="K202" s="52"/>
      <c r="L202" s="227"/>
      <c r="M202" s="52"/>
    </row>
    <row r="203" spans="3:13" ht="15.5">
      <c r="C203" s="52"/>
      <c r="D203" s="52"/>
      <c r="E203" s="52"/>
      <c r="F203" s="52"/>
      <c r="G203" s="52"/>
      <c r="H203" s="52"/>
      <c r="I203" s="52"/>
      <c r="J203" s="52"/>
      <c r="K203" s="52"/>
      <c r="L203" s="227"/>
      <c r="M203" s="52"/>
    </row>
    <row r="204" spans="3:13" ht="15.5">
      <c r="C204" s="52"/>
      <c r="D204" s="52"/>
      <c r="E204" s="52"/>
      <c r="F204" s="52"/>
      <c r="G204" s="52"/>
      <c r="H204" s="52"/>
      <c r="I204" s="52"/>
      <c r="J204" s="52"/>
      <c r="K204" s="52"/>
      <c r="L204" s="227"/>
      <c r="M204" s="52"/>
    </row>
    <row r="205" spans="3:13" ht="15.5">
      <c r="C205" s="52"/>
      <c r="D205" s="52"/>
      <c r="E205" s="52"/>
      <c r="F205" s="52"/>
      <c r="G205" s="52"/>
      <c r="H205" s="52"/>
      <c r="I205" s="52"/>
      <c r="J205" s="52"/>
      <c r="K205" s="52"/>
      <c r="L205" s="227"/>
      <c r="M205" s="52"/>
    </row>
    <row r="206" spans="3:13" ht="15.5">
      <c r="C206" s="52"/>
      <c r="D206" s="52"/>
      <c r="E206" s="52"/>
      <c r="F206" s="52"/>
      <c r="G206" s="52"/>
      <c r="H206" s="52"/>
      <c r="I206" s="52"/>
      <c r="J206" s="52"/>
      <c r="K206" s="52"/>
      <c r="L206" s="227"/>
      <c r="M206" s="52"/>
    </row>
    <row r="207" spans="3:13" ht="15.5">
      <c r="C207" s="52"/>
      <c r="D207" s="52"/>
      <c r="E207" s="52"/>
      <c r="F207" s="52"/>
      <c r="G207" s="52"/>
      <c r="H207" s="52"/>
      <c r="I207" s="52"/>
      <c r="J207" s="52"/>
      <c r="K207" s="52"/>
      <c r="L207" s="227"/>
      <c r="M207" s="52"/>
    </row>
    <row r="208" spans="3:13" ht="15.5">
      <c r="C208" s="52"/>
      <c r="D208" s="52"/>
      <c r="E208" s="52"/>
      <c r="F208" s="52"/>
      <c r="G208" s="52"/>
      <c r="H208" s="52"/>
      <c r="I208" s="52"/>
      <c r="J208" s="52"/>
      <c r="K208" s="52"/>
      <c r="L208" s="227"/>
      <c r="M208" s="52"/>
    </row>
    <row r="209" spans="3:13" ht="15.5">
      <c r="C209" s="52"/>
      <c r="D209" s="52"/>
      <c r="E209" s="52"/>
      <c r="F209" s="52"/>
      <c r="G209" s="52"/>
      <c r="H209" s="52"/>
      <c r="I209" s="52"/>
      <c r="J209" s="52"/>
      <c r="K209" s="52"/>
      <c r="L209" s="227"/>
      <c r="M209" s="52"/>
    </row>
    <row r="210" spans="3:13" ht="15.5">
      <c r="C210" s="52"/>
      <c r="D210" s="52"/>
      <c r="E210" s="52"/>
      <c r="F210" s="52"/>
      <c r="G210" s="52"/>
      <c r="H210" s="52"/>
      <c r="I210" s="52"/>
      <c r="J210" s="52"/>
      <c r="K210" s="52"/>
      <c r="L210" s="227"/>
      <c r="M210" s="52"/>
    </row>
    <row r="211" spans="3:13" ht="15.5">
      <c r="C211" s="52"/>
      <c r="D211" s="52"/>
      <c r="E211" s="52"/>
      <c r="F211" s="52"/>
      <c r="G211" s="52"/>
      <c r="H211" s="52"/>
      <c r="I211" s="52"/>
      <c r="J211" s="52"/>
      <c r="K211" s="52"/>
      <c r="L211" s="227"/>
      <c r="M211" s="52"/>
    </row>
    <row r="212" spans="3:13" ht="15.5">
      <c r="C212" s="52"/>
      <c r="D212" s="52"/>
      <c r="E212" s="52"/>
      <c r="F212" s="52"/>
      <c r="G212" s="52"/>
      <c r="H212" s="52"/>
      <c r="I212" s="52"/>
      <c r="J212" s="52"/>
      <c r="K212" s="52"/>
      <c r="L212" s="227"/>
      <c r="M212" s="52"/>
    </row>
    <row r="213" spans="3:13" ht="15.5">
      <c r="C213" s="52"/>
      <c r="D213" s="52"/>
      <c r="E213" s="52"/>
      <c r="F213" s="52"/>
      <c r="G213" s="52"/>
      <c r="H213" s="52"/>
      <c r="I213" s="52"/>
      <c r="J213" s="52"/>
      <c r="K213" s="52"/>
      <c r="L213" s="227"/>
      <c r="M213" s="52"/>
    </row>
    <row r="214" spans="3:13" ht="15.5">
      <c r="C214" s="52"/>
      <c r="D214" s="52"/>
      <c r="E214" s="52"/>
      <c r="F214" s="52"/>
      <c r="G214" s="52"/>
      <c r="H214" s="52"/>
      <c r="I214" s="52"/>
      <c r="J214" s="52"/>
      <c r="K214" s="52"/>
      <c r="L214" s="227"/>
      <c r="M214" s="52"/>
    </row>
    <row r="215" spans="3:13" ht="15.5">
      <c r="C215" s="52"/>
      <c r="D215" s="52"/>
      <c r="E215" s="52"/>
      <c r="F215" s="52"/>
      <c r="G215" s="52"/>
      <c r="H215" s="52"/>
      <c r="I215" s="52"/>
      <c r="J215" s="52"/>
      <c r="K215" s="52"/>
      <c r="L215" s="227"/>
      <c r="M215" s="52"/>
    </row>
    <row r="216" spans="3:13" ht="15.5">
      <c r="C216" s="52"/>
      <c r="D216" s="52"/>
      <c r="E216" s="52"/>
      <c r="F216" s="52"/>
      <c r="G216" s="52"/>
      <c r="H216" s="52"/>
      <c r="I216" s="52"/>
      <c r="J216" s="52"/>
      <c r="K216" s="52"/>
      <c r="L216" s="227"/>
      <c r="M216" s="52"/>
    </row>
    <row r="217" spans="3:13" ht="15.5">
      <c r="C217" s="52"/>
      <c r="D217" s="52"/>
      <c r="E217" s="52"/>
      <c r="F217" s="52"/>
      <c r="G217" s="52"/>
      <c r="H217" s="52"/>
      <c r="I217" s="52"/>
      <c r="J217" s="52"/>
      <c r="K217" s="52"/>
      <c r="L217" s="227"/>
      <c r="M217" s="52"/>
    </row>
    <row r="218" spans="3:13" ht="15.5">
      <c r="C218" s="52"/>
      <c r="D218" s="52"/>
      <c r="E218" s="52"/>
      <c r="F218" s="52"/>
      <c r="G218" s="52"/>
      <c r="H218" s="52"/>
      <c r="I218" s="52"/>
      <c r="J218" s="52"/>
      <c r="K218" s="52"/>
      <c r="L218" s="227"/>
      <c r="M218" s="52"/>
    </row>
    <row r="219" spans="3:13" ht="15.5">
      <c r="C219" s="52"/>
      <c r="D219" s="52"/>
      <c r="E219" s="52"/>
      <c r="F219" s="52"/>
      <c r="G219" s="52"/>
      <c r="H219" s="52"/>
      <c r="I219" s="52"/>
      <c r="J219" s="52"/>
      <c r="K219" s="52"/>
      <c r="L219" s="227"/>
      <c r="M219" s="52"/>
    </row>
    <row r="220" spans="3:13" ht="15.5">
      <c r="C220" s="52"/>
      <c r="D220" s="52"/>
      <c r="E220" s="52"/>
      <c r="F220" s="52"/>
      <c r="G220" s="52"/>
      <c r="H220" s="52"/>
      <c r="I220" s="52"/>
      <c r="J220" s="52"/>
      <c r="K220" s="52"/>
      <c r="L220" s="227"/>
      <c r="M220" s="52"/>
    </row>
    <row r="221" spans="3:13" ht="15.5">
      <c r="C221" s="52"/>
      <c r="D221" s="52"/>
      <c r="E221" s="52"/>
      <c r="F221" s="52"/>
      <c r="G221" s="52"/>
      <c r="H221" s="52"/>
      <c r="I221" s="52"/>
      <c r="J221" s="52"/>
      <c r="K221" s="52"/>
      <c r="L221" s="227"/>
      <c r="M221" s="52"/>
    </row>
    <row r="222" spans="3:13" ht="15.5">
      <c r="C222" s="52"/>
      <c r="D222" s="52"/>
      <c r="E222" s="52"/>
      <c r="F222" s="52"/>
      <c r="G222" s="52"/>
      <c r="H222" s="52"/>
      <c r="I222" s="52"/>
      <c r="J222" s="52"/>
      <c r="K222" s="52"/>
      <c r="L222" s="227"/>
      <c r="M222" s="52"/>
    </row>
    <row r="223" spans="3:13" ht="15.5">
      <c r="C223" s="52"/>
      <c r="D223" s="52"/>
      <c r="E223" s="52"/>
      <c r="F223" s="52"/>
      <c r="G223" s="52"/>
      <c r="H223" s="52"/>
      <c r="I223" s="52"/>
      <c r="J223" s="52"/>
      <c r="K223" s="52"/>
      <c r="L223" s="227"/>
      <c r="M223" s="52"/>
    </row>
    <row r="224" spans="3:13" ht="15.5">
      <c r="C224" s="52"/>
      <c r="D224" s="52"/>
      <c r="E224" s="52"/>
      <c r="F224" s="52"/>
      <c r="G224" s="52"/>
      <c r="H224" s="52"/>
      <c r="I224" s="52"/>
      <c r="J224" s="52"/>
      <c r="K224" s="52"/>
      <c r="L224" s="227"/>
      <c r="M224" s="52"/>
    </row>
    <row r="225" spans="3:13" ht="15.5">
      <c r="C225" s="52"/>
      <c r="D225" s="52"/>
      <c r="E225" s="52"/>
      <c r="F225" s="52"/>
      <c r="G225" s="52"/>
      <c r="H225" s="52"/>
      <c r="I225" s="52"/>
      <c r="J225" s="52"/>
      <c r="K225" s="52"/>
      <c r="L225" s="227"/>
      <c r="M225" s="52"/>
    </row>
    <row r="226" spans="3:13" ht="15.5">
      <c r="C226" s="52"/>
      <c r="D226" s="52"/>
      <c r="E226" s="52"/>
      <c r="F226" s="52"/>
      <c r="G226" s="52"/>
      <c r="H226" s="52"/>
      <c r="I226" s="52"/>
      <c r="J226" s="52"/>
      <c r="K226" s="52"/>
      <c r="L226" s="227"/>
      <c r="M226" s="52"/>
    </row>
    <row r="227" spans="3:13" ht="15.5">
      <c r="C227" s="52"/>
      <c r="D227" s="52"/>
      <c r="E227" s="52"/>
      <c r="F227" s="52"/>
      <c r="G227" s="52"/>
      <c r="H227" s="52"/>
      <c r="I227" s="52"/>
      <c r="J227" s="52"/>
      <c r="K227" s="52"/>
      <c r="L227" s="227"/>
      <c r="M227" s="52"/>
    </row>
    <row r="228" spans="3:13" ht="15.5">
      <c r="C228" s="52"/>
      <c r="D228" s="52"/>
      <c r="E228" s="52"/>
      <c r="F228" s="52"/>
      <c r="G228" s="52"/>
      <c r="H228" s="52"/>
      <c r="I228" s="52"/>
      <c r="J228" s="52"/>
      <c r="K228" s="52"/>
      <c r="L228" s="227"/>
      <c r="M228" s="52"/>
    </row>
    <row r="229" spans="3:13" ht="15.5">
      <c r="C229" s="52"/>
      <c r="D229" s="52"/>
      <c r="E229" s="52"/>
      <c r="F229" s="52"/>
      <c r="G229" s="52"/>
      <c r="H229" s="52"/>
      <c r="I229" s="52"/>
      <c r="J229" s="52"/>
      <c r="K229" s="52"/>
      <c r="L229" s="227"/>
      <c r="M229" s="52"/>
    </row>
    <row r="230" spans="3:13" ht="15.5">
      <c r="C230" s="52"/>
      <c r="D230" s="52"/>
      <c r="E230" s="52"/>
      <c r="F230" s="52"/>
      <c r="G230" s="52"/>
      <c r="H230" s="52"/>
      <c r="I230" s="52"/>
      <c r="J230" s="52"/>
      <c r="K230" s="52"/>
      <c r="L230" s="227"/>
      <c r="M230" s="52"/>
    </row>
    <row r="231" spans="3:13" ht="15.5">
      <c r="C231" s="52"/>
      <c r="D231" s="52"/>
      <c r="E231" s="52"/>
      <c r="F231" s="52"/>
      <c r="G231" s="52"/>
      <c r="H231" s="52"/>
      <c r="I231" s="52"/>
      <c r="J231" s="52"/>
      <c r="K231" s="52"/>
      <c r="L231" s="227"/>
      <c r="M231" s="52"/>
    </row>
    <row r="232" spans="3:13" ht="15.5">
      <c r="C232" s="52"/>
      <c r="D232" s="52"/>
      <c r="E232" s="52"/>
      <c r="F232" s="52"/>
      <c r="G232" s="52"/>
      <c r="H232" s="52"/>
      <c r="I232" s="52"/>
      <c r="J232" s="52"/>
      <c r="K232" s="52"/>
      <c r="L232" s="227"/>
      <c r="M232" s="52"/>
    </row>
    <row r="233" spans="3:13" ht="15.5">
      <c r="C233" s="52"/>
      <c r="D233" s="52"/>
      <c r="E233" s="52"/>
      <c r="F233" s="52"/>
      <c r="G233" s="52"/>
      <c r="H233" s="52"/>
      <c r="I233" s="52"/>
      <c r="J233" s="52"/>
      <c r="K233" s="52"/>
      <c r="L233" s="227"/>
      <c r="M233" s="52"/>
    </row>
    <row r="234" spans="3:13" ht="15.5">
      <c r="C234" s="52"/>
      <c r="D234" s="52"/>
      <c r="E234" s="52"/>
      <c r="F234" s="52"/>
      <c r="G234" s="52"/>
      <c r="H234" s="52"/>
      <c r="I234" s="52"/>
      <c r="J234" s="52"/>
      <c r="K234" s="52"/>
      <c r="L234" s="227"/>
      <c r="M234" s="52"/>
    </row>
    <row r="235" spans="3:13" ht="15.5">
      <c r="C235" s="52"/>
      <c r="D235" s="52"/>
      <c r="E235" s="52"/>
      <c r="F235" s="52"/>
      <c r="G235" s="52"/>
      <c r="H235" s="52"/>
      <c r="I235" s="52"/>
      <c r="J235" s="52"/>
      <c r="K235" s="52"/>
      <c r="L235" s="227"/>
      <c r="M235" s="52"/>
    </row>
    <row r="236" spans="3:13" ht="15.5">
      <c r="C236" s="52"/>
      <c r="D236" s="52"/>
      <c r="E236" s="52"/>
      <c r="F236" s="52"/>
      <c r="G236" s="52"/>
      <c r="H236" s="52"/>
      <c r="I236" s="52"/>
      <c r="J236" s="52"/>
      <c r="K236" s="52"/>
      <c r="L236" s="227"/>
      <c r="M236" s="52"/>
    </row>
    <row r="237" spans="3:13" ht="15.5">
      <c r="C237" s="52"/>
      <c r="D237" s="52"/>
      <c r="E237" s="52"/>
      <c r="F237" s="52"/>
      <c r="G237" s="52"/>
      <c r="H237" s="52"/>
      <c r="I237" s="52"/>
      <c r="J237" s="52"/>
      <c r="K237" s="52"/>
      <c r="L237" s="227"/>
      <c r="M237" s="52"/>
    </row>
    <row r="238" spans="3:13" ht="15.5">
      <c r="C238" s="52"/>
      <c r="D238" s="52"/>
      <c r="E238" s="52"/>
      <c r="F238" s="52"/>
      <c r="G238" s="52"/>
      <c r="H238" s="52"/>
      <c r="I238" s="52"/>
      <c r="J238" s="52"/>
      <c r="K238" s="52"/>
      <c r="L238" s="227"/>
      <c r="M238" s="52"/>
    </row>
    <row r="239" spans="3:13" ht="15.5">
      <c r="C239" s="52"/>
      <c r="D239" s="52"/>
      <c r="E239" s="52"/>
      <c r="F239" s="52"/>
      <c r="G239" s="52"/>
      <c r="H239" s="52"/>
      <c r="I239" s="52"/>
      <c r="J239" s="52"/>
      <c r="K239" s="52"/>
      <c r="L239" s="227"/>
      <c r="M239" s="52"/>
    </row>
    <row r="240" spans="3:13" ht="15.5">
      <c r="C240" s="52"/>
      <c r="D240" s="52"/>
      <c r="E240" s="52"/>
      <c r="F240" s="52"/>
      <c r="G240" s="52"/>
      <c r="H240" s="52"/>
      <c r="I240" s="52"/>
      <c r="J240" s="52"/>
      <c r="K240" s="52"/>
      <c r="L240" s="227"/>
      <c r="M240" s="52"/>
    </row>
    <row r="241" spans="3:13" ht="15.5">
      <c r="C241" s="52"/>
      <c r="D241" s="52"/>
      <c r="E241" s="52"/>
      <c r="F241" s="52"/>
      <c r="G241" s="52"/>
      <c r="H241" s="52"/>
      <c r="I241" s="52"/>
      <c r="J241" s="52"/>
      <c r="K241" s="52"/>
      <c r="L241" s="227"/>
      <c r="M241" s="52"/>
    </row>
    <row r="242" spans="3:13" ht="15.5">
      <c r="C242" s="52"/>
      <c r="D242" s="52"/>
      <c r="E242" s="52"/>
      <c r="F242" s="52"/>
      <c r="G242" s="52"/>
      <c r="H242" s="52"/>
      <c r="I242" s="52"/>
      <c r="J242" s="52"/>
      <c r="K242" s="52"/>
      <c r="L242" s="227"/>
      <c r="M242" s="52"/>
    </row>
    <row r="243" spans="3:13" ht="15.5">
      <c r="C243" s="52"/>
      <c r="D243" s="52"/>
      <c r="E243" s="52"/>
      <c r="F243" s="52"/>
      <c r="G243" s="52"/>
      <c r="H243" s="52"/>
      <c r="I243" s="52"/>
      <c r="J243" s="52"/>
      <c r="K243" s="52"/>
      <c r="L243" s="227"/>
      <c r="M243" s="52"/>
    </row>
    <row r="244" spans="3:13" ht="15.5">
      <c r="C244" s="52"/>
      <c r="D244" s="52"/>
      <c r="E244" s="52"/>
      <c r="F244" s="52"/>
      <c r="G244" s="52"/>
      <c r="H244" s="52"/>
      <c r="I244" s="52"/>
      <c r="J244" s="52"/>
      <c r="K244" s="52"/>
      <c r="L244" s="227"/>
      <c r="M244" s="52"/>
    </row>
    <row r="245" spans="3:13" ht="15.5">
      <c r="C245" s="52"/>
      <c r="D245" s="52"/>
      <c r="E245" s="52"/>
      <c r="F245" s="52"/>
      <c r="G245" s="52"/>
      <c r="H245" s="52"/>
      <c r="I245" s="52"/>
      <c r="J245" s="52"/>
      <c r="K245" s="52"/>
      <c r="L245" s="227"/>
      <c r="M245" s="52"/>
    </row>
    <row r="246" spans="3:13" ht="15.5">
      <c r="C246" s="52"/>
      <c r="D246" s="52"/>
      <c r="E246" s="52"/>
      <c r="F246" s="52"/>
      <c r="G246" s="52"/>
      <c r="H246" s="52"/>
      <c r="I246" s="52"/>
      <c r="J246" s="52"/>
      <c r="K246" s="52"/>
      <c r="L246" s="227"/>
      <c r="M246" s="52"/>
    </row>
    <row r="247" spans="3:13" ht="15.5">
      <c r="C247" s="52"/>
      <c r="D247" s="52"/>
      <c r="E247" s="52"/>
      <c r="F247" s="52"/>
      <c r="G247" s="52"/>
      <c r="H247" s="52"/>
      <c r="I247" s="52"/>
      <c r="J247" s="52"/>
      <c r="K247" s="52"/>
      <c r="L247" s="227"/>
      <c r="M247" s="52"/>
    </row>
    <row r="248" spans="3:13" ht="15.5">
      <c r="C248" s="52"/>
      <c r="D248" s="52"/>
      <c r="E248" s="52"/>
      <c r="F248" s="52"/>
      <c r="G248" s="52"/>
      <c r="H248" s="52"/>
      <c r="I248" s="52"/>
      <c r="J248" s="52"/>
      <c r="K248" s="52"/>
      <c r="L248" s="227"/>
      <c r="M248" s="52"/>
    </row>
    <row r="249" spans="3:13" ht="15.5">
      <c r="C249" s="52"/>
      <c r="D249" s="52"/>
      <c r="E249" s="52"/>
      <c r="F249" s="52"/>
      <c r="G249" s="52"/>
      <c r="H249" s="52"/>
      <c r="I249" s="52"/>
      <c r="J249" s="52"/>
      <c r="K249" s="52"/>
      <c r="L249" s="227"/>
      <c r="M249" s="52"/>
    </row>
    <row r="250" spans="3:13" ht="15.5">
      <c r="C250" s="52"/>
      <c r="D250" s="52"/>
      <c r="E250" s="52"/>
      <c r="F250" s="52"/>
      <c r="G250" s="52"/>
      <c r="H250" s="52"/>
      <c r="I250" s="52"/>
      <c r="J250" s="52"/>
      <c r="K250" s="52"/>
      <c r="L250" s="227"/>
      <c r="M250" s="52"/>
    </row>
    <row r="251" spans="3:13" ht="15.5">
      <c r="C251" s="52"/>
      <c r="D251" s="52"/>
      <c r="E251" s="52"/>
      <c r="F251" s="52"/>
      <c r="G251" s="52"/>
      <c r="H251" s="52"/>
      <c r="I251" s="52"/>
      <c r="J251" s="52"/>
      <c r="K251" s="52"/>
      <c r="L251" s="227"/>
      <c r="M251" s="52"/>
    </row>
    <row r="252" spans="3:13" ht="15.5">
      <c r="C252" s="52"/>
      <c r="D252" s="52"/>
      <c r="E252" s="52"/>
      <c r="F252" s="52"/>
      <c r="G252" s="52"/>
      <c r="H252" s="52"/>
      <c r="I252" s="52"/>
      <c r="J252" s="52"/>
      <c r="K252" s="52"/>
      <c r="L252" s="227"/>
      <c r="M252" s="52"/>
    </row>
    <row r="253" spans="3:13" ht="15.5">
      <c r="C253" s="52"/>
      <c r="D253" s="52"/>
      <c r="E253" s="52"/>
      <c r="F253" s="52"/>
      <c r="G253" s="52"/>
      <c r="H253" s="52"/>
      <c r="I253" s="52"/>
      <c r="J253" s="52"/>
      <c r="K253" s="52"/>
      <c r="L253" s="227"/>
      <c r="M253" s="52"/>
    </row>
    <row r="254" spans="3:13" ht="15.5">
      <c r="C254" s="52"/>
      <c r="D254" s="52"/>
      <c r="E254" s="52"/>
      <c r="F254" s="52"/>
      <c r="G254" s="52"/>
      <c r="H254" s="52"/>
      <c r="I254" s="52"/>
      <c r="J254" s="52"/>
      <c r="K254" s="52"/>
      <c r="L254" s="227"/>
      <c r="M254" s="52"/>
    </row>
    <row r="255" spans="3:13" ht="15.5">
      <c r="C255" s="52"/>
      <c r="D255" s="52"/>
      <c r="E255" s="52"/>
      <c r="F255" s="52"/>
      <c r="G255" s="52"/>
      <c r="H255" s="52"/>
      <c r="I255" s="52"/>
      <c r="J255" s="52"/>
      <c r="K255" s="52"/>
      <c r="L255" s="227"/>
      <c r="M255" s="52"/>
    </row>
    <row r="256" spans="3:13" ht="15.5">
      <c r="C256" s="52"/>
      <c r="D256" s="52"/>
      <c r="E256" s="52"/>
      <c r="F256" s="52"/>
      <c r="G256" s="52"/>
      <c r="H256" s="52"/>
      <c r="I256" s="52"/>
      <c r="J256" s="52"/>
      <c r="K256" s="52"/>
      <c r="L256" s="227"/>
      <c r="M256" s="52"/>
    </row>
    <row r="257" spans="3:13" ht="15.5">
      <c r="C257" s="52"/>
      <c r="D257" s="52"/>
      <c r="E257" s="52"/>
      <c r="F257" s="52"/>
      <c r="G257" s="52"/>
      <c r="H257" s="52"/>
      <c r="I257" s="52"/>
      <c r="J257" s="52"/>
      <c r="K257" s="52"/>
      <c r="L257" s="227"/>
      <c r="M257" s="52"/>
    </row>
    <row r="258" spans="3:13" ht="15.5">
      <c r="C258" s="52"/>
      <c r="D258" s="52"/>
      <c r="E258" s="52"/>
      <c r="F258" s="52"/>
      <c r="G258" s="52"/>
      <c r="H258" s="52"/>
      <c r="I258" s="52"/>
      <c r="J258" s="52"/>
      <c r="K258" s="52"/>
      <c r="L258" s="227"/>
      <c r="M258" s="52"/>
    </row>
    <row r="259" spans="3:13" ht="15.5">
      <c r="C259" s="52"/>
      <c r="D259" s="52"/>
      <c r="E259" s="52"/>
      <c r="F259" s="52"/>
      <c r="G259" s="52"/>
      <c r="H259" s="52"/>
      <c r="I259" s="52"/>
      <c r="J259" s="52"/>
      <c r="K259" s="52"/>
      <c r="L259" s="227"/>
      <c r="M259" s="52"/>
    </row>
    <row r="260" spans="3:13" ht="15.5">
      <c r="C260" s="52"/>
      <c r="D260" s="52"/>
      <c r="E260" s="52"/>
      <c r="F260" s="52"/>
      <c r="G260" s="52"/>
      <c r="H260" s="52"/>
      <c r="I260" s="52"/>
      <c r="J260" s="52"/>
      <c r="K260" s="52"/>
      <c r="L260" s="227"/>
      <c r="M260" s="52"/>
    </row>
    <row r="261" spans="3:13" ht="15.5">
      <c r="C261" s="52"/>
      <c r="D261" s="52"/>
      <c r="E261" s="52"/>
      <c r="F261" s="52"/>
      <c r="G261" s="52"/>
      <c r="H261" s="52"/>
      <c r="I261" s="52"/>
      <c r="J261" s="52"/>
      <c r="K261" s="52"/>
      <c r="L261" s="227"/>
      <c r="M261" s="52"/>
    </row>
    <row r="262" spans="3:13" ht="15.5">
      <c r="C262" s="52"/>
      <c r="D262" s="52"/>
      <c r="E262" s="52"/>
      <c r="F262" s="52"/>
      <c r="G262" s="52"/>
      <c r="H262" s="52"/>
      <c r="I262" s="52"/>
      <c r="J262" s="52"/>
      <c r="K262" s="52"/>
      <c r="L262" s="227"/>
      <c r="M262" s="52"/>
    </row>
    <row r="263" spans="3:13" ht="15.5">
      <c r="C263" s="52"/>
      <c r="D263" s="52"/>
      <c r="E263" s="52"/>
      <c r="F263" s="52"/>
      <c r="G263" s="52"/>
      <c r="H263" s="52"/>
      <c r="I263" s="52"/>
      <c r="J263" s="52"/>
      <c r="K263" s="52"/>
      <c r="L263" s="227"/>
      <c r="M263" s="52"/>
    </row>
    <row r="264" spans="3:13" ht="15.5">
      <c r="C264" s="52"/>
      <c r="D264" s="52"/>
      <c r="E264" s="52"/>
      <c r="F264" s="52"/>
      <c r="G264" s="52"/>
      <c r="H264" s="52"/>
      <c r="I264" s="52"/>
      <c r="J264" s="52"/>
      <c r="K264" s="52"/>
      <c r="L264" s="227"/>
      <c r="M264" s="52"/>
    </row>
    <row r="265" spans="3:13" ht="15.5">
      <c r="C265" s="52"/>
      <c r="D265" s="52"/>
      <c r="E265" s="52"/>
      <c r="F265" s="52"/>
      <c r="G265" s="52"/>
      <c r="H265" s="52"/>
      <c r="I265" s="52"/>
      <c r="J265" s="52"/>
      <c r="K265" s="52"/>
      <c r="L265" s="227"/>
      <c r="M265" s="52"/>
    </row>
    <row r="266" spans="3:13" ht="15.5">
      <c r="C266" s="52"/>
      <c r="D266" s="52"/>
      <c r="E266" s="52"/>
      <c r="F266" s="52"/>
      <c r="G266" s="52"/>
      <c r="H266" s="52"/>
      <c r="I266" s="52"/>
      <c r="J266" s="52"/>
      <c r="K266" s="52"/>
      <c r="L266" s="227"/>
      <c r="M266" s="52"/>
    </row>
    <row r="267" spans="3:13" ht="15.5">
      <c r="C267" s="52"/>
      <c r="D267" s="52"/>
      <c r="E267" s="52"/>
      <c r="F267" s="52"/>
      <c r="G267" s="52"/>
      <c r="H267" s="52"/>
      <c r="I267" s="52"/>
      <c r="J267" s="52"/>
      <c r="K267" s="52"/>
      <c r="L267" s="227"/>
      <c r="M267" s="52"/>
    </row>
    <row r="268" spans="3:13" ht="15.5">
      <c r="C268" s="52"/>
      <c r="D268" s="52"/>
      <c r="E268" s="52"/>
      <c r="F268" s="52"/>
      <c r="G268" s="52"/>
      <c r="H268" s="52"/>
      <c r="I268" s="52"/>
      <c r="J268" s="52"/>
      <c r="K268" s="52"/>
      <c r="L268" s="227"/>
      <c r="M268" s="52"/>
    </row>
    <row r="269" spans="3:13" ht="15.5">
      <c r="C269" s="52"/>
      <c r="D269" s="52"/>
      <c r="E269" s="52"/>
      <c r="F269" s="52"/>
      <c r="G269" s="52"/>
      <c r="H269" s="52"/>
      <c r="I269" s="52"/>
      <c r="J269" s="52"/>
      <c r="K269" s="52"/>
      <c r="L269" s="227"/>
      <c r="M269" s="52"/>
    </row>
    <row r="270" spans="3:13" ht="15.5">
      <c r="C270" s="52"/>
      <c r="D270" s="52"/>
      <c r="E270" s="52"/>
      <c r="F270" s="52"/>
      <c r="G270" s="52"/>
      <c r="H270" s="52"/>
      <c r="I270" s="52"/>
      <c r="J270" s="52"/>
      <c r="K270" s="52"/>
      <c r="L270" s="227"/>
      <c r="M270" s="52"/>
    </row>
    <row r="271" spans="3:13" ht="15.5">
      <c r="C271" s="52"/>
      <c r="D271" s="52"/>
      <c r="E271" s="52"/>
      <c r="F271" s="52"/>
      <c r="G271" s="52"/>
      <c r="H271" s="52"/>
      <c r="I271" s="52"/>
      <c r="J271" s="52"/>
      <c r="K271" s="52"/>
      <c r="L271" s="227"/>
      <c r="M271" s="52"/>
    </row>
    <row r="272" spans="3:13" ht="15.5">
      <c r="C272" s="52"/>
      <c r="D272" s="52"/>
      <c r="E272" s="52"/>
      <c r="F272" s="52"/>
      <c r="G272" s="52"/>
      <c r="H272" s="52"/>
      <c r="I272" s="52"/>
      <c r="J272" s="52"/>
      <c r="K272" s="52"/>
      <c r="L272" s="227"/>
      <c r="M272" s="52"/>
    </row>
    <row r="273" spans="3:13" ht="15.5">
      <c r="C273" s="52"/>
      <c r="D273" s="52"/>
      <c r="E273" s="52"/>
      <c r="F273" s="52"/>
      <c r="G273" s="52"/>
      <c r="H273" s="52"/>
      <c r="I273" s="52"/>
      <c r="J273" s="52"/>
      <c r="K273" s="52"/>
      <c r="L273" s="227"/>
      <c r="M273" s="52"/>
    </row>
    <row r="274" spans="3:13" ht="15.5">
      <c r="C274" s="52"/>
      <c r="D274" s="52"/>
      <c r="E274" s="52"/>
      <c r="F274" s="52"/>
      <c r="G274" s="52"/>
      <c r="H274" s="52"/>
      <c r="I274" s="52"/>
      <c r="J274" s="52"/>
      <c r="K274" s="52"/>
      <c r="L274" s="227"/>
      <c r="M274" s="52"/>
    </row>
    <row r="275" spans="3:13" ht="15.5">
      <c r="C275" s="52"/>
      <c r="D275" s="52"/>
      <c r="E275" s="52"/>
      <c r="F275" s="52"/>
      <c r="G275" s="52"/>
      <c r="H275" s="52"/>
      <c r="I275" s="52"/>
      <c r="J275" s="52"/>
      <c r="K275" s="52"/>
      <c r="L275" s="227"/>
      <c r="M275" s="52"/>
    </row>
    <row r="276" spans="3:13" ht="15.5">
      <c r="C276" s="52"/>
      <c r="D276" s="52"/>
      <c r="E276" s="52"/>
      <c r="F276" s="52"/>
      <c r="G276" s="52"/>
      <c r="H276" s="52"/>
      <c r="I276" s="52"/>
      <c r="J276" s="52"/>
      <c r="K276" s="52"/>
      <c r="L276" s="227"/>
      <c r="M276" s="52"/>
    </row>
    <row r="277" spans="3:13" ht="15.5">
      <c r="C277" s="52"/>
      <c r="D277" s="52"/>
      <c r="E277" s="52"/>
      <c r="F277" s="52"/>
      <c r="G277" s="52"/>
      <c r="H277" s="52"/>
      <c r="I277" s="52"/>
      <c r="J277" s="52"/>
      <c r="K277" s="52"/>
      <c r="L277" s="227"/>
      <c r="M277" s="52"/>
    </row>
    <row r="278" spans="3:13" ht="15.5">
      <c r="C278" s="52"/>
      <c r="D278" s="52"/>
      <c r="E278" s="52"/>
      <c r="F278" s="52"/>
      <c r="G278" s="52"/>
      <c r="H278" s="52"/>
      <c r="I278" s="52"/>
      <c r="J278" s="52"/>
      <c r="K278" s="52"/>
      <c r="L278" s="227"/>
      <c r="M278" s="52"/>
    </row>
    <row r="279" spans="3:13" ht="15.5">
      <c r="C279" s="52"/>
      <c r="D279" s="52"/>
      <c r="E279" s="52"/>
      <c r="F279" s="52"/>
      <c r="G279" s="52"/>
      <c r="H279" s="52"/>
      <c r="I279" s="52"/>
      <c r="J279" s="52"/>
      <c r="K279" s="52"/>
      <c r="L279" s="227"/>
      <c r="M279" s="52"/>
    </row>
    <row r="280" spans="3:13" ht="15.5">
      <c r="C280" s="52"/>
      <c r="D280" s="52"/>
      <c r="E280" s="52"/>
      <c r="F280" s="52"/>
      <c r="G280" s="52"/>
      <c r="H280" s="52"/>
      <c r="I280" s="52"/>
      <c r="J280" s="52"/>
      <c r="K280" s="52"/>
      <c r="L280" s="227"/>
      <c r="M280" s="52"/>
    </row>
    <row r="281" spans="3:13" ht="15.5">
      <c r="C281" s="52"/>
      <c r="D281" s="52"/>
      <c r="E281" s="52"/>
      <c r="F281" s="52"/>
      <c r="G281" s="52"/>
      <c r="H281" s="52"/>
      <c r="I281" s="52"/>
      <c r="J281" s="52"/>
      <c r="K281" s="52"/>
      <c r="L281" s="227"/>
      <c r="M281"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scale="51" r:id="rId2"/>
      <headerFooter alignWithMargins="0"/>
    </customSheetView>
  </customSheetViews>
  <mergeCells count="11">
    <mergeCell ref="A5:O5"/>
    <mergeCell ref="A6:O6"/>
    <mergeCell ref="A7:M7"/>
    <mergeCell ref="C80:M80"/>
    <mergeCell ref="C81:M81"/>
    <mergeCell ref="C83:M83"/>
    <mergeCell ref="C82:M82"/>
    <mergeCell ref="C78:M78"/>
    <mergeCell ref="C79:M79"/>
    <mergeCell ref="A50:O50"/>
    <mergeCell ref="A51:O51"/>
  </mergeCells>
  <printOptions horizontalCentered="1"/>
  <pageMargins left="0.7" right="0.7" top="0.75" bottom="0.75" header="0.3" footer="0.3"/>
  <pageSetup fitToHeight="0" orientation="landscape" scale="32"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2"/>
  <sheetViews>
    <sheetView view="pageBreakPreview" zoomScale="70" zoomScaleNormal="75" zoomScaleSheetLayoutView="70" workbookViewId="0" topLeftCell="A1">
      <selection pane="topLeft" activeCell="H6" sqref="H6"/>
    </sheetView>
  </sheetViews>
  <sheetFormatPr defaultColWidth="8.91714285714286" defaultRowHeight="15.5"/>
  <cols>
    <col min="1" max="1" width="6" style="1" customWidth="1"/>
    <col min="2" max="2" width="3.35714285714286" style="1" customWidth="1"/>
    <col min="3" max="3" width="69.8571428571429" style="1" bestFit="1" customWidth="1"/>
    <col min="4" max="4" width="12" style="1" customWidth="1"/>
    <col min="5" max="5" width="14.4285714285714" style="1" customWidth="1"/>
    <col min="6" max="6" width="14.2142857142857" style="1" customWidth="1"/>
    <col min="7" max="7" width="15.7142857142857" style="1" customWidth="1"/>
    <col min="8" max="8" width="14.9285714285714" style="1" customWidth="1"/>
    <col min="9" max="9" width="13.3571428571429" style="1" customWidth="1"/>
    <col min="10" max="10" width="13.0714285714286" style="1" customWidth="1"/>
    <col min="11" max="11" width="15.5" style="1" customWidth="1"/>
    <col min="12" max="12" width="3.92857142857143" style="1" customWidth="1"/>
    <col min="13" max="13" width="17.0714285714286" style="1" customWidth="1"/>
    <col min="14" max="16384" width="8.92857142857143" style="1"/>
  </cols>
  <sheetData>
    <row r="1" spans="13:13" ht="15.5">
      <c r="M1" s="26" t="s">
        <v>410</v>
      </c>
    </row>
    <row r="2" spans="13:13" ht="15.5">
      <c r="M2" s="26" t="s">
        <v>275</v>
      </c>
    </row>
    <row r="3" spans="13:13" ht="15.5">
      <c r="M3" s="112" t="s">
        <v>434</v>
      </c>
    </row>
    <row r="4" spans="1:7" ht="15.5">
      <c r="A4" s="27"/>
      <c r="G4" s="4"/>
    </row>
    <row r="5" spans="1:4" ht="15.5">
      <c r="A5" s="27"/>
      <c r="C5" s="2"/>
      <c r="D5" s="2"/>
    </row>
    <row r="6" spans="1:12" ht="15.5">
      <c r="A6" s="27"/>
      <c r="C6" s="2"/>
      <c r="D6" s="2"/>
      <c r="L6" s="4"/>
    </row>
    <row r="7" spans="1:1" ht="14.25" customHeight="1">
      <c r="A7" s="27"/>
    </row>
    <row r="8" spans="1:12" ht="15.5">
      <c r="A8" s="673" t="s">
        <v>418</v>
      </c>
      <c r="B8" s="673"/>
      <c r="C8" s="673"/>
      <c r="D8" s="673"/>
      <c r="E8" s="673"/>
      <c r="F8" s="673"/>
      <c r="G8" s="673"/>
      <c r="H8" s="673"/>
      <c r="I8" s="673"/>
      <c r="J8" s="673"/>
      <c r="K8" s="673"/>
      <c r="L8" s="673"/>
    </row>
    <row r="9" spans="1:12" ht="15.5">
      <c r="A9" s="674" t="s">
        <v>417</v>
      </c>
      <c r="B9" s="677"/>
      <c r="C9" s="677"/>
      <c r="D9" s="677"/>
      <c r="E9" s="677"/>
      <c r="F9" s="677"/>
      <c r="G9" s="677"/>
      <c r="H9" s="677"/>
      <c r="I9" s="677"/>
      <c r="J9" s="677"/>
      <c r="K9" s="677"/>
      <c r="L9" s="677"/>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296</v>
      </c>
      <c r="E13" s="39" t="s">
        <v>421</v>
      </c>
      <c r="F13" s="39" t="s">
        <v>411</v>
      </c>
      <c r="G13" s="38" t="s">
        <v>412</v>
      </c>
      <c r="H13" s="39" t="s">
        <v>413</v>
      </c>
      <c r="I13" s="39" t="s">
        <v>414</v>
      </c>
      <c r="J13" s="38" t="s">
        <v>572</v>
      </c>
      <c r="K13" s="188" t="s">
        <v>573</v>
      </c>
    </row>
    <row r="14" spans="1:11" ht="46.5" customHeight="1">
      <c r="A14" s="42"/>
      <c r="B14" s="43"/>
      <c r="C14" s="43"/>
      <c r="D14" s="43"/>
      <c r="E14" s="44"/>
      <c r="F14" s="105" t="s">
        <v>717</v>
      </c>
      <c r="G14" s="105" t="s">
        <v>432</v>
      </c>
      <c r="H14" s="105" t="s">
        <v>718</v>
      </c>
      <c r="I14" s="44" t="s">
        <v>433</v>
      </c>
      <c r="J14" s="105" t="s">
        <v>571</v>
      </c>
      <c r="K14" s="189" t="s">
        <v>719</v>
      </c>
    </row>
    <row r="15" spans="1:11" ht="15.5">
      <c r="A15" s="47"/>
      <c r="B15" s="2"/>
      <c r="C15" s="2"/>
      <c r="D15" s="2"/>
      <c r="E15" s="102"/>
      <c r="F15" s="102"/>
      <c r="G15" s="102"/>
      <c r="H15" s="102"/>
      <c r="I15" s="102"/>
      <c r="J15" s="102"/>
      <c r="K15" s="103"/>
    </row>
    <row r="16" spans="1:11" ht="15.5">
      <c r="A16" s="104">
        <v>1</v>
      </c>
      <c r="B16" s="2" t="s">
        <v>363</v>
      </c>
      <c r="C16" s="2" t="s">
        <v>419</v>
      </c>
      <c r="D16" s="2"/>
      <c r="E16" s="286">
        <v>29094716</v>
      </c>
      <c r="F16" s="287"/>
      <c r="G16" s="287"/>
      <c r="H16" s="287"/>
      <c r="I16" s="287"/>
      <c r="J16" s="287"/>
      <c r="K16" s="288"/>
    </row>
    <row r="17" spans="1:11" ht="15.5">
      <c r="A17" s="47"/>
      <c r="B17" s="2"/>
      <c r="C17" s="2"/>
      <c r="D17" s="2"/>
      <c r="E17" s="287"/>
      <c r="F17" s="287"/>
      <c r="G17" s="287"/>
      <c r="H17" s="287"/>
      <c r="I17" s="287"/>
      <c r="J17" s="287"/>
      <c r="K17" s="288"/>
    </row>
    <row r="18" spans="1:13" ht="15.5">
      <c r="A18" s="65" t="s">
        <v>328</v>
      </c>
      <c r="B18" s="32"/>
      <c r="C18" s="284" t="s">
        <v>915</v>
      </c>
      <c r="D18" s="285" t="s">
        <v>916</v>
      </c>
      <c r="E18" s="289"/>
      <c r="F18" s="290">
        <v>2295319.1766586383</v>
      </c>
      <c r="G18" s="289">
        <f>IF(F$35&gt;0,(E$16*(F18/F$35)),0)</f>
        <v>2275761.710448531</v>
      </c>
      <c r="H18" s="290">
        <v>2031751.4249258733</v>
      </c>
      <c r="I18" s="289">
        <f>H18-G18</f>
        <v>-244010.28552265768</v>
      </c>
      <c r="J18" s="291">
        <f>IF(I$38=0,0,(I18*((I$37/I$38)-1)))</f>
        <v>-26767.792363213135</v>
      </c>
      <c r="K18" s="292">
        <f>I18+J18</f>
        <v>-270778.07788587082</v>
      </c>
      <c r="M18" s="602"/>
    </row>
    <row r="19" spans="1:13" ht="15.5">
      <c r="A19" s="65" t="s">
        <v>351</v>
      </c>
      <c r="B19" s="32"/>
      <c r="C19" s="284" t="s">
        <v>917</v>
      </c>
      <c r="D19" s="285" t="s">
        <v>918</v>
      </c>
      <c r="E19" s="289"/>
      <c r="F19" s="290">
        <v>3946056.9971438311</v>
      </c>
      <c r="G19" s="289">
        <f t="shared" si="0" ref="G19:G23">IF(F$35&gt;0,(E$16*(F19/F$35)),0)</f>
        <v>3912434.2760993694</v>
      </c>
      <c r="H19" s="290">
        <v>3262505.4160804893</v>
      </c>
      <c r="I19" s="289">
        <f>H19-G19</f>
        <v>-649928.86001888011</v>
      </c>
      <c r="J19" s="291">
        <f t="shared" si="1" ref="J19:J24">IF(I$38=0,0,(I19*((I$37/I$38)-1)))</f>
        <v>-71296.833814121244</v>
      </c>
      <c r="K19" s="292">
        <f t="shared" si="2" ref="K19:K24">I19+J19</f>
        <v>-721225.69383300131</v>
      </c>
      <c r="M19" s="602"/>
    </row>
    <row r="20" spans="1:13" ht="15.5">
      <c r="A20" s="65" t="s">
        <v>352</v>
      </c>
      <c r="B20" s="32"/>
      <c r="C20" s="284" t="s">
        <v>919</v>
      </c>
      <c r="D20" s="285" t="s">
        <v>920</v>
      </c>
      <c r="E20" s="289"/>
      <c r="F20" s="290">
        <v>8788713.4590125568</v>
      </c>
      <c r="G20" s="289">
        <f t="shared" si="0"/>
        <v>8713828.4633862991</v>
      </c>
      <c r="H20" s="290">
        <v>6561106.7148860563</v>
      </c>
      <c r="I20" s="289">
        <f>H20-G20</f>
        <v>-2152721.7485002428</v>
      </c>
      <c r="J20" s="291">
        <f>IF(I$38=0,0,(I20*((I$37/I$38)-1)))</f>
        <v>-236152.37634840177</v>
      </c>
      <c r="K20" s="292">
        <f t="shared" si="2"/>
        <v>-2388874.1248486447</v>
      </c>
      <c r="M20" s="602"/>
    </row>
    <row r="21" spans="1:13" ht="15.5">
      <c r="A21" s="65" t="s">
        <v>710</v>
      </c>
      <c r="B21" s="32"/>
      <c r="C21" s="284" t="s">
        <v>921</v>
      </c>
      <c r="D21" s="285" t="s">
        <v>922</v>
      </c>
      <c r="E21" s="289"/>
      <c r="F21" s="290">
        <v>13223561.974825732</v>
      </c>
      <c r="G21" s="289">
        <f>IF(F$35&gt;0,(E$16*(F21/F$35)),0)</f>
        <v>13110889.467607634</v>
      </c>
      <c r="H21" s="290">
        <v>15319942.974023584</v>
      </c>
      <c r="I21" s="289">
        <f t="shared" si="3" ref="I21:I24">H21-G21</f>
        <v>2209053.5064159501</v>
      </c>
      <c r="J21" s="291">
        <f t="shared" si="1"/>
        <v>242331.9388046017</v>
      </c>
      <c r="K21" s="292">
        <f t="shared" si="2"/>
        <v>2451385.4452205519</v>
      </c>
      <c r="M21" s="602"/>
    </row>
    <row r="22" spans="1:13" ht="15.5">
      <c r="A22" s="65" t="s">
        <v>711</v>
      </c>
      <c r="B22" s="32"/>
      <c r="C22" s="284" t="s">
        <v>923</v>
      </c>
      <c r="D22" s="285" t="s">
        <v>924</v>
      </c>
      <c r="E22" s="289"/>
      <c r="F22" s="290">
        <v>-94105.787142249523</v>
      </c>
      <c r="G22" s="289">
        <f t="shared" si="0"/>
        <v>-93303.950617322611</v>
      </c>
      <c r="H22" s="290">
        <v>1866137.0734412256</v>
      </c>
      <c r="I22" s="289">
        <f t="shared" si="3"/>
        <v>1959441.0240585483</v>
      </c>
      <c r="J22" s="291">
        <f t="shared" si="1"/>
        <v>214949.58857007147</v>
      </c>
      <c r="K22" s="292">
        <f t="shared" si="2"/>
        <v>2174390.6126286197</v>
      </c>
      <c r="M22" s="602"/>
    </row>
    <row r="23" spans="1:13" ht="15.5">
      <c r="A23" s="65" t="s">
        <v>712</v>
      </c>
      <c r="B23" s="32"/>
      <c r="C23" s="284" t="s">
        <v>925</v>
      </c>
      <c r="D23" s="285" t="s">
        <v>926</v>
      </c>
      <c r="E23" s="289"/>
      <c r="F23" s="290">
        <v>126287.25472951436</v>
      </c>
      <c r="G23" s="289">
        <f t="shared" si="0"/>
        <v>125211.21321761662</v>
      </c>
      <c r="H23" s="290">
        <v>476925.29650770634</v>
      </c>
      <c r="I23" s="289">
        <f t="shared" si="3"/>
        <v>351714.08329008974</v>
      </c>
      <c r="J23" s="291">
        <f t="shared" si="1"/>
        <v>38582.838967469572</v>
      </c>
      <c r="K23" s="292">
        <f t="shared" si="2"/>
        <v>390296.92225755932</v>
      </c>
      <c r="M23" s="602"/>
    </row>
    <row r="24" spans="1:13" ht="15.5">
      <c r="A24" s="65" t="s">
        <v>713</v>
      </c>
      <c r="B24" s="32"/>
      <c r="C24" s="284" t="s">
        <v>927</v>
      </c>
      <c r="D24" s="285" t="s">
        <v>928</v>
      </c>
      <c r="E24" s="289"/>
      <c r="F24" s="290">
        <v>250174.00792719459</v>
      </c>
      <c r="G24" s="289">
        <f>IF(F$35&gt;0,(E$16*(F24/F$35)),0)</f>
        <v>248042.37858499316</v>
      </c>
      <c r="H24" s="290">
        <v>1083772.7738454018</v>
      </c>
      <c r="I24" s="289">
        <f t="shared" si="3"/>
        <v>835730.39526040864</v>
      </c>
      <c r="J24" s="291">
        <f t="shared" si="1"/>
        <v>91679.158704477741</v>
      </c>
      <c r="K24" s="292">
        <f t="shared" si="2"/>
        <v>927409.55396488635</v>
      </c>
      <c r="M24" s="602"/>
    </row>
    <row r="25" spans="1:13" ht="15.5">
      <c r="A25" s="65" t="s">
        <v>933</v>
      </c>
      <c r="C25" s="284" t="s">
        <v>929</v>
      </c>
      <c r="D25" s="285" t="s">
        <v>930</v>
      </c>
      <c r="E25" s="289"/>
      <c r="F25" s="290">
        <v>808743.40966983221</v>
      </c>
      <c r="G25" s="289">
        <f t="shared" si="4" ref="G25">IF(F$35&gt;0,(E$16*(F25/F$35)),0)</f>
        <v>801852.44127288368</v>
      </c>
      <c r="H25" s="290">
        <v>590684.98659269023</v>
      </c>
      <c r="I25" s="289">
        <f t="shared" si="5" ref="I25">H25-G25</f>
        <v>-211167.45468019345</v>
      </c>
      <c r="J25" s="291">
        <f t="shared" si="6" ref="J25">IF(I$38=0,0,(I25*((I$37/I$38)-1)))</f>
        <v>-23164.952119294063</v>
      </c>
      <c r="K25" s="292">
        <f t="shared" si="7" ref="K25">I25+J25</f>
        <v>-234332.40679948751</v>
      </c>
      <c r="M25" s="602"/>
    </row>
    <row r="26" spans="1:11" ht="15.5">
      <c r="A26" s="50"/>
      <c r="C26" s="52"/>
      <c r="D26" s="52"/>
      <c r="E26" s="108"/>
      <c r="F26" s="108"/>
      <c r="G26" s="108"/>
      <c r="H26" s="108"/>
      <c r="I26" s="108"/>
      <c r="J26" s="108"/>
      <c r="K26" s="109"/>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0"/>
      <c r="C32" s="52"/>
      <c r="D32" s="52"/>
      <c r="E32" s="108"/>
      <c r="F32" s="108"/>
      <c r="G32" s="108"/>
      <c r="H32" s="108"/>
      <c r="I32" s="108"/>
      <c r="J32" s="108"/>
      <c r="K32" s="109"/>
    </row>
    <row r="33" spans="1:11" ht="15.5">
      <c r="A33" s="50"/>
      <c r="C33" s="52"/>
      <c r="D33" s="52"/>
      <c r="E33" s="108"/>
      <c r="F33" s="108"/>
      <c r="G33" s="108"/>
      <c r="H33" s="108"/>
      <c r="I33" s="108"/>
      <c r="J33" s="108"/>
      <c r="K33" s="109"/>
    </row>
    <row r="34" spans="1:11" ht="15.5">
      <c r="A34" s="54"/>
      <c r="B34" s="55"/>
      <c r="C34" s="56"/>
      <c r="D34" s="56"/>
      <c r="E34" s="110"/>
      <c r="F34" s="110"/>
      <c r="G34" s="110"/>
      <c r="H34" s="110"/>
      <c r="I34" s="110"/>
      <c r="J34" s="110"/>
      <c r="K34" s="111"/>
    </row>
    <row r="35" spans="1:12" ht="15.5">
      <c r="A35" s="7" t="s">
        <v>344</v>
      </c>
      <c r="B35" s="34"/>
      <c r="C35" s="1" t="s">
        <v>422</v>
      </c>
      <c r="D35" s="2"/>
      <c r="E35" s="32"/>
      <c r="F35" s="296">
        <f>SUM(F18:F34)</f>
        <v>29344750.492825046</v>
      </c>
      <c r="G35" s="296">
        <f>SUM(G18:G34)</f>
        <v>29094716.000000004</v>
      </c>
      <c r="H35" s="296">
        <f>SUM(H18:H34)</f>
        <v>31192826.660303026</v>
      </c>
      <c r="I35" s="107"/>
      <c r="J35" s="107"/>
      <c r="K35" s="107"/>
      <c r="L35" s="107"/>
    </row>
    <row r="36" spans="1:5" ht="15.5">
      <c r="A36" s="52"/>
      <c r="B36" s="52"/>
      <c r="E36" s="52"/>
    </row>
    <row r="37" spans="1:9" ht="15.5">
      <c r="A37" s="32" t="s">
        <v>222</v>
      </c>
      <c r="C37" s="1" t="s">
        <v>478</v>
      </c>
      <c r="I37" s="149">
        <f>-'Appendix H-Rev Req True-up Adj'!H51</f>
        <v>-43595281.378164954</v>
      </c>
    </row>
    <row r="38" spans="1:9" ht="15.5">
      <c r="A38" s="32" t="s">
        <v>223</v>
      </c>
      <c r="C38" s="1" t="s">
        <v>479</v>
      </c>
      <c r="I38" s="149">
        <f>'Appendix H-Rev Req True-up Adj'!H52</f>
        <v>-39285665.736242771</v>
      </c>
    </row>
    <row r="39" spans="1:11" ht="15.5">
      <c r="A39" s="32"/>
      <c r="K39" s="244"/>
    </row>
    <row r="40" spans="1:11" ht="15.5">
      <c r="A40" s="7"/>
      <c r="I40" s="107"/>
      <c r="K40" s="244"/>
    </row>
    <row r="41" spans="3:3" ht="15.5">
      <c r="C41" s="148"/>
    </row>
    <row r="43" spans="1:12" ht="15.5">
      <c r="A43" s="52" t="s">
        <v>435</v>
      </c>
      <c r="B43" s="52"/>
      <c r="C43" s="52"/>
      <c r="D43" s="52"/>
      <c r="E43" s="52"/>
      <c r="F43" s="52"/>
      <c r="G43" s="52"/>
      <c r="H43" s="52"/>
      <c r="I43" s="52"/>
      <c r="J43" s="52"/>
      <c r="K43" s="52"/>
      <c r="L43" s="52"/>
    </row>
    <row r="44" spans="1:12" ht="15.5">
      <c r="A44" s="62"/>
      <c r="B44" s="52" t="s">
        <v>363</v>
      </c>
      <c r="C44" s="52" t="s">
        <v>420</v>
      </c>
      <c r="D44" s="52"/>
      <c r="E44" s="52"/>
      <c r="F44" s="52"/>
      <c r="G44" s="52"/>
      <c r="H44" s="52"/>
      <c r="I44" s="52"/>
      <c r="J44" s="52"/>
      <c r="K44" s="52"/>
      <c r="L44" s="52"/>
    </row>
    <row r="45" spans="1:10" ht="15.5">
      <c r="A45" s="6"/>
      <c r="C45" s="7"/>
      <c r="D45" s="7"/>
      <c r="E45" s="32"/>
      <c r="F45" s="32"/>
      <c r="G45" s="4"/>
      <c r="J45" s="30"/>
    </row>
    <row r="46" spans="1:10" ht="15.5">
      <c r="A46" s="6"/>
      <c r="C46" s="7"/>
      <c r="D46" s="7"/>
      <c r="E46" s="32"/>
      <c r="F46" s="32"/>
      <c r="G46" s="4"/>
      <c r="J46" s="30"/>
    </row>
    <row r="47" spans="3:12" ht="15.5">
      <c r="C47" s="52"/>
      <c r="D47" s="52"/>
      <c r="E47" s="52"/>
      <c r="F47" s="52"/>
      <c r="G47" s="52"/>
      <c r="H47" s="52"/>
      <c r="I47" s="52"/>
      <c r="J47" s="52"/>
      <c r="K47" s="52"/>
      <c r="L47" s="52"/>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row r="241" spans="3:12" ht="15.5">
      <c r="C241" s="52"/>
      <c r="D241" s="52"/>
      <c r="E241" s="52"/>
      <c r="F241" s="52"/>
      <c r="G241" s="52"/>
      <c r="H241" s="52"/>
      <c r="I241" s="52"/>
      <c r="J241" s="52"/>
      <c r="K241" s="52"/>
      <c r="L241" s="52"/>
    </row>
    <row r="242" spans="3:12" ht="15.5">
      <c r="C242" s="52"/>
      <c r="D242" s="52"/>
      <c r="E242" s="52"/>
      <c r="F242" s="52"/>
      <c r="G242" s="52"/>
      <c r="H242" s="52"/>
      <c r="I242" s="52"/>
      <c r="J242" s="52"/>
      <c r="K242" s="52"/>
      <c r="L242"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5"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election pane="topLeft" activeCell="K52" sqref="K52"/>
    </sheetView>
  </sheetViews>
  <sheetFormatPr defaultColWidth="8.91714285714286" defaultRowHeight="15.5"/>
  <cols>
    <col min="1" max="1" width="6" style="1" customWidth="1"/>
    <col min="2" max="2" width="1.42857142857143" style="1" customWidth="1"/>
    <col min="3" max="3" width="39.0714285714286" style="1" customWidth="1"/>
    <col min="4" max="4" width="8.85714285714286" style="1" customWidth="1"/>
    <col min="5" max="5" width="14.4285714285714" style="1" customWidth="1"/>
    <col min="6" max="6" width="11.9285714285714" style="1" customWidth="1"/>
    <col min="7" max="7" width="16.9285714285714" style="1" bestFit="1" customWidth="1"/>
    <col min="8" max="8" width="13.9285714285714" style="1" customWidth="1"/>
    <col min="9" max="10" width="12.8571428571429" style="1" customWidth="1"/>
    <col min="11" max="11" width="13.5" style="1" customWidth="1"/>
    <col min="12" max="12" width="13.5" style="225" customWidth="1"/>
    <col min="13" max="14" width="15.3571428571429" style="1" customWidth="1"/>
    <col min="15" max="15" width="15.4285714285714" style="1" customWidth="1"/>
    <col min="16" max="16" width="13.8571428571429" style="1" customWidth="1"/>
    <col min="17" max="16384" width="8.92857142857143" style="1"/>
  </cols>
  <sheetData>
    <row r="1" spans="16:16" ht="15.5">
      <c r="P1" s="3" t="s">
        <v>309</v>
      </c>
    </row>
    <row r="2" spans="7:16" ht="15.5">
      <c r="G2" s="33"/>
      <c r="P2" s="3" t="s">
        <v>278</v>
      </c>
    </row>
    <row r="3" spans="16:16" ht="15.5">
      <c r="P3" s="3" t="str">
        <f>'Attachment H-21-A ATSI '!K4</f>
        <v>For the 12 months ended 12/31/2022</v>
      </c>
    </row>
    <row r="4" spans="15:15" ht="15.5">
      <c r="O4" s="26"/>
    </row>
    <row r="5" spans="1:16" ht="15.5">
      <c r="A5" s="669" t="s">
        <v>284</v>
      </c>
      <c r="B5" s="669"/>
      <c r="C5" s="669"/>
      <c r="D5" s="669"/>
      <c r="E5" s="669"/>
      <c r="F5" s="669"/>
      <c r="G5" s="669"/>
      <c r="H5" s="669"/>
      <c r="I5" s="669"/>
      <c r="J5" s="669"/>
      <c r="K5" s="669"/>
      <c r="L5" s="669"/>
      <c r="M5" s="669"/>
      <c r="N5" s="669"/>
      <c r="O5" s="669"/>
      <c r="P5" s="669"/>
    </row>
    <row r="6" spans="1:16" ht="15.5">
      <c r="A6" s="675" t="s">
        <v>312</v>
      </c>
      <c r="B6" s="675"/>
      <c r="C6" s="675"/>
      <c r="D6" s="675"/>
      <c r="E6" s="675"/>
      <c r="F6" s="675"/>
      <c r="G6" s="675"/>
      <c r="H6" s="675"/>
      <c r="I6" s="675"/>
      <c r="J6" s="675"/>
      <c r="K6" s="675"/>
      <c r="L6" s="675"/>
      <c r="M6" s="675"/>
      <c r="N6" s="675"/>
      <c r="O6" s="675"/>
      <c r="P6" s="675"/>
    </row>
    <row r="7" spans="1:16" ht="15.5">
      <c r="A7" s="675"/>
      <c r="B7" s="675"/>
      <c r="C7" s="675"/>
      <c r="D7" s="675"/>
      <c r="E7" s="675"/>
      <c r="F7" s="675"/>
      <c r="G7" s="675"/>
      <c r="H7" s="675"/>
      <c r="I7" s="675"/>
      <c r="J7" s="675"/>
      <c r="K7" s="675"/>
      <c r="L7" s="675"/>
      <c r="M7" s="675"/>
      <c r="N7" s="675"/>
      <c r="O7" s="2"/>
      <c r="P7" s="2"/>
    </row>
    <row r="8" spans="1:16" ht="15.5">
      <c r="A8" s="27"/>
      <c r="C8" s="2"/>
      <c r="D8" s="2"/>
      <c r="F8" s="2"/>
      <c r="H8" s="2"/>
      <c r="I8" s="2"/>
      <c r="J8" s="2"/>
      <c r="K8" s="2"/>
      <c r="L8" s="226"/>
      <c r="M8" s="2"/>
      <c r="N8" s="2"/>
      <c r="O8" s="2"/>
      <c r="P8" s="2"/>
    </row>
    <row r="9" spans="1:16" ht="15.5">
      <c r="A9" s="27"/>
      <c r="C9" s="2"/>
      <c r="D9" s="2"/>
      <c r="E9" s="2"/>
      <c r="F9" s="2"/>
      <c r="G9" s="11"/>
      <c r="H9" s="2"/>
      <c r="I9" s="2"/>
      <c r="J9" s="2"/>
      <c r="K9" s="2"/>
      <c r="L9" s="226"/>
      <c r="M9" s="2"/>
      <c r="N9" s="2"/>
      <c r="O9" s="2"/>
      <c r="P9" s="2"/>
    </row>
    <row r="10" spans="1:16" ht="15.5">
      <c r="A10" s="27"/>
      <c r="D10" s="2"/>
      <c r="E10" s="2"/>
      <c r="F10" s="2"/>
      <c r="G10" s="11"/>
      <c r="H10" s="2"/>
      <c r="I10" s="2"/>
      <c r="J10" s="2"/>
      <c r="K10" s="2"/>
      <c r="L10" s="226"/>
      <c r="M10" s="2"/>
      <c r="N10" s="2"/>
      <c r="O10" s="2"/>
      <c r="P10" s="2"/>
    </row>
    <row r="11" spans="1:16" ht="15.5">
      <c r="A11" s="27"/>
      <c r="C11" s="2"/>
      <c r="D11" s="2"/>
      <c r="E11" s="2"/>
      <c r="F11" s="2"/>
      <c r="G11" s="11"/>
      <c r="M11" s="2"/>
      <c r="N11" s="2"/>
      <c r="O11" s="2"/>
      <c r="P11" s="2"/>
    </row>
    <row r="12" spans="1:16" ht="15.5">
      <c r="A12" s="27"/>
      <c r="C12" s="2"/>
      <c r="D12" s="2"/>
      <c r="E12" s="2"/>
      <c r="F12" s="2"/>
      <c r="G12" s="2"/>
      <c r="M12" s="4"/>
      <c r="N12" s="2"/>
      <c r="O12" s="2"/>
      <c r="P12" s="2"/>
    </row>
    <row r="13" spans="3:16" ht="15.5">
      <c r="C13" s="5" t="s">
        <v>27</v>
      </c>
      <c r="D13" s="5"/>
      <c r="E13" s="5" t="s">
        <v>28</v>
      </c>
      <c r="F13" s="5"/>
      <c r="G13" s="5" t="s">
        <v>29</v>
      </c>
      <c r="I13" s="7" t="s">
        <v>30</v>
      </c>
      <c r="N13" s="4"/>
      <c r="O13" s="7"/>
      <c r="P13" s="4"/>
    </row>
    <row r="14" spans="3:16" ht="15.5">
      <c r="C14" s="2"/>
      <c r="D14" s="2"/>
      <c r="E14" s="17"/>
      <c r="F14" s="17"/>
      <c r="G14" s="4"/>
      <c r="N14" s="4"/>
      <c r="P14" s="4"/>
    </row>
    <row r="15" spans="1:16" ht="15.5">
      <c r="A15" s="27" t="s">
        <v>5</v>
      </c>
      <c r="C15" s="2"/>
      <c r="D15" s="2"/>
      <c r="E15" s="153" t="s">
        <v>277</v>
      </c>
      <c r="F15" s="153"/>
      <c r="G15" s="28" t="s">
        <v>33</v>
      </c>
      <c r="I15" s="28" t="s">
        <v>12</v>
      </c>
      <c r="N15" s="4"/>
      <c r="P15" s="2"/>
    </row>
    <row r="16" spans="1:16" ht="15.5">
      <c r="A16" s="27" t="s">
        <v>7</v>
      </c>
      <c r="C16" s="18"/>
      <c r="D16" s="18"/>
      <c r="E16" s="4"/>
      <c r="F16" s="4"/>
      <c r="G16" s="4"/>
      <c r="I16" s="4"/>
      <c r="N16" s="4"/>
      <c r="O16" s="4"/>
      <c r="P16" s="2"/>
    </row>
    <row r="17" spans="1:16" ht="15.5">
      <c r="A17" s="29"/>
      <c r="C17" s="2"/>
      <c r="D17" s="2"/>
      <c r="E17" s="4"/>
      <c r="F17" s="4"/>
      <c r="G17" s="4"/>
      <c r="I17" s="4"/>
      <c r="N17" s="4"/>
      <c r="O17" s="4"/>
      <c r="P17" s="2"/>
    </row>
    <row r="18" spans="1:16" ht="15.5">
      <c r="A18" s="152">
        <v>1</v>
      </c>
      <c r="C18" s="2" t="s">
        <v>231</v>
      </c>
      <c r="D18" s="2"/>
      <c r="E18" s="152" t="s">
        <v>314</v>
      </c>
      <c r="F18" s="152"/>
      <c r="G18" s="19">
        <f>'Attachment H-21-A ATSI '!I66</f>
        <v>5369041876.7430782</v>
      </c>
      <c r="N18" s="4"/>
      <c r="O18" s="4"/>
      <c r="P18" s="2"/>
    </row>
    <row r="19" spans="1:16" ht="15.5">
      <c r="A19" s="152">
        <v>2</v>
      </c>
      <c r="C19" s="2" t="s">
        <v>232</v>
      </c>
      <c r="D19" s="2"/>
      <c r="E19" s="152" t="s">
        <v>315</v>
      </c>
      <c r="F19" s="152"/>
      <c r="G19" s="19">
        <f>'Attachment H-21-A ATSI '!I82</f>
        <v>4149782058.119173</v>
      </c>
      <c r="N19" s="4"/>
      <c r="O19" s="4"/>
      <c r="P19" s="2"/>
    </row>
    <row r="20" spans="1:16" ht="15.5">
      <c r="A20" s="152"/>
      <c r="E20" s="152"/>
      <c r="F20" s="152"/>
      <c r="N20" s="4"/>
      <c r="O20" s="4"/>
      <c r="P20" s="2"/>
    </row>
    <row r="21" spans="1:16" ht="15.5">
      <c r="A21" s="152"/>
      <c r="C21" s="2" t="s">
        <v>233</v>
      </c>
      <c r="D21" s="2"/>
      <c r="E21" s="152"/>
      <c r="F21" s="152"/>
      <c r="G21" s="4"/>
      <c r="I21" s="4"/>
      <c r="N21" s="4"/>
      <c r="O21" s="4"/>
      <c r="P21" s="4"/>
    </row>
    <row r="22" spans="1:16" ht="15.5">
      <c r="A22" s="152">
        <v>3</v>
      </c>
      <c r="C22" s="2" t="s">
        <v>234</v>
      </c>
      <c r="D22" s="2"/>
      <c r="E22" s="152" t="s">
        <v>316</v>
      </c>
      <c r="F22" s="152"/>
      <c r="G22" s="19">
        <f>'Attachment H-21-A ATSI '!I146</f>
        <v>229673987.87710103</v>
      </c>
      <c r="N22" s="4"/>
      <c r="O22" s="4"/>
      <c r="P22" s="4"/>
    </row>
    <row r="23" spans="1:16" ht="15.5">
      <c r="A23" s="152">
        <v>4</v>
      </c>
      <c r="C23" s="2" t="s">
        <v>235</v>
      </c>
      <c r="D23" s="2"/>
      <c r="E23" s="152" t="s">
        <v>279</v>
      </c>
      <c r="F23" s="152"/>
      <c r="G23" s="67">
        <f>IF(G22=0,0,G22/G18)</f>
        <v>0.042777462562170195</v>
      </c>
      <c r="I23" s="68">
        <f>G23</f>
        <v>0.042777462562170195</v>
      </c>
      <c r="N23" s="4"/>
      <c r="O23" s="31"/>
      <c r="P23" s="9"/>
    </row>
    <row r="24" spans="1:16" ht="15.5">
      <c r="A24" s="152"/>
      <c r="E24" s="152"/>
      <c r="F24" s="152"/>
      <c r="I24" s="67"/>
      <c r="N24" s="4"/>
      <c r="P24" s="4"/>
    </row>
    <row r="25" spans="1:16" ht="15.5">
      <c r="A25" s="7"/>
      <c r="C25" s="2" t="s">
        <v>236</v>
      </c>
      <c r="D25" s="2"/>
      <c r="E25" s="32"/>
      <c r="F25" s="32"/>
      <c r="G25" s="4"/>
      <c r="I25" s="67"/>
      <c r="N25" s="4"/>
      <c r="O25" s="4"/>
      <c r="P25" s="4"/>
    </row>
    <row r="26" spans="1:16" ht="15.5">
      <c r="A26" s="7" t="s">
        <v>237</v>
      </c>
      <c r="C26" s="2" t="s">
        <v>238</v>
      </c>
      <c r="D26" s="2"/>
      <c r="E26" s="152" t="s">
        <v>313</v>
      </c>
      <c r="F26" s="152"/>
      <c r="G26" s="19">
        <f>'Attachment H-21-A ATSI '!I163</f>
        <v>233448240</v>
      </c>
      <c r="I26" s="67"/>
      <c r="N26" s="4"/>
      <c r="O26" s="8"/>
      <c r="P26" s="4"/>
    </row>
    <row r="27" spans="1:16" ht="15.5">
      <c r="A27" s="7" t="s">
        <v>239</v>
      </c>
      <c r="C27" s="2" t="s">
        <v>240</v>
      </c>
      <c r="D27" s="2"/>
      <c r="E27" s="152" t="s">
        <v>280</v>
      </c>
      <c r="F27" s="152"/>
      <c r="G27" s="67">
        <f>IF(G26=0,0,G26/G18)</f>
        <v>0.043480428232683548</v>
      </c>
      <c r="I27" s="68">
        <f>G27</f>
        <v>0.043480428232683548</v>
      </c>
      <c r="N27" s="4"/>
      <c r="O27" s="31"/>
      <c r="P27" s="4"/>
    </row>
    <row r="28" spans="1:14" ht="15.5">
      <c r="A28" s="7"/>
      <c r="C28" s="2"/>
      <c r="D28" s="2"/>
      <c r="E28" s="152"/>
      <c r="F28" s="152"/>
      <c r="G28" s="4"/>
      <c r="I28" s="67"/>
      <c r="N28" s="4"/>
    </row>
    <row r="29" spans="1:14" ht="15.5">
      <c r="A29" s="151" t="s">
        <v>241</v>
      </c>
      <c r="B29" s="33"/>
      <c r="C29" s="18" t="s">
        <v>242</v>
      </c>
      <c r="D29" s="18"/>
      <c r="E29" s="17" t="s">
        <v>243</v>
      </c>
      <c r="F29" s="17"/>
      <c r="G29" s="9"/>
      <c r="I29" s="69">
        <f>I23+I27</f>
        <v>0.086257890794853742</v>
      </c>
      <c r="N29" s="4"/>
    </row>
    <row r="30" spans="1:16" ht="15.5">
      <c r="A30" s="7"/>
      <c r="C30" s="2"/>
      <c r="D30" s="2"/>
      <c r="E30" s="152"/>
      <c r="F30" s="152"/>
      <c r="G30" s="4"/>
      <c r="I30" s="67"/>
      <c r="N30" s="4"/>
      <c r="O30" s="4"/>
      <c r="P30" s="4"/>
    </row>
    <row r="31" spans="1:14" ht="15.5">
      <c r="A31" s="7"/>
      <c r="C31" s="4" t="s">
        <v>244</v>
      </c>
      <c r="D31" s="4"/>
      <c r="E31" s="152"/>
      <c r="F31" s="152"/>
      <c r="G31" s="4"/>
      <c r="I31" s="67"/>
      <c r="N31" s="4"/>
    </row>
    <row r="32" spans="1:14" ht="15.5">
      <c r="A32" s="7" t="s">
        <v>245</v>
      </c>
      <c r="C32" s="4" t="s">
        <v>92</v>
      </c>
      <c r="D32" s="4"/>
      <c r="E32" s="152" t="s">
        <v>317</v>
      </c>
      <c r="F32" s="152"/>
      <c r="G32" s="19">
        <f>'Attachment H-21-A ATSI '!I176</f>
        <v>57892702.075192064</v>
      </c>
      <c r="I32" s="67"/>
      <c r="N32" s="4"/>
    </row>
    <row r="33" spans="1:16" ht="15.5">
      <c r="A33" s="7" t="s">
        <v>246</v>
      </c>
      <c r="C33" s="4" t="s">
        <v>247</v>
      </c>
      <c r="D33" s="4"/>
      <c r="E33" s="152" t="s">
        <v>281</v>
      </c>
      <c r="F33" s="152"/>
      <c r="G33" s="67">
        <f>IF(G19=0,0,G32/G19)</f>
        <v>0.013950781333666248</v>
      </c>
      <c r="I33" s="68">
        <f>G33</f>
        <v>0.013950781333666248</v>
      </c>
      <c r="N33" s="4"/>
      <c r="P33" s="4"/>
    </row>
    <row r="34" spans="1:16" ht="15.5">
      <c r="A34" s="7"/>
      <c r="C34" s="4"/>
      <c r="D34" s="4"/>
      <c r="E34" s="152"/>
      <c r="F34" s="152"/>
      <c r="G34" s="4"/>
      <c r="I34" s="67"/>
      <c r="N34" s="4"/>
      <c r="P34" s="2"/>
    </row>
    <row r="35" spans="1:16" ht="15.5">
      <c r="A35" s="7"/>
      <c r="C35" s="2" t="s">
        <v>93</v>
      </c>
      <c r="D35" s="2"/>
      <c r="E35" s="10"/>
      <c r="F35" s="10"/>
      <c r="I35" s="67"/>
      <c r="N35" s="4"/>
      <c r="P35" s="4"/>
    </row>
    <row r="36" spans="1:16" ht="15.5">
      <c r="A36" s="7" t="s">
        <v>248</v>
      </c>
      <c r="C36" s="2" t="s">
        <v>249</v>
      </c>
      <c r="D36" s="2"/>
      <c r="E36" s="152" t="s">
        <v>318</v>
      </c>
      <c r="F36" s="152"/>
      <c r="G36" s="19">
        <f>'Attachment H-21-A ATSI '!I178</f>
        <v>273051894.57446367</v>
      </c>
      <c r="I36" s="67"/>
      <c r="N36" s="4"/>
      <c r="P36" s="4"/>
    </row>
    <row r="37" spans="1:14" ht="15.5">
      <c r="A37" s="7" t="s">
        <v>250</v>
      </c>
      <c r="C37" s="4" t="s">
        <v>251</v>
      </c>
      <c r="D37" s="4"/>
      <c r="E37" s="152" t="s">
        <v>282</v>
      </c>
      <c r="F37" s="152"/>
      <c r="G37" s="68">
        <f>IF(G19=0,0,G36/G19)</f>
        <v>0.06579909275963769</v>
      </c>
      <c r="I37" s="68">
        <f>G37</f>
        <v>0.06579909275963769</v>
      </c>
      <c r="N37" s="4"/>
    </row>
    <row r="38" spans="1:16" ht="15.5">
      <c r="A38" s="7"/>
      <c r="C38" s="2"/>
      <c r="D38" s="2"/>
      <c r="E38" s="152"/>
      <c r="F38" s="152"/>
      <c r="G38" s="4"/>
      <c r="I38" s="67"/>
      <c r="N38" s="4"/>
      <c r="O38" s="10"/>
      <c r="P38" s="4"/>
    </row>
    <row r="39" spans="1:16" ht="15.5">
      <c r="A39" s="151" t="s">
        <v>252</v>
      </c>
      <c r="B39" s="33"/>
      <c r="C39" s="18" t="s">
        <v>253</v>
      </c>
      <c r="D39" s="18"/>
      <c r="E39" s="17" t="s">
        <v>254</v>
      </c>
      <c r="F39" s="17"/>
      <c r="G39" s="9"/>
      <c r="I39" s="69">
        <f>I33+I37</f>
        <v>0.079749874093303932</v>
      </c>
      <c r="N39" s="4"/>
      <c r="O39" s="10"/>
      <c r="P39" s="4"/>
    </row>
    <row r="40" spans="14:16" ht="15.5">
      <c r="N40" s="2"/>
      <c r="O40" s="2"/>
      <c r="P40" s="4"/>
    </row>
    <row r="41" spans="14:16" ht="15.5">
      <c r="N41" s="2"/>
      <c r="O41" s="2"/>
      <c r="P41" s="4"/>
    </row>
    <row r="42" spans="14:16" ht="15.5">
      <c r="N42" s="2"/>
      <c r="O42" s="2"/>
      <c r="P42" s="4"/>
    </row>
    <row r="43" spans="14:16" ht="15.5">
      <c r="N43" s="2"/>
      <c r="O43" s="2"/>
      <c r="P43" s="2"/>
    </row>
    <row r="44" spans="14:16" ht="15.5">
      <c r="N44" s="4"/>
      <c r="O44" s="4"/>
      <c r="P44" s="4"/>
    </row>
    <row r="45" spans="14:16" ht="15.5">
      <c r="N45" s="4"/>
      <c r="O45" s="31"/>
      <c r="P45" s="4"/>
    </row>
    <row r="46" spans="14:16" ht="15.5">
      <c r="N46" s="4"/>
      <c r="O46" s="31"/>
      <c r="P46" s="4"/>
    </row>
    <row r="47" spans="14:16" ht="15.5">
      <c r="N47" s="4"/>
      <c r="O47" s="31"/>
      <c r="P47" s="4"/>
    </row>
    <row r="48" spans="1:16" ht="15.5">
      <c r="A48" s="7"/>
      <c r="E48" s="32"/>
      <c r="F48" s="32"/>
      <c r="G48" s="4"/>
      <c r="J48" s="30"/>
      <c r="M48" s="4"/>
      <c r="N48" s="4"/>
      <c r="O48" s="31"/>
      <c r="P48" s="4"/>
    </row>
    <row r="49" spans="1:16" ht="15.5">
      <c r="A49" s="7"/>
      <c r="E49" s="32"/>
      <c r="F49" s="32"/>
      <c r="G49" s="4"/>
      <c r="J49" s="30"/>
      <c r="M49" s="4"/>
      <c r="N49" s="4"/>
      <c r="O49" s="31"/>
      <c r="P49" s="4"/>
    </row>
    <row r="50" spans="1:16" ht="15.5">
      <c r="A50" s="6"/>
      <c r="C50" s="7"/>
      <c r="D50" s="7"/>
      <c r="E50" s="32"/>
      <c r="F50" s="32"/>
      <c r="G50" s="4"/>
      <c r="J50" s="30"/>
      <c r="N50" s="4"/>
      <c r="O50" s="3"/>
      <c r="P50" s="3"/>
    </row>
    <row r="51" spans="1:16" ht="15.5">
      <c r="A51" s="6"/>
      <c r="C51" s="7"/>
      <c r="D51" s="7"/>
      <c r="E51" s="32"/>
      <c r="F51" s="32"/>
      <c r="G51" s="4"/>
      <c r="J51" s="30"/>
      <c r="N51" s="4"/>
      <c r="O51" s="31"/>
      <c r="P51" s="3"/>
    </row>
    <row r="52" spans="1:16" ht="15.5">
      <c r="A52" s="6"/>
      <c r="C52" s="7"/>
      <c r="D52" s="7"/>
      <c r="E52" s="32"/>
      <c r="F52" s="32"/>
      <c r="G52" s="4"/>
      <c r="J52" s="30"/>
      <c r="N52" s="4"/>
      <c r="O52" s="31"/>
      <c r="P52" s="3"/>
    </row>
    <row r="53" spans="1:16" ht="15.5">
      <c r="A53" s="27"/>
      <c r="G53" s="4"/>
      <c r="N53" s="4"/>
      <c r="O53" s="4"/>
      <c r="P53" s="4"/>
    </row>
    <row r="54" spans="16:16" ht="15.5">
      <c r="P54" s="26" t="str">
        <f>P1</f>
        <v>Attachment  H-21A, Appendix E</v>
      </c>
    </row>
    <row r="55" spans="16:16" ht="15.5">
      <c r="P55" s="26" t="s">
        <v>283</v>
      </c>
    </row>
    <row r="56" spans="10:16" ht="15.5">
      <c r="J56" s="33"/>
      <c r="K56" s="33"/>
      <c r="L56" s="33"/>
      <c r="M56" s="33"/>
      <c r="N56" s="33"/>
      <c r="P56" s="26" t="str">
        <f>P3</f>
        <v>For the 12 months ended 12/31/2022</v>
      </c>
    </row>
    <row r="57" spans="1:16" ht="15.5">
      <c r="A57" s="27"/>
      <c r="G57" s="4"/>
      <c r="J57" s="33"/>
      <c r="K57" s="33"/>
      <c r="L57" s="33"/>
      <c r="M57" s="33"/>
      <c r="N57" s="33"/>
      <c r="O57" s="26"/>
      <c r="P57" s="4"/>
    </row>
    <row r="58" spans="1:16" ht="15.5">
      <c r="A58" s="27"/>
      <c r="C58" s="2"/>
      <c r="D58" s="2"/>
      <c r="J58" s="33"/>
      <c r="K58" s="33"/>
      <c r="L58" s="33"/>
      <c r="M58" s="33"/>
      <c r="N58" s="33"/>
      <c r="O58" s="26"/>
      <c r="P58" s="4"/>
    </row>
    <row r="59" spans="1:16" ht="15.5">
      <c r="A59" s="27"/>
      <c r="C59" s="2"/>
      <c r="D59" s="2"/>
      <c r="J59" s="33"/>
      <c r="K59" s="33"/>
      <c r="L59" s="33"/>
      <c r="M59" s="33"/>
      <c r="N59" s="33"/>
      <c r="P59" s="4"/>
    </row>
    <row r="60" spans="1:16" ht="14.25" customHeight="1">
      <c r="A60" s="27"/>
      <c r="N60" s="4"/>
      <c r="P60" s="4"/>
    </row>
    <row r="61" spans="1:16" ht="15.5">
      <c r="A61" s="673" t="str">
        <f>A5</f>
        <v xml:space="preserve">  Legacy MTEP Credit Calculation</v>
      </c>
      <c r="B61" s="673"/>
      <c r="C61" s="673"/>
      <c r="D61" s="673"/>
      <c r="E61" s="673"/>
      <c r="F61" s="673"/>
      <c r="G61" s="673"/>
      <c r="H61" s="673"/>
      <c r="I61" s="673"/>
      <c r="J61" s="673"/>
      <c r="K61" s="673"/>
      <c r="L61" s="673"/>
      <c r="M61" s="673"/>
      <c r="N61" s="673"/>
      <c r="O61" s="673"/>
      <c r="P61" s="673"/>
    </row>
    <row r="62" spans="1:16" ht="15.5">
      <c r="A62" s="674" t="str">
        <f>A6</f>
        <v>To be completed in conjunction with Attachment H-21A</v>
      </c>
      <c r="B62" s="674"/>
      <c r="C62" s="674"/>
      <c r="D62" s="674"/>
      <c r="E62" s="674"/>
      <c r="F62" s="674"/>
      <c r="G62" s="674"/>
      <c r="H62" s="674"/>
      <c r="I62" s="674"/>
      <c r="J62" s="674"/>
      <c r="K62" s="674"/>
      <c r="L62" s="674"/>
      <c r="M62" s="674"/>
      <c r="N62" s="674"/>
      <c r="O62" s="674"/>
      <c r="P62" s="674"/>
    </row>
    <row r="63" spans="1:16" ht="15.5">
      <c r="A63" s="27"/>
      <c r="E63" s="18"/>
      <c r="H63" s="2"/>
      <c r="I63" s="2"/>
      <c r="J63" s="2"/>
      <c r="K63" s="2"/>
      <c r="L63" s="226"/>
      <c r="M63" s="2"/>
      <c r="N63" s="4"/>
      <c r="O63" s="4"/>
      <c r="P63" s="4"/>
    </row>
    <row r="64" spans="1:16" ht="15.5">
      <c r="A64" s="27"/>
      <c r="E64" s="18"/>
      <c r="F64" s="18"/>
      <c r="H64" s="2"/>
      <c r="I64" s="2"/>
      <c r="J64" s="2"/>
      <c r="K64" s="2"/>
      <c r="L64" s="226"/>
      <c r="M64" s="2"/>
      <c r="N64" s="4"/>
      <c r="O64" s="4"/>
      <c r="P64" s="4"/>
    </row>
    <row r="65" spans="1:16" ht="15.5">
      <c r="A65" s="27"/>
      <c r="C65" s="35">
        <v>-1</v>
      </c>
      <c r="D65" s="35">
        <v>-2</v>
      </c>
      <c r="E65" s="35">
        <v>-3</v>
      </c>
      <c r="F65" s="35">
        <v>-4</v>
      </c>
      <c r="G65" s="35">
        <v>-5</v>
      </c>
      <c r="H65" s="35">
        <v>-6</v>
      </c>
      <c r="I65" s="35">
        <v>-7</v>
      </c>
      <c r="J65" s="35">
        <v>-8</v>
      </c>
      <c r="K65" s="35">
        <v>-9</v>
      </c>
      <c r="L65" s="35">
        <v>-10</v>
      </c>
      <c r="M65" s="151" t="s">
        <v>714</v>
      </c>
      <c r="N65" s="151" t="s">
        <v>715</v>
      </c>
      <c r="O65" s="151" t="s">
        <v>720</v>
      </c>
      <c r="P65" s="151" t="s">
        <v>721</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4" t="s">
        <v>636</v>
      </c>
      <c r="M66" s="315" t="s">
        <v>263</v>
      </c>
      <c r="N66" s="41" t="s">
        <v>723</v>
      </c>
      <c r="O66" s="41" t="s">
        <v>409</v>
      </c>
      <c r="P66" s="41" t="s">
        <v>724</v>
      </c>
    </row>
    <row r="67" spans="1:16" ht="46.5" customHeight="1">
      <c r="A67" s="42"/>
      <c r="B67" s="43"/>
      <c r="C67" s="43"/>
      <c r="D67" s="43"/>
      <c r="E67" s="44" t="s">
        <v>21</v>
      </c>
      <c r="F67" s="44" t="s">
        <v>285</v>
      </c>
      <c r="G67" s="45" t="s">
        <v>264</v>
      </c>
      <c r="H67" s="44" t="s">
        <v>22</v>
      </c>
      <c r="I67" s="44" t="s">
        <v>286</v>
      </c>
      <c r="J67" s="45" t="s">
        <v>265</v>
      </c>
      <c r="K67" s="44" t="s">
        <v>186</v>
      </c>
      <c r="L67" s="154" t="s">
        <v>637</v>
      </c>
      <c r="M67" s="316" t="s">
        <v>266</v>
      </c>
      <c r="N67" s="46" t="s">
        <v>725</v>
      </c>
      <c r="O67" s="46" t="s">
        <v>570</v>
      </c>
      <c r="P67" s="154" t="s">
        <v>726</v>
      </c>
    </row>
    <row r="68" spans="1:16" ht="15.5">
      <c r="A68" s="47"/>
      <c r="B68" s="2"/>
      <c r="C68" s="2"/>
      <c r="D68" s="2"/>
      <c r="E68" s="2"/>
      <c r="F68" s="2"/>
      <c r="G68" s="48"/>
      <c r="H68" s="2"/>
      <c r="I68" s="2"/>
      <c r="J68" s="48"/>
      <c r="K68" s="2"/>
      <c r="L68" s="229"/>
      <c r="M68" s="4"/>
      <c r="N68" s="49"/>
      <c r="O68" s="49"/>
      <c r="P68" s="48"/>
    </row>
    <row r="69" spans="1:19" ht="15.5">
      <c r="A69" s="50" t="s">
        <v>9</v>
      </c>
      <c r="C69" s="319" t="s">
        <v>931</v>
      </c>
      <c r="D69" s="214">
        <v>890</v>
      </c>
      <c r="E69" s="99">
        <v>10391024.739999993</v>
      </c>
      <c r="F69" s="68">
        <f>$I$29</f>
        <v>0.086257890794853742</v>
      </c>
      <c r="G69" s="63">
        <f>E69*F69</f>
        <v>896307.87726954289</v>
      </c>
      <c r="H69" s="99">
        <v>7341784.8067915794</v>
      </c>
      <c r="I69" s="68">
        <f>$I$39</f>
        <v>0.079749874093303932</v>
      </c>
      <c r="J69" s="63">
        <f>H69*I69</f>
        <v>585506.41396176023</v>
      </c>
      <c r="K69" s="99">
        <v>226376.85783699999</v>
      </c>
      <c r="L69" s="61">
        <f>G69+J69+K69</f>
        <v>1708191.1490683029</v>
      </c>
      <c r="M69" s="173">
        <v>0.92779999999999996</v>
      </c>
      <c r="N69" s="61">
        <f>L69*(1-M69)</f>
        <v>123331.40096273154</v>
      </c>
      <c r="O69" s="172"/>
      <c r="P69" s="63">
        <f>N69+O69</f>
        <v>123331.40096273154</v>
      </c>
      <c r="Q69" s="52"/>
      <c r="R69" s="52"/>
      <c r="S69" s="52"/>
    </row>
    <row r="70" spans="1:19" ht="15.5">
      <c r="A70" s="50" t="s">
        <v>267</v>
      </c>
      <c r="C70" s="319" t="s">
        <v>932</v>
      </c>
      <c r="D70" s="214">
        <v>1326</v>
      </c>
      <c r="E70" s="99">
        <v>5855485.5799999973</v>
      </c>
      <c r="F70" s="68">
        <f>$I$29</f>
        <v>0.086257890794853742</v>
      </c>
      <c r="G70" s="63">
        <f>E70*F70</f>
        <v>505081.83571048058</v>
      </c>
      <c r="H70" s="99">
        <v>4134698.4424294159</v>
      </c>
      <c r="I70" s="68">
        <f>$I$39</f>
        <v>0.079749874093303932</v>
      </c>
      <c r="J70" s="63">
        <f>H70*I70</f>
        <v>329741.68019752577</v>
      </c>
      <c r="K70" s="99">
        <v>120869.13190050007</v>
      </c>
      <c r="L70" s="61">
        <f>G70+J70+K70</f>
        <v>955692.64780850639</v>
      </c>
      <c r="M70" s="173">
        <v>0.82579999999999998</v>
      </c>
      <c r="N70" s="61">
        <f t="shared" si="0" ref="N70">L70*(1-M70)</f>
        <v>166481.65924824183</v>
      </c>
      <c r="O70" s="172"/>
      <c r="P70" s="63">
        <f t="shared" si="1" ref="P70">N70+O70</f>
        <v>166481.65924824183</v>
      </c>
      <c r="Q70" s="52"/>
      <c r="R70" s="52"/>
      <c r="S70" s="52"/>
    </row>
    <row r="71" spans="1:19" ht="15.5">
      <c r="A71" s="50"/>
      <c r="C71" s="52"/>
      <c r="D71" s="52"/>
      <c r="E71" s="52"/>
      <c r="F71" s="52"/>
      <c r="G71" s="53"/>
      <c r="H71" s="52"/>
      <c r="I71" s="52"/>
      <c r="J71" s="53"/>
      <c r="K71" s="52"/>
      <c r="L71" s="230"/>
      <c r="M71" s="52"/>
      <c r="N71" s="53"/>
      <c r="O71" s="53"/>
      <c r="P71" s="53"/>
      <c r="Q71" s="52"/>
      <c r="R71" s="52"/>
      <c r="S71" s="52"/>
    </row>
    <row r="72" spans="1:19" ht="15.5">
      <c r="A72" s="50"/>
      <c r="C72" s="52"/>
      <c r="D72" s="52"/>
      <c r="E72" s="52"/>
      <c r="F72" s="52"/>
      <c r="G72" s="53"/>
      <c r="H72" s="52"/>
      <c r="I72" s="52"/>
      <c r="J72" s="53"/>
      <c r="K72" s="52"/>
      <c r="L72" s="230"/>
      <c r="M72" s="52"/>
      <c r="N72" s="53"/>
      <c r="O72" s="53"/>
      <c r="P72" s="53"/>
      <c r="Q72" s="52"/>
      <c r="R72" s="52"/>
      <c r="S72" s="52"/>
    </row>
    <row r="73" spans="1:19" ht="15.5">
      <c r="A73" s="50"/>
      <c r="C73" s="52"/>
      <c r="D73" s="52"/>
      <c r="E73" s="52"/>
      <c r="F73" s="52"/>
      <c r="G73" s="53"/>
      <c r="H73" s="52"/>
      <c r="I73" s="52"/>
      <c r="J73" s="53"/>
      <c r="K73" s="52"/>
      <c r="L73" s="230"/>
      <c r="M73" s="52"/>
      <c r="N73" s="53"/>
      <c r="O73" s="53"/>
      <c r="P73" s="53"/>
      <c r="Q73" s="52"/>
      <c r="R73" s="52"/>
      <c r="S73" s="52"/>
    </row>
    <row r="74" spans="1:19" ht="15.5">
      <c r="A74" s="50"/>
      <c r="C74" s="52"/>
      <c r="D74" s="52"/>
      <c r="E74" s="52"/>
      <c r="F74" s="52"/>
      <c r="G74" s="53"/>
      <c r="H74" s="52"/>
      <c r="I74" s="52"/>
      <c r="J74" s="53"/>
      <c r="K74" s="52"/>
      <c r="L74" s="230"/>
      <c r="M74" s="52"/>
      <c r="N74" s="53"/>
      <c r="O74" s="53"/>
      <c r="P74" s="53"/>
      <c r="Q74" s="52"/>
      <c r="R74" s="52"/>
      <c r="S74" s="52"/>
    </row>
    <row r="75" spans="1:19" ht="15.5">
      <c r="A75" s="50"/>
      <c r="C75" s="52"/>
      <c r="D75" s="52"/>
      <c r="E75" s="52"/>
      <c r="F75" s="52"/>
      <c r="G75" s="53"/>
      <c r="H75" s="52"/>
      <c r="I75" s="52"/>
      <c r="J75" s="53"/>
      <c r="K75" s="52"/>
      <c r="L75" s="230"/>
      <c r="M75" s="52"/>
      <c r="N75" s="53"/>
      <c r="O75" s="53"/>
      <c r="P75" s="53"/>
      <c r="Q75" s="52"/>
      <c r="R75" s="52"/>
      <c r="S75" s="52"/>
    </row>
    <row r="76" spans="1:19" ht="15.5">
      <c r="A76" s="50"/>
      <c r="C76" s="52"/>
      <c r="D76" s="52"/>
      <c r="E76" s="52"/>
      <c r="F76" s="52"/>
      <c r="G76" s="53"/>
      <c r="H76" s="52"/>
      <c r="I76" s="52"/>
      <c r="J76" s="53"/>
      <c r="K76" s="52"/>
      <c r="L76" s="230"/>
      <c r="M76" s="52"/>
      <c r="N76" s="53"/>
      <c r="O76" s="53"/>
      <c r="P76" s="53"/>
      <c r="Q76" s="52"/>
      <c r="R76" s="52"/>
      <c r="S76" s="52"/>
    </row>
    <row r="77" spans="1:19" ht="15.5">
      <c r="A77" s="50"/>
      <c r="C77" s="52"/>
      <c r="D77" s="52"/>
      <c r="E77" s="52"/>
      <c r="F77" s="52"/>
      <c r="G77" s="53"/>
      <c r="H77" s="52"/>
      <c r="I77" s="52"/>
      <c r="J77" s="53"/>
      <c r="K77" s="52"/>
      <c r="L77" s="230"/>
      <c r="M77" s="52"/>
      <c r="N77" s="53"/>
      <c r="O77" s="53"/>
      <c r="P77" s="53"/>
      <c r="Q77" s="52"/>
      <c r="R77" s="52"/>
      <c r="S77" s="52"/>
    </row>
    <row r="78" spans="1:19" ht="15.5">
      <c r="A78" s="50"/>
      <c r="C78" s="52"/>
      <c r="D78" s="52"/>
      <c r="E78" s="52"/>
      <c r="F78" s="52"/>
      <c r="G78" s="53"/>
      <c r="H78" s="52"/>
      <c r="I78" s="52"/>
      <c r="J78" s="53"/>
      <c r="K78" s="52"/>
      <c r="L78" s="230"/>
      <c r="M78" s="52"/>
      <c r="N78" s="53"/>
      <c r="O78" s="53"/>
      <c r="P78" s="53"/>
      <c r="Q78" s="52"/>
      <c r="R78" s="52"/>
      <c r="S78" s="52"/>
    </row>
    <row r="79" spans="1:19" ht="15.5">
      <c r="A79" s="50"/>
      <c r="C79" s="52"/>
      <c r="D79" s="52"/>
      <c r="E79" s="52"/>
      <c r="F79" s="52"/>
      <c r="G79" s="53"/>
      <c r="H79" s="52"/>
      <c r="I79" s="52"/>
      <c r="J79" s="53"/>
      <c r="K79" s="52"/>
      <c r="L79" s="230"/>
      <c r="M79" s="52"/>
      <c r="N79" s="53"/>
      <c r="O79" s="53"/>
      <c r="P79" s="53"/>
      <c r="Q79" s="52"/>
      <c r="R79" s="52"/>
      <c r="S79" s="52"/>
    </row>
    <row r="80" spans="1:19" ht="15.5">
      <c r="A80" s="50"/>
      <c r="C80" s="52"/>
      <c r="D80" s="52"/>
      <c r="E80" s="52"/>
      <c r="F80" s="52"/>
      <c r="G80" s="53"/>
      <c r="H80" s="52"/>
      <c r="I80" s="52"/>
      <c r="J80" s="53"/>
      <c r="K80" s="52"/>
      <c r="L80" s="230"/>
      <c r="M80" s="52"/>
      <c r="N80" s="53"/>
      <c r="O80" s="53"/>
      <c r="P80" s="53"/>
      <c r="Q80" s="52"/>
      <c r="R80" s="52"/>
      <c r="S80" s="52"/>
    </row>
    <row r="81" spans="1:19" ht="15.5">
      <c r="A81" s="50"/>
      <c r="C81" s="52"/>
      <c r="D81" s="52"/>
      <c r="E81" s="52"/>
      <c r="F81" s="52"/>
      <c r="G81" s="53"/>
      <c r="H81" s="52"/>
      <c r="I81" s="52"/>
      <c r="J81" s="53"/>
      <c r="K81" s="52"/>
      <c r="L81" s="230"/>
      <c r="M81" s="52"/>
      <c r="N81" s="53"/>
      <c r="O81" s="53"/>
      <c r="P81" s="53"/>
      <c r="Q81" s="52"/>
      <c r="R81" s="52"/>
      <c r="S81" s="52"/>
    </row>
    <row r="82" spans="1:19" ht="15.5">
      <c r="A82" s="50"/>
      <c r="C82" s="52"/>
      <c r="D82" s="52"/>
      <c r="E82" s="52"/>
      <c r="F82" s="52"/>
      <c r="G82" s="53"/>
      <c r="H82" s="52"/>
      <c r="I82" s="52"/>
      <c r="J82" s="53"/>
      <c r="K82" s="52"/>
      <c r="L82" s="230"/>
      <c r="M82" s="52"/>
      <c r="N82" s="53"/>
      <c r="O82" s="53"/>
      <c r="P82" s="53"/>
      <c r="Q82" s="52"/>
      <c r="R82" s="52"/>
      <c r="S82" s="52"/>
    </row>
    <row r="83" spans="1:19" ht="15.5">
      <c r="A83" s="54"/>
      <c r="B83" s="55"/>
      <c r="C83" s="56"/>
      <c r="D83" s="56"/>
      <c r="E83" s="56"/>
      <c r="F83" s="56"/>
      <c r="G83" s="57"/>
      <c r="H83" s="56"/>
      <c r="I83" s="56"/>
      <c r="J83" s="57"/>
      <c r="K83" s="56"/>
      <c r="L83" s="231"/>
      <c r="M83" s="56"/>
      <c r="N83" s="57"/>
      <c r="O83" s="57"/>
      <c r="P83" s="57"/>
      <c r="Q83" s="52"/>
      <c r="R83" s="52"/>
      <c r="S83" s="52"/>
    </row>
    <row r="84" spans="1:19" ht="15.5">
      <c r="A84" s="7" t="s">
        <v>269</v>
      </c>
      <c r="C84" s="2" t="s">
        <v>270</v>
      </c>
      <c r="D84" s="2"/>
      <c r="E84" s="32"/>
      <c r="F84" s="32"/>
      <c r="G84" s="4"/>
      <c r="H84" s="4"/>
      <c r="I84" s="4"/>
      <c r="J84" s="4"/>
      <c r="K84" s="4"/>
      <c r="L84" s="228"/>
      <c r="N84" s="318"/>
      <c r="O84" s="19"/>
      <c r="P84" s="19">
        <f>SUM(P69:P83)</f>
        <v>289813.06021097337</v>
      </c>
      <c r="Q84" s="19"/>
      <c r="R84" s="52"/>
      <c r="S84" s="52"/>
    </row>
    <row r="85" spans="1:19" ht="15.5">
      <c r="A85" s="52"/>
      <c r="B85" s="52"/>
      <c r="C85" s="52"/>
      <c r="D85" s="52"/>
      <c r="E85" s="52"/>
      <c r="F85" s="52"/>
      <c r="G85" s="52"/>
      <c r="H85" s="52"/>
      <c r="I85" s="52"/>
      <c r="J85" s="52"/>
      <c r="K85" s="52"/>
      <c r="L85" s="227"/>
      <c r="N85" s="317"/>
      <c r="O85" s="317"/>
      <c r="P85" s="19"/>
      <c r="Q85" s="52"/>
      <c r="R85" s="52"/>
      <c r="S85" s="52"/>
    </row>
    <row r="86" spans="1:19" ht="15.5">
      <c r="A86" s="58">
        <v>3</v>
      </c>
      <c r="B86" s="52"/>
      <c r="C86" s="1" t="s">
        <v>323</v>
      </c>
      <c r="D86" s="52"/>
      <c r="E86" s="52"/>
      <c r="F86" s="52"/>
      <c r="G86" s="52"/>
      <c r="H86" s="52"/>
      <c r="I86" s="52"/>
      <c r="J86" s="52"/>
      <c r="K86" s="52"/>
      <c r="L86" s="227"/>
      <c r="N86" s="19">
        <f>SUM(N69:N83)</f>
        <v>289813.06021097337</v>
      </c>
      <c r="O86" s="19"/>
      <c r="P86" s="318"/>
      <c r="Q86" s="19"/>
      <c r="R86" s="52"/>
      <c r="S86" s="52"/>
    </row>
    <row r="87" spans="1:19" ht="15.5">
      <c r="A87" s="52"/>
      <c r="B87" s="52"/>
      <c r="C87" s="52"/>
      <c r="D87" s="52"/>
      <c r="E87" s="52"/>
      <c r="F87" s="52"/>
      <c r="G87" s="52"/>
      <c r="H87" s="52"/>
      <c r="I87" s="52"/>
      <c r="J87" s="52"/>
      <c r="K87" s="52"/>
      <c r="L87" s="227"/>
      <c r="M87" s="52"/>
      <c r="N87" s="52"/>
      <c r="O87" s="612"/>
      <c r="P87" s="52"/>
      <c r="Q87" s="52"/>
      <c r="R87" s="52"/>
      <c r="S87" s="52"/>
    </row>
    <row r="88" spans="1:19" ht="15.5">
      <c r="A88" s="52"/>
      <c r="B88" s="52"/>
      <c r="C88" s="52"/>
      <c r="D88" s="52"/>
      <c r="E88" s="52"/>
      <c r="F88" s="52"/>
      <c r="G88" s="52"/>
      <c r="H88" s="52"/>
      <c r="I88" s="52"/>
      <c r="J88" s="52"/>
      <c r="K88" s="52"/>
      <c r="L88" s="227"/>
      <c r="M88" s="52"/>
      <c r="N88" s="52"/>
      <c r="O88" s="612"/>
      <c r="P88" s="52"/>
      <c r="Q88" s="52"/>
      <c r="R88" s="52"/>
      <c r="S88" s="52"/>
    </row>
    <row r="89" spans="1:19" ht="15.5">
      <c r="A89" s="1" t="s">
        <v>139</v>
      </c>
      <c r="B89" s="52"/>
      <c r="C89" s="52"/>
      <c r="D89" s="52"/>
      <c r="E89" s="52"/>
      <c r="F89" s="52"/>
      <c r="G89" s="52"/>
      <c r="H89" s="52"/>
      <c r="I89" s="52"/>
      <c r="J89" s="52"/>
      <c r="K89" s="52"/>
      <c r="L89" s="227"/>
      <c r="M89" s="52"/>
      <c r="N89" s="52"/>
      <c r="O89" s="52"/>
      <c r="P89" s="52"/>
      <c r="Q89" s="52"/>
      <c r="R89" s="52"/>
      <c r="S89" s="52"/>
    </row>
    <row r="90" spans="1:19" ht="16" thickBot="1">
      <c r="A90" s="59" t="s">
        <v>140</v>
      </c>
      <c r="B90" s="52"/>
      <c r="C90" s="52"/>
      <c r="D90" s="52"/>
      <c r="E90" s="52"/>
      <c r="F90" s="52"/>
      <c r="G90" s="52"/>
      <c r="H90" s="52"/>
      <c r="I90" s="52"/>
      <c r="J90" s="52"/>
      <c r="K90" s="52"/>
      <c r="L90" s="227"/>
      <c r="M90" s="52"/>
      <c r="N90" s="52"/>
      <c r="O90" s="52"/>
      <c r="P90" s="52"/>
      <c r="Q90" s="52"/>
      <c r="R90" s="52"/>
      <c r="S90" s="52"/>
    </row>
    <row r="91" spans="1:19" ht="15.5">
      <c r="A91" s="32" t="s">
        <v>141</v>
      </c>
      <c r="C91" s="660" t="s">
        <v>324</v>
      </c>
      <c r="D91" s="660"/>
      <c r="E91" s="660"/>
      <c r="F91" s="660"/>
      <c r="G91" s="660"/>
      <c r="H91" s="660"/>
      <c r="I91" s="660"/>
      <c r="J91" s="660"/>
      <c r="K91" s="660"/>
      <c r="L91" s="660"/>
      <c r="M91" s="660"/>
      <c r="N91" s="660"/>
      <c r="O91" s="660"/>
      <c r="P91" s="52"/>
      <c r="Q91" s="52"/>
      <c r="R91" s="52"/>
      <c r="S91" s="52"/>
    </row>
    <row r="92" spans="1:19" ht="15.5">
      <c r="A92" s="32" t="s">
        <v>142</v>
      </c>
      <c r="C92" s="660" t="s">
        <v>325</v>
      </c>
      <c r="D92" s="660"/>
      <c r="E92" s="660"/>
      <c r="F92" s="660"/>
      <c r="G92" s="660"/>
      <c r="H92" s="660"/>
      <c r="I92" s="660"/>
      <c r="J92" s="660"/>
      <c r="K92" s="660"/>
      <c r="L92" s="660"/>
      <c r="M92" s="660"/>
      <c r="N92" s="660"/>
      <c r="O92" s="660"/>
      <c r="P92" s="52"/>
      <c r="Q92" s="52"/>
      <c r="R92" s="52"/>
      <c r="S92" s="52"/>
    </row>
    <row r="93" spans="1:19" ht="33" customHeight="1">
      <c r="A93" s="60" t="s">
        <v>143</v>
      </c>
      <c r="C93" s="676" t="s">
        <v>302</v>
      </c>
      <c r="D93" s="676"/>
      <c r="E93" s="676"/>
      <c r="F93" s="676"/>
      <c r="G93" s="676"/>
      <c r="H93" s="676"/>
      <c r="I93" s="676"/>
      <c r="J93" s="676"/>
      <c r="K93" s="676"/>
      <c r="L93" s="676"/>
      <c r="M93" s="676"/>
      <c r="N93" s="676"/>
      <c r="O93" s="676"/>
      <c r="P93" s="52"/>
      <c r="Q93" s="52"/>
      <c r="R93" s="52"/>
      <c r="S93" s="52"/>
    </row>
    <row r="94" spans="1:19" ht="15.5">
      <c r="A94" s="60" t="s">
        <v>144</v>
      </c>
      <c r="C94" s="676" t="s">
        <v>271</v>
      </c>
      <c r="D94" s="676"/>
      <c r="E94" s="676"/>
      <c r="F94" s="676"/>
      <c r="G94" s="676"/>
      <c r="H94" s="676"/>
      <c r="I94" s="676"/>
      <c r="J94" s="676"/>
      <c r="K94" s="676"/>
      <c r="L94" s="676"/>
      <c r="M94" s="676"/>
      <c r="N94" s="676"/>
      <c r="O94" s="676"/>
      <c r="P94" s="52"/>
      <c r="Q94" s="52"/>
      <c r="R94" s="52"/>
      <c r="S94" s="52"/>
    </row>
    <row r="95" spans="1:19" ht="15.5">
      <c r="A95" s="32" t="s">
        <v>145</v>
      </c>
      <c r="C95" s="660" t="s">
        <v>322</v>
      </c>
      <c r="D95" s="660"/>
      <c r="E95" s="660"/>
      <c r="F95" s="660"/>
      <c r="G95" s="660"/>
      <c r="H95" s="660"/>
      <c r="I95" s="660"/>
      <c r="J95" s="660"/>
      <c r="K95" s="660"/>
      <c r="L95" s="660"/>
      <c r="M95" s="660"/>
      <c r="N95" s="660"/>
      <c r="O95" s="660"/>
      <c r="P95" s="52"/>
      <c r="Q95" s="52"/>
      <c r="R95" s="52"/>
      <c r="S95" s="52"/>
    </row>
    <row r="96" spans="1:19" ht="15.5">
      <c r="A96" s="32" t="s">
        <v>146</v>
      </c>
      <c r="C96" s="660" t="s">
        <v>272</v>
      </c>
      <c r="D96" s="660"/>
      <c r="E96" s="660"/>
      <c r="F96" s="660"/>
      <c r="G96" s="660"/>
      <c r="H96" s="660"/>
      <c r="I96" s="660"/>
      <c r="J96" s="660"/>
      <c r="K96" s="660"/>
      <c r="L96" s="660"/>
      <c r="M96" s="660"/>
      <c r="N96" s="660"/>
      <c r="O96" s="660"/>
      <c r="P96" s="52"/>
      <c r="Q96" s="52"/>
      <c r="R96" s="52"/>
      <c r="S96" s="52"/>
    </row>
    <row r="97" spans="1:19" ht="15.5">
      <c r="A97" s="32" t="s">
        <v>147</v>
      </c>
      <c r="C97" s="660" t="s">
        <v>722</v>
      </c>
      <c r="D97" s="660"/>
      <c r="E97" s="660"/>
      <c r="F97" s="660"/>
      <c r="G97" s="660"/>
      <c r="H97" s="660"/>
      <c r="I97" s="660"/>
      <c r="J97" s="660"/>
      <c r="K97" s="660"/>
      <c r="L97" s="660"/>
      <c r="M97" s="660"/>
      <c r="N97" s="660"/>
      <c r="O97" s="660"/>
      <c r="P97" s="52"/>
      <c r="Q97" s="52"/>
      <c r="R97" s="52"/>
      <c r="S97" s="52"/>
    </row>
    <row r="98" spans="1:12" ht="15.5">
      <c r="A98" s="32" t="s">
        <v>149</v>
      </c>
      <c r="C98" s="1" t="s">
        <v>640</v>
      </c>
      <c r="L98" s="1"/>
    </row>
    <row r="99" spans="1:19" ht="15.5">
      <c r="A99" s="6"/>
      <c r="C99" s="7"/>
      <c r="D99" s="7"/>
      <c r="E99" s="32"/>
      <c r="F99" s="32"/>
      <c r="G99" s="4"/>
      <c r="J99" s="30"/>
      <c r="N99" s="4"/>
      <c r="O99" s="3"/>
      <c r="P99" s="52"/>
      <c r="Q99" s="52"/>
      <c r="R99" s="52"/>
      <c r="S99" s="52"/>
    </row>
    <row r="100" spans="3:19" ht="15.5">
      <c r="C100" s="52"/>
      <c r="D100" s="52"/>
      <c r="E100" s="52"/>
      <c r="F100" s="52"/>
      <c r="G100" s="52"/>
      <c r="H100" s="52"/>
      <c r="I100" s="52"/>
      <c r="J100" s="52"/>
      <c r="K100" s="52"/>
      <c r="L100" s="227"/>
      <c r="M100" s="52"/>
      <c r="N100" s="52"/>
      <c r="O100" s="52"/>
      <c r="P100" s="52"/>
      <c r="Q100" s="52"/>
      <c r="R100" s="52"/>
      <c r="S100" s="52"/>
    </row>
    <row r="101" spans="3:19" ht="15.5">
      <c r="C101" s="52"/>
      <c r="D101" s="52"/>
      <c r="E101" s="52"/>
      <c r="F101" s="52"/>
      <c r="G101" s="52"/>
      <c r="H101" s="52"/>
      <c r="I101" s="52"/>
      <c r="J101" s="52"/>
      <c r="K101" s="52"/>
      <c r="L101" s="227"/>
      <c r="M101" s="52"/>
      <c r="N101" s="52"/>
      <c r="O101" s="52"/>
      <c r="P101" s="52"/>
      <c r="Q101" s="52"/>
      <c r="R101" s="52"/>
      <c r="S101" s="52"/>
    </row>
    <row r="102" spans="3:19" ht="15.5">
      <c r="C102" s="52"/>
      <c r="D102" s="52"/>
      <c r="E102" s="52"/>
      <c r="F102" s="52"/>
      <c r="G102" s="52"/>
      <c r="H102" s="52"/>
      <c r="I102" s="52"/>
      <c r="J102" s="52"/>
      <c r="K102" s="52"/>
      <c r="L102" s="227"/>
      <c r="M102" s="52"/>
      <c r="N102" s="52"/>
      <c r="O102" s="52"/>
      <c r="P102" s="52"/>
      <c r="Q102" s="52"/>
      <c r="R102" s="52"/>
      <c r="S102" s="52"/>
    </row>
    <row r="103" spans="3:19" ht="15.5">
      <c r="C103" s="52"/>
      <c r="D103" s="52"/>
      <c r="E103" s="52"/>
      <c r="F103" s="52"/>
      <c r="G103" s="52"/>
      <c r="H103" s="52"/>
      <c r="I103" s="52"/>
      <c r="J103" s="52"/>
      <c r="K103" s="52"/>
      <c r="L103" s="227"/>
      <c r="M103" s="52"/>
      <c r="N103" s="52"/>
      <c r="O103" s="52"/>
      <c r="P103" s="52"/>
      <c r="Q103" s="52"/>
      <c r="R103" s="52"/>
      <c r="S103" s="52"/>
    </row>
    <row r="104" spans="3:19" ht="15.5">
      <c r="C104" s="52"/>
      <c r="D104" s="52"/>
      <c r="E104" s="52"/>
      <c r="F104" s="52"/>
      <c r="G104" s="52"/>
      <c r="H104" s="52"/>
      <c r="I104" s="52"/>
      <c r="J104" s="52"/>
      <c r="K104" s="52"/>
      <c r="L104" s="227"/>
      <c r="M104" s="52"/>
      <c r="N104" s="52"/>
      <c r="O104" s="52"/>
      <c r="P104" s="52"/>
      <c r="Q104" s="52"/>
      <c r="R104" s="52"/>
      <c r="S104" s="52"/>
    </row>
    <row r="105" spans="3:19" ht="15.5">
      <c r="C105" s="52"/>
      <c r="D105" s="52"/>
      <c r="E105" s="52"/>
      <c r="F105" s="52"/>
      <c r="G105" s="52"/>
      <c r="H105" s="52"/>
      <c r="I105" s="52"/>
      <c r="J105" s="52"/>
      <c r="K105" s="52"/>
      <c r="L105" s="227"/>
      <c r="M105" s="52"/>
      <c r="N105" s="52"/>
      <c r="O105" s="52"/>
      <c r="P105" s="52"/>
      <c r="Q105" s="52"/>
      <c r="R105" s="52"/>
      <c r="S105" s="52"/>
    </row>
    <row r="106" spans="3:19" ht="15.5">
      <c r="C106" s="52"/>
      <c r="D106" s="52"/>
      <c r="E106" s="52"/>
      <c r="F106" s="52"/>
      <c r="G106" s="52"/>
      <c r="H106" s="52"/>
      <c r="I106" s="52"/>
      <c r="J106" s="52"/>
      <c r="K106" s="52"/>
      <c r="L106" s="227"/>
      <c r="M106" s="52"/>
      <c r="N106" s="52"/>
      <c r="O106" s="52"/>
      <c r="P106" s="52"/>
      <c r="Q106" s="52"/>
      <c r="R106" s="52"/>
      <c r="S106" s="52"/>
    </row>
    <row r="107" spans="3:19" ht="15.5">
      <c r="C107" s="52"/>
      <c r="D107" s="52"/>
      <c r="E107" s="52"/>
      <c r="F107" s="52"/>
      <c r="G107" s="52"/>
      <c r="H107" s="52"/>
      <c r="I107" s="52"/>
      <c r="J107" s="52"/>
      <c r="K107" s="52"/>
      <c r="L107" s="227"/>
      <c r="M107" s="52"/>
      <c r="N107" s="52"/>
      <c r="O107" s="52"/>
      <c r="P107" s="52"/>
      <c r="Q107" s="52"/>
      <c r="R107" s="52"/>
      <c r="S107" s="52"/>
    </row>
    <row r="108" spans="3:19" ht="15.5">
      <c r="C108" s="52"/>
      <c r="D108" s="52"/>
      <c r="E108" s="52"/>
      <c r="F108" s="52"/>
      <c r="G108" s="52"/>
      <c r="H108" s="52"/>
      <c r="I108" s="52"/>
      <c r="J108" s="52"/>
      <c r="K108" s="52"/>
      <c r="L108" s="227"/>
      <c r="M108" s="52"/>
      <c r="N108" s="52"/>
      <c r="O108" s="52"/>
      <c r="P108" s="52"/>
      <c r="Q108" s="52"/>
      <c r="R108" s="52"/>
      <c r="S108" s="52"/>
    </row>
    <row r="109" spans="3:19" ht="15.5">
      <c r="C109" s="52"/>
      <c r="D109" s="52"/>
      <c r="E109" s="52"/>
      <c r="F109" s="52"/>
      <c r="G109" s="52"/>
      <c r="H109" s="52"/>
      <c r="I109" s="52"/>
      <c r="J109" s="52"/>
      <c r="K109" s="52"/>
      <c r="L109" s="227"/>
      <c r="M109" s="52"/>
      <c r="N109" s="52"/>
      <c r="O109" s="52"/>
      <c r="P109" s="52"/>
      <c r="Q109" s="52"/>
      <c r="R109" s="52"/>
      <c r="S109" s="52"/>
    </row>
    <row r="110" spans="3:19" ht="15.5">
      <c r="C110" s="52"/>
      <c r="D110" s="52"/>
      <c r="E110" s="52"/>
      <c r="F110" s="52"/>
      <c r="G110" s="52"/>
      <c r="H110" s="52"/>
      <c r="I110" s="52"/>
      <c r="J110" s="52"/>
      <c r="K110" s="52"/>
      <c r="L110" s="227"/>
      <c r="M110" s="52"/>
      <c r="N110" s="52"/>
      <c r="O110" s="52"/>
      <c r="P110" s="52"/>
      <c r="Q110" s="52"/>
      <c r="R110" s="52"/>
      <c r="S110" s="52"/>
    </row>
    <row r="111" spans="3:19" ht="15.5">
      <c r="C111" s="52"/>
      <c r="D111" s="52"/>
      <c r="E111" s="52"/>
      <c r="F111" s="52"/>
      <c r="G111" s="52"/>
      <c r="H111" s="52"/>
      <c r="I111" s="52"/>
      <c r="J111" s="52"/>
      <c r="K111" s="52"/>
      <c r="L111" s="227"/>
      <c r="M111" s="52"/>
      <c r="N111" s="52"/>
      <c r="O111" s="52"/>
      <c r="P111" s="52"/>
      <c r="Q111" s="52"/>
      <c r="R111" s="52"/>
      <c r="S111" s="52"/>
    </row>
    <row r="112" spans="3:19" ht="15.5">
      <c r="C112" s="52"/>
      <c r="D112" s="52"/>
      <c r="E112" s="52"/>
      <c r="F112" s="52"/>
      <c r="G112" s="52"/>
      <c r="H112" s="52"/>
      <c r="I112" s="52"/>
      <c r="J112" s="52"/>
      <c r="K112" s="52"/>
      <c r="L112" s="227"/>
      <c r="M112" s="52"/>
      <c r="N112" s="52"/>
      <c r="O112" s="52"/>
      <c r="P112" s="52"/>
      <c r="Q112" s="52"/>
      <c r="R112" s="52"/>
      <c r="S112" s="52"/>
    </row>
    <row r="113" spans="3:19" ht="15.5">
      <c r="C113" s="52"/>
      <c r="D113" s="52"/>
      <c r="E113" s="52"/>
      <c r="F113" s="52"/>
      <c r="G113" s="52"/>
      <c r="H113" s="52"/>
      <c r="I113" s="52"/>
      <c r="J113" s="52"/>
      <c r="K113" s="52"/>
      <c r="L113" s="227"/>
      <c r="M113" s="52"/>
      <c r="N113" s="52"/>
      <c r="O113" s="52"/>
      <c r="P113" s="52"/>
      <c r="Q113" s="52"/>
      <c r="R113" s="52"/>
      <c r="S113" s="52"/>
    </row>
    <row r="114" spans="3:19" ht="15.5">
      <c r="C114" s="52"/>
      <c r="D114" s="52"/>
      <c r="E114" s="52"/>
      <c r="F114" s="52"/>
      <c r="G114" s="52"/>
      <c r="H114" s="52"/>
      <c r="I114" s="52"/>
      <c r="J114" s="52"/>
      <c r="K114" s="52"/>
      <c r="L114" s="227"/>
      <c r="M114" s="52"/>
      <c r="N114" s="52"/>
      <c r="O114" s="52"/>
      <c r="P114" s="52"/>
      <c r="Q114" s="52"/>
      <c r="R114" s="52"/>
      <c r="S114" s="52"/>
    </row>
    <row r="115" spans="3:19" ht="15.5">
      <c r="C115" s="52"/>
      <c r="D115" s="52"/>
      <c r="E115" s="52"/>
      <c r="F115" s="52"/>
      <c r="G115" s="52"/>
      <c r="H115" s="52"/>
      <c r="I115" s="52"/>
      <c r="J115" s="52"/>
      <c r="K115" s="52"/>
      <c r="L115" s="227"/>
      <c r="M115" s="52"/>
      <c r="N115" s="52"/>
      <c r="O115" s="52"/>
      <c r="P115" s="52"/>
      <c r="Q115" s="52"/>
      <c r="R115" s="52"/>
      <c r="S115" s="52"/>
    </row>
    <row r="116" spans="3:19" ht="15.5">
      <c r="C116" s="52"/>
      <c r="D116" s="52"/>
      <c r="E116" s="52"/>
      <c r="F116" s="52"/>
      <c r="G116" s="52"/>
      <c r="H116" s="52"/>
      <c r="I116" s="52"/>
      <c r="J116" s="52"/>
      <c r="K116" s="52"/>
      <c r="L116" s="227"/>
      <c r="M116" s="52"/>
      <c r="N116" s="52"/>
      <c r="O116" s="52"/>
      <c r="P116" s="52"/>
      <c r="Q116" s="52"/>
      <c r="R116" s="52"/>
      <c r="S116" s="52"/>
    </row>
    <row r="117" spans="3:19" ht="15.5">
      <c r="C117" s="52"/>
      <c r="D117" s="52"/>
      <c r="E117" s="52"/>
      <c r="F117" s="52"/>
      <c r="G117" s="52"/>
      <c r="H117" s="52"/>
      <c r="I117" s="52"/>
      <c r="J117" s="52"/>
      <c r="K117" s="52"/>
      <c r="L117" s="227"/>
      <c r="M117" s="52"/>
      <c r="N117" s="52"/>
      <c r="O117" s="52"/>
      <c r="P117" s="52"/>
      <c r="Q117" s="52"/>
      <c r="R117" s="52"/>
      <c r="S117" s="52"/>
    </row>
    <row r="118" spans="3:19" ht="15.5">
      <c r="C118" s="52"/>
      <c r="D118" s="52"/>
      <c r="E118" s="52"/>
      <c r="F118" s="52"/>
      <c r="G118" s="52"/>
      <c r="H118" s="52"/>
      <c r="I118" s="52"/>
      <c r="J118" s="52"/>
      <c r="K118" s="52"/>
      <c r="L118" s="227"/>
      <c r="M118" s="52"/>
      <c r="N118" s="52"/>
      <c r="O118" s="52"/>
      <c r="P118" s="52"/>
      <c r="Q118" s="52"/>
      <c r="R118" s="52"/>
      <c r="S118" s="52"/>
    </row>
    <row r="119" spans="3:19" ht="15.5">
      <c r="C119" s="52"/>
      <c r="D119" s="52"/>
      <c r="E119" s="52"/>
      <c r="F119" s="52"/>
      <c r="G119" s="52"/>
      <c r="H119" s="52"/>
      <c r="I119" s="52"/>
      <c r="J119" s="52"/>
      <c r="K119" s="52"/>
      <c r="L119" s="227"/>
      <c r="M119" s="52"/>
      <c r="N119" s="52"/>
      <c r="O119" s="52"/>
      <c r="P119" s="52"/>
      <c r="Q119" s="52"/>
      <c r="R119" s="52"/>
      <c r="S119" s="52"/>
    </row>
    <row r="120" spans="3:19" ht="15.5">
      <c r="C120" s="52"/>
      <c r="D120" s="52"/>
      <c r="E120" s="52"/>
      <c r="F120" s="52"/>
      <c r="G120" s="52"/>
      <c r="H120" s="52"/>
      <c r="I120" s="52"/>
      <c r="J120" s="52"/>
      <c r="K120" s="52"/>
      <c r="L120" s="227"/>
      <c r="M120" s="52"/>
      <c r="N120" s="52"/>
      <c r="O120" s="52"/>
      <c r="P120" s="52"/>
      <c r="Q120" s="52"/>
      <c r="R120" s="52"/>
      <c r="S120" s="52"/>
    </row>
    <row r="121" spans="3:19" ht="15.5">
      <c r="C121" s="52"/>
      <c r="D121" s="52"/>
      <c r="E121" s="52"/>
      <c r="F121" s="52"/>
      <c r="G121" s="52"/>
      <c r="H121" s="52"/>
      <c r="I121" s="52"/>
      <c r="J121" s="52"/>
      <c r="K121" s="52"/>
      <c r="L121" s="227"/>
      <c r="M121" s="52"/>
      <c r="N121" s="52"/>
      <c r="O121" s="52"/>
      <c r="P121" s="52"/>
      <c r="Q121" s="52"/>
      <c r="R121" s="52"/>
      <c r="S121" s="52"/>
    </row>
    <row r="122" spans="3:19" ht="15.5">
      <c r="C122" s="52"/>
      <c r="D122" s="52"/>
      <c r="E122" s="52"/>
      <c r="F122" s="52"/>
      <c r="G122" s="52"/>
      <c r="H122" s="52"/>
      <c r="I122" s="52"/>
      <c r="J122" s="52"/>
      <c r="K122" s="52"/>
      <c r="L122" s="227"/>
      <c r="M122" s="52"/>
      <c r="N122" s="52"/>
      <c r="O122" s="52"/>
      <c r="P122" s="52"/>
      <c r="Q122" s="52"/>
      <c r="R122" s="52"/>
      <c r="S122" s="52"/>
    </row>
    <row r="123" spans="3:19" ht="15.5">
      <c r="C123" s="52"/>
      <c r="D123" s="52"/>
      <c r="E123" s="52"/>
      <c r="F123" s="52"/>
      <c r="G123" s="52"/>
      <c r="H123" s="52"/>
      <c r="I123" s="52"/>
      <c r="J123" s="52"/>
      <c r="K123" s="52"/>
      <c r="L123" s="227"/>
      <c r="M123" s="52"/>
      <c r="N123" s="52"/>
      <c r="O123" s="52"/>
      <c r="P123" s="52"/>
      <c r="Q123" s="52"/>
      <c r="R123" s="52"/>
      <c r="S123" s="52"/>
    </row>
    <row r="124" spans="3:19" ht="15.5">
      <c r="C124" s="52"/>
      <c r="D124" s="52"/>
      <c r="E124" s="52"/>
      <c r="F124" s="52"/>
      <c r="G124" s="52"/>
      <c r="H124" s="52"/>
      <c r="I124" s="52"/>
      <c r="J124" s="52"/>
      <c r="K124" s="52"/>
      <c r="L124" s="227"/>
      <c r="M124" s="52"/>
      <c r="N124" s="52"/>
      <c r="O124" s="52"/>
      <c r="P124" s="52"/>
      <c r="Q124" s="52"/>
      <c r="R124" s="52"/>
      <c r="S124" s="52"/>
    </row>
    <row r="125" spans="3:19" ht="15.5">
      <c r="C125" s="52"/>
      <c r="D125" s="52"/>
      <c r="E125" s="52"/>
      <c r="F125" s="52"/>
      <c r="G125" s="52"/>
      <c r="H125" s="52"/>
      <c r="I125" s="52"/>
      <c r="J125" s="52"/>
      <c r="K125" s="52"/>
      <c r="L125" s="227"/>
      <c r="M125" s="52"/>
      <c r="N125" s="52"/>
      <c r="O125" s="52"/>
      <c r="P125" s="52"/>
      <c r="Q125" s="52"/>
      <c r="R125" s="52"/>
      <c r="S125" s="52"/>
    </row>
    <row r="126" spans="3:19" ht="15.5">
      <c r="C126" s="52"/>
      <c r="D126" s="52"/>
      <c r="E126" s="52"/>
      <c r="F126" s="52"/>
      <c r="G126" s="52"/>
      <c r="H126" s="52"/>
      <c r="I126" s="52"/>
      <c r="J126" s="52"/>
      <c r="K126" s="52"/>
      <c r="L126" s="227"/>
      <c r="M126" s="52"/>
      <c r="N126" s="52"/>
      <c r="O126" s="52"/>
      <c r="P126" s="52"/>
      <c r="Q126" s="52"/>
      <c r="R126" s="52"/>
      <c r="S126" s="52"/>
    </row>
    <row r="127" spans="3:19" ht="15.5">
      <c r="C127" s="52"/>
      <c r="D127" s="52"/>
      <c r="E127" s="52"/>
      <c r="F127" s="52"/>
      <c r="G127" s="52"/>
      <c r="H127" s="52"/>
      <c r="I127" s="52"/>
      <c r="J127" s="52"/>
      <c r="K127" s="52"/>
      <c r="L127" s="227"/>
      <c r="M127" s="52"/>
      <c r="N127" s="52"/>
      <c r="O127" s="52"/>
      <c r="P127" s="52"/>
      <c r="Q127" s="52"/>
      <c r="R127" s="52"/>
      <c r="S127" s="52"/>
    </row>
    <row r="128" spans="3:19" ht="15.5">
      <c r="C128" s="52"/>
      <c r="D128" s="52"/>
      <c r="E128" s="52"/>
      <c r="F128" s="52"/>
      <c r="G128" s="52"/>
      <c r="H128" s="52"/>
      <c r="I128" s="52"/>
      <c r="J128" s="52"/>
      <c r="K128" s="52"/>
      <c r="L128" s="227"/>
      <c r="M128" s="52"/>
      <c r="N128" s="52"/>
      <c r="O128" s="52"/>
      <c r="P128" s="52"/>
      <c r="Q128" s="52"/>
      <c r="R128" s="52"/>
      <c r="S128" s="52"/>
    </row>
    <row r="129" spans="3:19" ht="15.5">
      <c r="C129" s="52"/>
      <c r="D129" s="52"/>
      <c r="E129" s="52"/>
      <c r="F129" s="52"/>
      <c r="G129" s="52"/>
      <c r="H129" s="52"/>
      <c r="I129" s="52"/>
      <c r="J129" s="52"/>
      <c r="K129" s="52"/>
      <c r="L129" s="227"/>
      <c r="M129" s="52"/>
      <c r="N129" s="52"/>
      <c r="O129" s="52"/>
      <c r="P129" s="52"/>
      <c r="Q129" s="52"/>
      <c r="R129" s="52"/>
      <c r="S129" s="52"/>
    </row>
    <row r="130" spans="3:19" ht="15.5">
      <c r="C130" s="52"/>
      <c r="D130" s="52"/>
      <c r="E130" s="52"/>
      <c r="F130" s="52"/>
      <c r="G130" s="52"/>
      <c r="H130" s="52"/>
      <c r="I130" s="52"/>
      <c r="J130" s="52"/>
      <c r="K130" s="52"/>
      <c r="L130" s="227"/>
      <c r="M130" s="52"/>
      <c r="N130" s="52"/>
      <c r="O130" s="52"/>
      <c r="P130" s="52"/>
      <c r="Q130" s="52"/>
      <c r="R130" s="52"/>
      <c r="S130" s="52"/>
    </row>
    <row r="131" spans="3:19" ht="15.5">
      <c r="C131" s="52"/>
      <c r="D131" s="52"/>
      <c r="E131" s="52"/>
      <c r="F131" s="52"/>
      <c r="G131" s="52"/>
      <c r="H131" s="52"/>
      <c r="I131" s="52"/>
      <c r="J131" s="52"/>
      <c r="K131" s="52"/>
      <c r="L131" s="227"/>
      <c r="M131" s="52"/>
      <c r="N131" s="52"/>
      <c r="O131" s="52"/>
      <c r="P131" s="52"/>
      <c r="Q131" s="52"/>
      <c r="R131" s="52"/>
      <c r="S131" s="52"/>
    </row>
    <row r="132" spans="3:19" ht="15.5">
      <c r="C132" s="52"/>
      <c r="D132" s="52"/>
      <c r="E132" s="52"/>
      <c r="F132" s="52"/>
      <c r="G132" s="52"/>
      <c r="H132" s="52"/>
      <c r="I132" s="52"/>
      <c r="J132" s="52"/>
      <c r="K132" s="52"/>
      <c r="L132" s="227"/>
      <c r="M132" s="52"/>
      <c r="N132" s="52"/>
      <c r="O132" s="52"/>
      <c r="P132" s="52"/>
      <c r="Q132" s="52"/>
      <c r="R132" s="52"/>
      <c r="S132" s="52"/>
    </row>
    <row r="133" spans="3:19" ht="15.5">
      <c r="C133" s="52"/>
      <c r="D133" s="52"/>
      <c r="E133" s="52"/>
      <c r="F133" s="52"/>
      <c r="G133" s="52"/>
      <c r="H133" s="52"/>
      <c r="I133" s="52"/>
      <c r="J133" s="52"/>
      <c r="K133" s="52"/>
      <c r="L133" s="227"/>
      <c r="M133" s="52"/>
      <c r="N133" s="52"/>
      <c r="O133" s="52"/>
      <c r="P133" s="52"/>
      <c r="Q133" s="52"/>
      <c r="R133" s="52"/>
      <c r="S133" s="52"/>
    </row>
    <row r="134" spans="3:19" ht="15.5">
      <c r="C134" s="52"/>
      <c r="D134" s="52"/>
      <c r="E134" s="52"/>
      <c r="F134" s="52"/>
      <c r="G134" s="52"/>
      <c r="H134" s="52"/>
      <c r="I134" s="52"/>
      <c r="J134" s="52"/>
      <c r="K134" s="52"/>
      <c r="L134" s="227"/>
      <c r="M134" s="52"/>
      <c r="N134" s="52"/>
      <c r="O134" s="52"/>
      <c r="P134" s="52"/>
      <c r="Q134" s="52"/>
      <c r="R134" s="52"/>
      <c r="S134" s="52"/>
    </row>
    <row r="135" spans="3:19" ht="15.5">
      <c r="C135" s="52"/>
      <c r="D135" s="52"/>
      <c r="E135" s="52"/>
      <c r="F135" s="52"/>
      <c r="G135" s="52"/>
      <c r="H135" s="52"/>
      <c r="I135" s="52"/>
      <c r="J135" s="52"/>
      <c r="K135" s="52"/>
      <c r="L135" s="227"/>
      <c r="M135" s="52"/>
      <c r="N135" s="52"/>
      <c r="O135" s="52"/>
      <c r="P135" s="52"/>
      <c r="Q135" s="52"/>
      <c r="R135" s="52"/>
      <c r="S135" s="52"/>
    </row>
    <row r="136" spans="3:19" ht="15.5">
      <c r="C136" s="52"/>
      <c r="D136" s="52"/>
      <c r="E136" s="52"/>
      <c r="F136" s="52"/>
      <c r="G136" s="52"/>
      <c r="H136" s="52"/>
      <c r="I136" s="52"/>
      <c r="J136" s="52"/>
      <c r="K136" s="52"/>
      <c r="L136" s="227"/>
      <c r="M136" s="52"/>
      <c r="N136" s="52"/>
      <c r="O136" s="52"/>
      <c r="P136" s="52"/>
      <c r="Q136" s="52"/>
      <c r="R136" s="52"/>
      <c r="S136" s="52"/>
    </row>
    <row r="137" spans="3:19" ht="15.5">
      <c r="C137" s="52"/>
      <c r="D137" s="52"/>
      <c r="E137" s="52"/>
      <c r="F137" s="52"/>
      <c r="G137" s="52"/>
      <c r="H137" s="52"/>
      <c r="I137" s="52"/>
      <c r="J137" s="52"/>
      <c r="K137" s="52"/>
      <c r="L137" s="227"/>
      <c r="M137" s="52"/>
      <c r="N137" s="52"/>
      <c r="O137" s="52"/>
      <c r="P137" s="52"/>
      <c r="Q137" s="52"/>
      <c r="R137" s="52"/>
      <c r="S137" s="52"/>
    </row>
    <row r="138" spans="3:19" ht="15.5">
      <c r="C138" s="52"/>
      <c r="D138" s="52"/>
      <c r="E138" s="52"/>
      <c r="F138" s="52"/>
      <c r="G138" s="52"/>
      <c r="H138" s="52"/>
      <c r="I138" s="52"/>
      <c r="J138" s="52"/>
      <c r="K138" s="52"/>
      <c r="L138" s="227"/>
      <c r="M138" s="52"/>
      <c r="N138" s="52"/>
      <c r="O138" s="52"/>
      <c r="P138" s="52"/>
      <c r="Q138" s="52"/>
      <c r="R138" s="52"/>
      <c r="S138" s="52"/>
    </row>
    <row r="139" spans="3:19" ht="15.5">
      <c r="C139" s="52"/>
      <c r="D139" s="52"/>
      <c r="E139" s="52"/>
      <c r="F139" s="52"/>
      <c r="G139" s="52"/>
      <c r="H139" s="52"/>
      <c r="I139" s="52"/>
      <c r="J139" s="52"/>
      <c r="K139" s="52"/>
      <c r="L139" s="227"/>
      <c r="M139" s="52"/>
      <c r="N139" s="52"/>
      <c r="O139" s="52"/>
      <c r="P139" s="52"/>
      <c r="Q139" s="52"/>
      <c r="R139" s="52"/>
      <c r="S139" s="52"/>
    </row>
    <row r="140" spans="3:19" ht="15.5">
      <c r="C140" s="52"/>
      <c r="D140" s="52"/>
      <c r="E140" s="52"/>
      <c r="F140" s="52"/>
      <c r="G140" s="52"/>
      <c r="H140" s="52"/>
      <c r="I140" s="52"/>
      <c r="J140" s="52"/>
      <c r="K140" s="52"/>
      <c r="L140" s="227"/>
      <c r="M140" s="52"/>
      <c r="N140" s="52"/>
      <c r="O140" s="52"/>
      <c r="P140" s="52"/>
      <c r="Q140" s="52"/>
      <c r="R140" s="52"/>
      <c r="S140" s="52"/>
    </row>
    <row r="141" spans="3:19" ht="15.5">
      <c r="C141" s="52"/>
      <c r="D141" s="52"/>
      <c r="E141" s="52"/>
      <c r="F141" s="52"/>
      <c r="G141" s="52"/>
      <c r="H141" s="52"/>
      <c r="I141" s="52"/>
      <c r="J141" s="52"/>
      <c r="K141" s="52"/>
      <c r="L141" s="227"/>
      <c r="M141" s="52"/>
      <c r="N141" s="52"/>
      <c r="O141" s="52"/>
      <c r="P141" s="52"/>
      <c r="Q141" s="52"/>
      <c r="R141" s="52"/>
      <c r="S141" s="52"/>
    </row>
    <row r="142" spans="3:19" ht="15.5">
      <c r="C142" s="52"/>
      <c r="D142" s="52"/>
      <c r="E142" s="52"/>
      <c r="F142" s="52"/>
      <c r="G142" s="52"/>
      <c r="H142" s="52"/>
      <c r="I142" s="52"/>
      <c r="J142" s="52"/>
      <c r="K142" s="52"/>
      <c r="L142" s="227"/>
      <c r="M142" s="52"/>
      <c r="N142" s="52"/>
      <c r="O142" s="52"/>
      <c r="P142" s="52"/>
      <c r="Q142" s="52"/>
      <c r="R142" s="52"/>
      <c r="S142" s="52"/>
    </row>
    <row r="143" spans="3:19" ht="15.5">
      <c r="C143" s="52"/>
      <c r="D143" s="52"/>
      <c r="E143" s="52"/>
      <c r="F143" s="52"/>
      <c r="G143" s="52"/>
      <c r="H143" s="52"/>
      <c r="I143" s="52"/>
      <c r="J143" s="52"/>
      <c r="K143" s="52"/>
      <c r="L143" s="227"/>
      <c r="M143" s="52"/>
      <c r="N143" s="52"/>
      <c r="O143" s="52"/>
      <c r="P143" s="52"/>
      <c r="Q143" s="52"/>
      <c r="R143" s="52"/>
      <c r="S143" s="52"/>
    </row>
    <row r="144" spans="3:19" ht="15.5">
      <c r="C144" s="52"/>
      <c r="D144" s="52"/>
      <c r="E144" s="52"/>
      <c r="F144" s="52"/>
      <c r="G144" s="52"/>
      <c r="H144" s="52"/>
      <c r="I144" s="52"/>
      <c r="J144" s="52"/>
      <c r="K144" s="52"/>
      <c r="L144" s="227"/>
      <c r="M144" s="52"/>
      <c r="N144" s="52"/>
      <c r="O144" s="52"/>
      <c r="P144" s="52"/>
      <c r="Q144" s="52"/>
      <c r="R144" s="52"/>
      <c r="S144" s="52"/>
    </row>
    <row r="145" spans="3:19" ht="15.5">
      <c r="C145" s="52"/>
      <c r="D145" s="52"/>
      <c r="E145" s="52"/>
      <c r="F145" s="52"/>
      <c r="G145" s="52"/>
      <c r="H145" s="52"/>
      <c r="I145" s="52"/>
      <c r="J145" s="52"/>
      <c r="K145" s="52"/>
      <c r="L145" s="227"/>
      <c r="M145" s="52"/>
      <c r="N145" s="52"/>
      <c r="O145" s="52"/>
      <c r="P145" s="52"/>
      <c r="Q145" s="52"/>
      <c r="R145" s="52"/>
      <c r="S145" s="52"/>
    </row>
    <row r="146" spans="3:19" ht="15.5">
      <c r="C146" s="52"/>
      <c r="D146" s="52"/>
      <c r="E146" s="52"/>
      <c r="F146" s="52"/>
      <c r="G146" s="52"/>
      <c r="H146" s="52"/>
      <c r="I146" s="52"/>
      <c r="J146" s="52"/>
      <c r="K146" s="52"/>
      <c r="L146" s="227"/>
      <c r="M146" s="52"/>
      <c r="N146" s="52"/>
      <c r="O146" s="52"/>
      <c r="P146" s="52"/>
      <c r="Q146" s="52"/>
      <c r="R146" s="52"/>
      <c r="S146" s="52"/>
    </row>
    <row r="147" spans="3:19" ht="15.5">
      <c r="C147" s="52"/>
      <c r="D147" s="52"/>
      <c r="E147" s="52"/>
      <c r="F147" s="52"/>
      <c r="G147" s="52"/>
      <c r="H147" s="52"/>
      <c r="I147" s="52"/>
      <c r="J147" s="52"/>
      <c r="K147" s="52"/>
      <c r="L147" s="227"/>
      <c r="M147" s="52"/>
      <c r="N147" s="52"/>
      <c r="O147" s="52"/>
      <c r="P147" s="52"/>
      <c r="Q147" s="52"/>
      <c r="R147" s="52"/>
      <c r="S147" s="52"/>
    </row>
    <row r="148" spans="3:19" ht="15.5">
      <c r="C148" s="52"/>
      <c r="D148" s="52"/>
      <c r="E148" s="52"/>
      <c r="F148" s="52"/>
      <c r="G148" s="52"/>
      <c r="H148" s="52"/>
      <c r="I148" s="52"/>
      <c r="J148" s="52"/>
      <c r="K148" s="52"/>
      <c r="L148" s="227"/>
      <c r="M148" s="52"/>
      <c r="N148" s="52"/>
      <c r="O148" s="52"/>
      <c r="P148" s="52"/>
      <c r="Q148" s="52"/>
      <c r="R148" s="52"/>
      <c r="S148" s="52"/>
    </row>
    <row r="149" spans="3:19" ht="15.5">
      <c r="C149" s="52"/>
      <c r="D149" s="52"/>
      <c r="E149" s="52"/>
      <c r="F149" s="52"/>
      <c r="G149" s="52"/>
      <c r="H149" s="52"/>
      <c r="I149" s="52"/>
      <c r="J149" s="52"/>
      <c r="K149" s="52"/>
      <c r="L149" s="227"/>
      <c r="M149" s="52"/>
      <c r="N149" s="52"/>
      <c r="O149" s="52"/>
      <c r="P149" s="52"/>
      <c r="Q149" s="52"/>
      <c r="R149" s="52"/>
      <c r="S149" s="52"/>
    </row>
    <row r="150" spans="3:19" ht="15.5">
      <c r="C150" s="52"/>
      <c r="D150" s="52"/>
      <c r="E150" s="52"/>
      <c r="F150" s="52"/>
      <c r="G150" s="52"/>
      <c r="H150" s="52"/>
      <c r="I150" s="52"/>
      <c r="J150" s="52"/>
      <c r="K150" s="52"/>
      <c r="L150" s="227"/>
      <c r="M150" s="52"/>
      <c r="N150" s="52"/>
      <c r="O150" s="52"/>
      <c r="P150" s="52"/>
      <c r="Q150" s="52"/>
      <c r="R150" s="52"/>
      <c r="S150" s="52"/>
    </row>
    <row r="151" spans="3:19" ht="15.5">
      <c r="C151" s="52"/>
      <c r="D151" s="52"/>
      <c r="E151" s="52"/>
      <c r="F151" s="52"/>
      <c r="G151" s="52"/>
      <c r="H151" s="52"/>
      <c r="I151" s="52"/>
      <c r="J151" s="52"/>
      <c r="K151" s="52"/>
      <c r="L151" s="227"/>
      <c r="M151" s="52"/>
      <c r="N151" s="52"/>
      <c r="O151" s="52"/>
      <c r="P151" s="52"/>
      <c r="Q151" s="52"/>
      <c r="R151" s="52"/>
      <c r="S151" s="52"/>
    </row>
    <row r="152" spans="3:19" ht="15.5">
      <c r="C152" s="52"/>
      <c r="D152" s="52"/>
      <c r="E152" s="52"/>
      <c r="F152" s="52"/>
      <c r="G152" s="52"/>
      <c r="H152" s="52"/>
      <c r="I152" s="52"/>
      <c r="J152" s="52"/>
      <c r="K152" s="52"/>
      <c r="L152" s="227"/>
      <c r="M152" s="52"/>
      <c r="N152" s="52"/>
      <c r="O152" s="52"/>
      <c r="P152" s="52"/>
      <c r="Q152" s="52"/>
      <c r="R152" s="52"/>
      <c r="S152" s="52"/>
    </row>
    <row r="153" spans="3:19" ht="15.5">
      <c r="C153" s="52"/>
      <c r="D153" s="52"/>
      <c r="E153" s="52"/>
      <c r="F153" s="52"/>
      <c r="G153" s="52"/>
      <c r="H153" s="52"/>
      <c r="I153" s="52"/>
      <c r="J153" s="52"/>
      <c r="K153" s="52"/>
      <c r="L153" s="227"/>
      <c r="M153" s="52"/>
      <c r="N153" s="52"/>
      <c r="O153" s="52"/>
      <c r="P153" s="52"/>
      <c r="Q153" s="52"/>
      <c r="R153" s="52"/>
      <c r="S153" s="52"/>
    </row>
    <row r="154" spans="3:19" ht="15.5">
      <c r="C154" s="52"/>
      <c r="D154" s="52"/>
      <c r="E154" s="52"/>
      <c r="F154" s="52"/>
      <c r="G154" s="52"/>
      <c r="H154" s="52"/>
      <c r="I154" s="52"/>
      <c r="J154" s="52"/>
      <c r="K154" s="52"/>
      <c r="L154" s="227"/>
      <c r="M154" s="52"/>
      <c r="N154" s="52"/>
      <c r="O154" s="52"/>
      <c r="P154" s="52"/>
      <c r="Q154" s="52"/>
      <c r="R154" s="52"/>
      <c r="S154" s="52"/>
    </row>
    <row r="155" spans="3:19" ht="15.5">
      <c r="C155" s="52"/>
      <c r="D155" s="52"/>
      <c r="E155" s="52"/>
      <c r="F155" s="52"/>
      <c r="G155" s="52"/>
      <c r="H155" s="52"/>
      <c r="I155" s="52"/>
      <c r="J155" s="52"/>
      <c r="K155" s="52"/>
      <c r="L155" s="227"/>
      <c r="M155" s="52"/>
      <c r="N155" s="52"/>
      <c r="O155" s="52"/>
      <c r="P155" s="52"/>
      <c r="Q155" s="52"/>
      <c r="R155" s="52"/>
      <c r="S155" s="52"/>
    </row>
    <row r="156" spans="3:19" ht="15.5">
      <c r="C156" s="52"/>
      <c r="D156" s="52"/>
      <c r="E156" s="52"/>
      <c r="F156" s="52"/>
      <c r="G156" s="52"/>
      <c r="H156" s="52"/>
      <c r="I156" s="52"/>
      <c r="J156" s="52"/>
      <c r="K156" s="52"/>
      <c r="L156" s="227"/>
      <c r="M156" s="52"/>
      <c r="N156" s="52"/>
      <c r="O156" s="52"/>
      <c r="P156" s="52"/>
      <c r="Q156" s="52"/>
      <c r="R156" s="52"/>
      <c r="S156" s="52"/>
    </row>
    <row r="157" spans="3:19" ht="15.5">
      <c r="C157" s="52"/>
      <c r="D157" s="52"/>
      <c r="E157" s="52"/>
      <c r="F157" s="52"/>
      <c r="G157" s="52"/>
      <c r="H157" s="52"/>
      <c r="I157" s="52"/>
      <c r="J157" s="52"/>
      <c r="K157" s="52"/>
      <c r="L157" s="227"/>
      <c r="M157" s="52"/>
      <c r="N157" s="52"/>
      <c r="O157" s="52"/>
      <c r="P157" s="52"/>
      <c r="Q157" s="52"/>
      <c r="R157" s="52"/>
      <c r="S157" s="52"/>
    </row>
    <row r="158" spans="3:19" ht="15.5">
      <c r="C158" s="52"/>
      <c r="D158" s="52"/>
      <c r="E158" s="52"/>
      <c r="F158" s="52"/>
      <c r="G158" s="52"/>
      <c r="H158" s="52"/>
      <c r="I158" s="52"/>
      <c r="J158" s="52"/>
      <c r="K158" s="52"/>
      <c r="L158" s="227"/>
      <c r="M158" s="52"/>
      <c r="N158" s="52"/>
      <c r="O158" s="52"/>
      <c r="P158" s="52"/>
      <c r="Q158" s="52"/>
      <c r="R158" s="52"/>
      <c r="S158" s="52"/>
    </row>
    <row r="159" spans="3:19" ht="15.5">
      <c r="C159" s="52"/>
      <c r="D159" s="52"/>
      <c r="E159" s="52"/>
      <c r="F159" s="52"/>
      <c r="G159" s="52"/>
      <c r="H159" s="52"/>
      <c r="I159" s="52"/>
      <c r="J159" s="52"/>
      <c r="K159" s="52"/>
      <c r="L159" s="227"/>
      <c r="M159" s="52"/>
      <c r="N159" s="52"/>
      <c r="O159" s="52"/>
      <c r="P159" s="52"/>
      <c r="Q159" s="52"/>
      <c r="R159" s="52"/>
      <c r="S159" s="52"/>
    </row>
    <row r="160" spans="3:19" ht="15.5">
      <c r="C160" s="52"/>
      <c r="D160" s="52"/>
      <c r="E160" s="52"/>
      <c r="F160" s="52"/>
      <c r="G160" s="52"/>
      <c r="H160" s="52"/>
      <c r="I160" s="52"/>
      <c r="J160" s="52"/>
      <c r="K160" s="52"/>
      <c r="L160" s="227"/>
      <c r="M160" s="52"/>
      <c r="N160" s="52"/>
      <c r="O160" s="52"/>
      <c r="P160" s="52"/>
      <c r="Q160" s="52"/>
      <c r="R160" s="52"/>
      <c r="S160" s="52"/>
    </row>
    <row r="161" spans="3:19" ht="15.5">
      <c r="C161" s="52"/>
      <c r="D161" s="52"/>
      <c r="E161" s="52"/>
      <c r="F161" s="52"/>
      <c r="G161" s="52"/>
      <c r="H161" s="52"/>
      <c r="I161" s="52"/>
      <c r="J161" s="52"/>
      <c r="K161" s="52"/>
      <c r="L161" s="227"/>
      <c r="M161" s="52"/>
      <c r="N161" s="52"/>
      <c r="O161" s="52"/>
      <c r="P161" s="52"/>
      <c r="Q161" s="52"/>
      <c r="R161" s="52"/>
      <c r="S161" s="52"/>
    </row>
    <row r="162" spans="3:19" ht="15.5">
      <c r="C162" s="52"/>
      <c r="D162" s="52"/>
      <c r="E162" s="52"/>
      <c r="F162" s="52"/>
      <c r="G162" s="52"/>
      <c r="H162" s="52"/>
      <c r="I162" s="52"/>
      <c r="J162" s="52"/>
      <c r="K162" s="52"/>
      <c r="L162" s="227"/>
      <c r="M162" s="52"/>
      <c r="N162" s="52"/>
      <c r="O162" s="52"/>
      <c r="P162" s="52"/>
      <c r="Q162" s="52"/>
      <c r="R162" s="52"/>
      <c r="S162" s="52"/>
    </row>
    <row r="163" spans="3:19" ht="15.5">
      <c r="C163" s="52"/>
      <c r="D163" s="52"/>
      <c r="E163" s="52"/>
      <c r="F163" s="52"/>
      <c r="G163" s="52"/>
      <c r="H163" s="52"/>
      <c r="I163" s="52"/>
      <c r="J163" s="52"/>
      <c r="K163" s="52"/>
      <c r="L163" s="227"/>
      <c r="M163" s="52"/>
      <c r="N163" s="52"/>
      <c r="O163" s="52"/>
      <c r="P163" s="52"/>
      <c r="Q163" s="52"/>
      <c r="R163" s="52"/>
      <c r="S163" s="52"/>
    </row>
    <row r="164" spans="3:19" ht="15.5">
      <c r="C164" s="52"/>
      <c r="D164" s="52"/>
      <c r="E164" s="52"/>
      <c r="F164" s="52"/>
      <c r="G164" s="52"/>
      <c r="H164" s="52"/>
      <c r="I164" s="52"/>
      <c r="J164" s="52"/>
      <c r="K164" s="52"/>
      <c r="L164" s="227"/>
      <c r="M164" s="52"/>
      <c r="N164" s="52"/>
      <c r="O164" s="52"/>
      <c r="P164" s="52"/>
      <c r="Q164" s="52"/>
      <c r="R164" s="52"/>
      <c r="S164" s="52"/>
    </row>
    <row r="165" spans="3:19" ht="15.5">
      <c r="C165" s="52"/>
      <c r="D165" s="52"/>
      <c r="E165" s="52"/>
      <c r="F165" s="52"/>
      <c r="G165" s="52"/>
      <c r="H165" s="52"/>
      <c r="I165" s="52"/>
      <c r="J165" s="52"/>
      <c r="K165" s="52"/>
      <c r="L165" s="227"/>
      <c r="M165" s="52"/>
      <c r="N165" s="52"/>
      <c r="O165" s="52"/>
      <c r="P165" s="52"/>
      <c r="Q165" s="52"/>
      <c r="R165" s="52"/>
      <c r="S165" s="52"/>
    </row>
    <row r="166" spans="3:19" ht="15.5">
      <c r="C166" s="52"/>
      <c r="D166" s="52"/>
      <c r="E166" s="52"/>
      <c r="F166" s="52"/>
      <c r="G166" s="52"/>
      <c r="H166" s="52"/>
      <c r="I166" s="52"/>
      <c r="J166" s="52"/>
      <c r="K166" s="52"/>
      <c r="L166" s="227"/>
      <c r="M166" s="52"/>
      <c r="N166" s="52"/>
      <c r="O166" s="52"/>
      <c r="P166" s="52"/>
      <c r="Q166" s="52"/>
      <c r="R166" s="52"/>
      <c r="S166" s="52"/>
    </row>
    <row r="167" spans="3:19" ht="15.5">
      <c r="C167" s="52"/>
      <c r="D167" s="52"/>
      <c r="E167" s="52"/>
      <c r="F167" s="52"/>
      <c r="G167" s="52"/>
      <c r="H167" s="52"/>
      <c r="I167" s="52"/>
      <c r="J167" s="52"/>
      <c r="K167" s="52"/>
      <c r="L167" s="227"/>
      <c r="M167" s="52"/>
      <c r="N167" s="52"/>
      <c r="O167" s="52"/>
      <c r="P167" s="52"/>
      <c r="Q167" s="52"/>
      <c r="R167" s="52"/>
      <c r="S167" s="52"/>
    </row>
    <row r="168" spans="3:19" ht="15.5">
      <c r="C168" s="52"/>
      <c r="D168" s="52"/>
      <c r="E168" s="52"/>
      <c r="F168" s="52"/>
      <c r="G168" s="52"/>
      <c r="H168" s="52"/>
      <c r="I168" s="52"/>
      <c r="J168" s="52"/>
      <c r="K168" s="52"/>
      <c r="L168" s="227"/>
      <c r="M168" s="52"/>
      <c r="N168" s="52"/>
      <c r="O168" s="52"/>
      <c r="P168" s="52"/>
      <c r="Q168" s="52"/>
      <c r="R168" s="52"/>
      <c r="S168" s="52"/>
    </row>
    <row r="169" spans="3:19" ht="15.5">
      <c r="C169" s="52"/>
      <c r="D169" s="52"/>
      <c r="E169" s="52"/>
      <c r="F169" s="52"/>
      <c r="G169" s="52"/>
      <c r="H169" s="52"/>
      <c r="I169" s="52"/>
      <c r="J169" s="52"/>
      <c r="K169" s="52"/>
      <c r="L169" s="227"/>
      <c r="M169" s="52"/>
      <c r="N169" s="52"/>
      <c r="O169" s="52"/>
      <c r="P169" s="52"/>
      <c r="Q169" s="52"/>
      <c r="R169" s="52"/>
      <c r="S169" s="52"/>
    </row>
    <row r="170" spans="3:19" ht="15.5">
      <c r="C170" s="52"/>
      <c r="D170" s="52"/>
      <c r="E170" s="52"/>
      <c r="F170" s="52"/>
      <c r="G170" s="52"/>
      <c r="H170" s="52"/>
      <c r="I170" s="52"/>
      <c r="J170" s="52"/>
      <c r="K170" s="52"/>
      <c r="L170" s="227"/>
      <c r="M170" s="52"/>
      <c r="N170" s="52"/>
      <c r="O170" s="52"/>
      <c r="P170" s="52"/>
      <c r="Q170" s="52"/>
      <c r="R170" s="52"/>
      <c r="S170" s="52"/>
    </row>
    <row r="171" spans="3:19" ht="15.5">
      <c r="C171" s="52"/>
      <c r="D171" s="52"/>
      <c r="E171" s="52"/>
      <c r="F171" s="52"/>
      <c r="G171" s="52"/>
      <c r="H171" s="52"/>
      <c r="I171" s="52"/>
      <c r="J171" s="52"/>
      <c r="K171" s="52"/>
      <c r="L171" s="227"/>
      <c r="M171" s="52"/>
      <c r="N171" s="52"/>
      <c r="O171" s="52"/>
      <c r="P171" s="52"/>
      <c r="Q171" s="52"/>
      <c r="R171" s="52"/>
      <c r="S171" s="52"/>
    </row>
    <row r="172" spans="3:19" ht="15.5">
      <c r="C172" s="52"/>
      <c r="D172" s="52"/>
      <c r="E172" s="52"/>
      <c r="F172" s="52"/>
      <c r="G172" s="52"/>
      <c r="H172" s="52"/>
      <c r="I172" s="52"/>
      <c r="J172" s="52"/>
      <c r="K172" s="52"/>
      <c r="L172" s="227"/>
      <c r="M172" s="52"/>
      <c r="N172" s="52"/>
      <c r="O172" s="52"/>
      <c r="P172" s="52"/>
      <c r="Q172" s="52"/>
      <c r="R172" s="52"/>
      <c r="S172" s="52"/>
    </row>
    <row r="173" spans="3:19" ht="15.5">
      <c r="C173" s="52"/>
      <c r="D173" s="52"/>
      <c r="E173" s="52"/>
      <c r="F173" s="52"/>
      <c r="G173" s="52"/>
      <c r="H173" s="52"/>
      <c r="I173" s="52"/>
      <c r="J173" s="52"/>
      <c r="K173" s="52"/>
      <c r="L173" s="227"/>
      <c r="M173" s="52"/>
      <c r="N173" s="52"/>
      <c r="O173" s="52"/>
      <c r="P173" s="52"/>
      <c r="Q173" s="52"/>
      <c r="R173" s="52"/>
      <c r="S173" s="52"/>
    </row>
    <row r="174" spans="3:19" ht="15.5">
      <c r="C174" s="52"/>
      <c r="D174" s="52"/>
      <c r="E174" s="52"/>
      <c r="F174" s="52"/>
      <c r="G174" s="52"/>
      <c r="H174" s="52"/>
      <c r="I174" s="52"/>
      <c r="J174" s="52"/>
      <c r="K174" s="52"/>
      <c r="L174" s="227"/>
      <c r="M174" s="52"/>
      <c r="N174" s="52"/>
      <c r="O174" s="52"/>
      <c r="P174" s="52"/>
      <c r="Q174" s="52"/>
      <c r="R174" s="52"/>
      <c r="S174" s="52"/>
    </row>
    <row r="175" spans="3:19" ht="15.5">
      <c r="C175" s="52"/>
      <c r="D175" s="52"/>
      <c r="E175" s="52"/>
      <c r="F175" s="52"/>
      <c r="G175" s="52"/>
      <c r="H175" s="52"/>
      <c r="I175" s="52"/>
      <c r="J175" s="52"/>
      <c r="K175" s="52"/>
      <c r="L175" s="227"/>
      <c r="M175" s="52"/>
      <c r="N175" s="52"/>
      <c r="O175" s="52"/>
      <c r="P175" s="52"/>
      <c r="Q175" s="52"/>
      <c r="R175" s="52"/>
      <c r="S175" s="52"/>
    </row>
    <row r="176" spans="3:19" ht="15.5">
      <c r="C176" s="52"/>
      <c r="D176" s="52"/>
      <c r="E176" s="52"/>
      <c r="F176" s="52"/>
      <c r="G176" s="52"/>
      <c r="H176" s="52"/>
      <c r="I176" s="52"/>
      <c r="J176" s="52"/>
      <c r="K176" s="52"/>
      <c r="L176" s="227"/>
      <c r="M176" s="52"/>
      <c r="N176" s="52"/>
      <c r="O176" s="52"/>
      <c r="P176" s="52"/>
      <c r="Q176" s="52"/>
      <c r="R176" s="52"/>
      <c r="S176" s="52"/>
    </row>
    <row r="177" spans="3:19" ht="15.5">
      <c r="C177" s="52"/>
      <c r="D177" s="52"/>
      <c r="E177" s="52"/>
      <c r="F177" s="52"/>
      <c r="G177" s="52"/>
      <c r="H177" s="52"/>
      <c r="I177" s="52"/>
      <c r="J177" s="52"/>
      <c r="K177" s="52"/>
      <c r="L177" s="227"/>
      <c r="M177" s="52"/>
      <c r="N177" s="52"/>
      <c r="O177" s="52"/>
      <c r="P177" s="52"/>
      <c r="Q177" s="52"/>
      <c r="R177" s="52"/>
      <c r="S177" s="52"/>
    </row>
    <row r="178" spans="3:19" ht="15.5">
      <c r="C178" s="52"/>
      <c r="D178" s="52"/>
      <c r="E178" s="52"/>
      <c r="F178" s="52"/>
      <c r="G178" s="52"/>
      <c r="H178" s="52"/>
      <c r="I178" s="52"/>
      <c r="J178" s="52"/>
      <c r="K178" s="52"/>
      <c r="L178" s="227"/>
      <c r="M178" s="52"/>
      <c r="N178" s="52"/>
      <c r="O178" s="52"/>
      <c r="P178" s="52"/>
      <c r="Q178" s="52"/>
      <c r="R178" s="52"/>
      <c r="S178" s="52"/>
    </row>
    <row r="179" spans="3:19" ht="15.5">
      <c r="C179" s="52"/>
      <c r="D179" s="52"/>
      <c r="E179" s="52"/>
      <c r="F179" s="52"/>
      <c r="G179" s="52"/>
      <c r="H179" s="52"/>
      <c r="I179" s="52"/>
      <c r="J179" s="52"/>
      <c r="K179" s="52"/>
      <c r="L179" s="227"/>
      <c r="M179" s="52"/>
      <c r="N179" s="52"/>
      <c r="O179" s="52"/>
      <c r="P179" s="52"/>
      <c r="Q179" s="52"/>
      <c r="R179" s="52"/>
      <c r="S179" s="52"/>
    </row>
    <row r="180" spans="3:19" ht="15.5">
      <c r="C180" s="52"/>
      <c r="D180" s="52"/>
      <c r="E180" s="52"/>
      <c r="F180" s="52"/>
      <c r="G180" s="52"/>
      <c r="H180" s="52"/>
      <c r="I180" s="52"/>
      <c r="J180" s="52"/>
      <c r="K180" s="52"/>
      <c r="L180" s="227"/>
      <c r="M180" s="52"/>
      <c r="N180" s="52"/>
      <c r="O180" s="52"/>
      <c r="P180" s="52"/>
      <c r="Q180" s="52"/>
      <c r="R180" s="52"/>
      <c r="S180" s="52"/>
    </row>
    <row r="181" spans="3:19" ht="15.5">
      <c r="C181" s="52"/>
      <c r="D181" s="52"/>
      <c r="E181" s="52"/>
      <c r="F181" s="52"/>
      <c r="G181" s="52"/>
      <c r="H181" s="52"/>
      <c r="I181" s="52"/>
      <c r="J181" s="52"/>
      <c r="K181" s="52"/>
      <c r="L181" s="227"/>
      <c r="M181" s="52"/>
      <c r="N181" s="52"/>
      <c r="O181" s="52"/>
      <c r="P181" s="52"/>
      <c r="Q181" s="52"/>
      <c r="R181" s="52"/>
      <c r="S181" s="52"/>
    </row>
    <row r="182" spans="3:19" ht="15.5">
      <c r="C182" s="52"/>
      <c r="D182" s="52"/>
      <c r="E182" s="52"/>
      <c r="F182" s="52"/>
      <c r="G182" s="52"/>
      <c r="H182" s="52"/>
      <c r="I182" s="52"/>
      <c r="J182" s="52"/>
      <c r="K182" s="52"/>
      <c r="L182" s="227"/>
      <c r="M182" s="52"/>
      <c r="N182" s="52"/>
      <c r="O182" s="52"/>
      <c r="P182" s="52"/>
      <c r="Q182" s="52"/>
      <c r="R182" s="52"/>
      <c r="S182" s="52"/>
    </row>
    <row r="183" spans="3:19" ht="15.5">
      <c r="C183" s="52"/>
      <c r="D183" s="52"/>
      <c r="E183" s="52"/>
      <c r="F183" s="52"/>
      <c r="G183" s="52"/>
      <c r="H183" s="52"/>
      <c r="I183" s="52"/>
      <c r="J183" s="52"/>
      <c r="K183" s="52"/>
      <c r="L183" s="227"/>
      <c r="M183" s="52"/>
      <c r="N183" s="52"/>
      <c r="O183" s="52"/>
      <c r="P183" s="52"/>
      <c r="Q183" s="52"/>
      <c r="R183" s="52"/>
      <c r="S183" s="52"/>
    </row>
    <row r="184" spans="3:19" ht="15.5">
      <c r="C184" s="52"/>
      <c r="D184" s="52"/>
      <c r="E184" s="52"/>
      <c r="F184" s="52"/>
      <c r="G184" s="52"/>
      <c r="H184" s="52"/>
      <c r="I184" s="52"/>
      <c r="J184" s="52"/>
      <c r="K184" s="52"/>
      <c r="L184" s="227"/>
      <c r="M184" s="52"/>
      <c r="N184" s="52"/>
      <c r="O184" s="52"/>
      <c r="P184" s="52"/>
      <c r="Q184" s="52"/>
      <c r="R184" s="52"/>
      <c r="S184" s="52"/>
    </row>
    <row r="185" spans="3:19" ht="15.5">
      <c r="C185" s="52"/>
      <c r="D185" s="52"/>
      <c r="E185" s="52"/>
      <c r="F185" s="52"/>
      <c r="G185" s="52"/>
      <c r="H185" s="52"/>
      <c r="I185" s="52"/>
      <c r="J185" s="52"/>
      <c r="K185" s="52"/>
      <c r="L185" s="227"/>
      <c r="M185" s="52"/>
      <c r="N185" s="52"/>
      <c r="O185" s="52"/>
      <c r="P185" s="52"/>
      <c r="Q185" s="52"/>
      <c r="R185" s="52"/>
      <c r="S185" s="52"/>
    </row>
    <row r="186" spans="3:19" ht="15.5">
      <c r="C186" s="52"/>
      <c r="D186" s="52"/>
      <c r="E186" s="52"/>
      <c r="F186" s="52"/>
      <c r="G186" s="52"/>
      <c r="H186" s="52"/>
      <c r="I186" s="52"/>
      <c r="J186" s="52"/>
      <c r="K186" s="52"/>
      <c r="L186" s="227"/>
      <c r="M186" s="52"/>
      <c r="N186" s="52"/>
      <c r="O186" s="52"/>
      <c r="P186" s="52"/>
      <c r="Q186" s="52"/>
      <c r="R186" s="52"/>
      <c r="S186" s="52"/>
    </row>
    <row r="187" spans="3:19" ht="15.5">
      <c r="C187" s="52"/>
      <c r="D187" s="52"/>
      <c r="E187" s="52"/>
      <c r="F187" s="52"/>
      <c r="G187" s="52"/>
      <c r="H187" s="52"/>
      <c r="I187" s="52"/>
      <c r="J187" s="52"/>
      <c r="K187" s="52"/>
      <c r="L187" s="227"/>
      <c r="M187" s="52"/>
      <c r="N187" s="52"/>
      <c r="O187" s="52"/>
      <c r="P187" s="52"/>
      <c r="Q187" s="52"/>
      <c r="R187" s="52"/>
      <c r="S187" s="52"/>
    </row>
    <row r="188" spans="3:19" ht="15.5">
      <c r="C188" s="52"/>
      <c r="D188" s="52"/>
      <c r="E188" s="52"/>
      <c r="F188" s="52"/>
      <c r="G188" s="52"/>
      <c r="H188" s="52"/>
      <c r="I188" s="52"/>
      <c r="J188" s="52"/>
      <c r="K188" s="52"/>
      <c r="L188" s="227"/>
      <c r="M188" s="52"/>
      <c r="N188" s="52"/>
      <c r="O188" s="52"/>
      <c r="P188" s="52"/>
      <c r="Q188" s="52"/>
      <c r="R188" s="52"/>
      <c r="S188" s="52"/>
    </row>
    <row r="189" spans="3:19" ht="15.5">
      <c r="C189" s="52"/>
      <c r="D189" s="52"/>
      <c r="E189" s="52"/>
      <c r="F189" s="52"/>
      <c r="G189" s="52"/>
      <c r="H189" s="52"/>
      <c r="I189" s="52"/>
      <c r="J189" s="52"/>
      <c r="K189" s="52"/>
      <c r="L189" s="227"/>
      <c r="M189" s="52"/>
      <c r="N189" s="52"/>
      <c r="O189" s="52"/>
      <c r="P189" s="52"/>
      <c r="Q189" s="52"/>
      <c r="R189" s="52"/>
      <c r="S189" s="52"/>
    </row>
    <row r="190" spans="3:19" ht="15.5">
      <c r="C190" s="52"/>
      <c r="D190" s="52"/>
      <c r="E190" s="52"/>
      <c r="F190" s="52"/>
      <c r="G190" s="52"/>
      <c r="H190" s="52"/>
      <c r="I190" s="52"/>
      <c r="J190" s="52"/>
      <c r="K190" s="52"/>
      <c r="L190" s="227"/>
      <c r="M190" s="52"/>
      <c r="N190" s="52"/>
      <c r="O190" s="52"/>
      <c r="P190" s="52"/>
      <c r="Q190" s="52"/>
      <c r="R190" s="52"/>
      <c r="S190" s="52"/>
    </row>
    <row r="191" spans="3:19" ht="15.5">
      <c r="C191" s="52"/>
      <c r="D191" s="52"/>
      <c r="E191" s="52"/>
      <c r="F191" s="52"/>
      <c r="G191" s="52"/>
      <c r="H191" s="52"/>
      <c r="I191" s="52"/>
      <c r="J191" s="52"/>
      <c r="K191" s="52"/>
      <c r="L191" s="227"/>
      <c r="M191" s="52"/>
      <c r="N191" s="52"/>
      <c r="O191" s="52"/>
      <c r="P191" s="52"/>
      <c r="Q191" s="52"/>
      <c r="R191" s="52"/>
      <c r="S191" s="52"/>
    </row>
    <row r="192" spans="3:19" ht="15.5">
      <c r="C192" s="52"/>
      <c r="D192" s="52"/>
      <c r="E192" s="52"/>
      <c r="F192" s="52"/>
      <c r="G192" s="52"/>
      <c r="H192" s="52"/>
      <c r="I192" s="52"/>
      <c r="J192" s="52"/>
      <c r="K192" s="52"/>
      <c r="L192" s="227"/>
      <c r="M192" s="52"/>
      <c r="N192" s="52"/>
      <c r="O192" s="52"/>
      <c r="P192" s="52"/>
      <c r="Q192" s="52"/>
      <c r="R192" s="52"/>
      <c r="S192" s="52"/>
    </row>
    <row r="193" spans="3:19" ht="15.5">
      <c r="C193" s="52"/>
      <c r="D193" s="52"/>
      <c r="E193" s="52"/>
      <c r="F193" s="52"/>
      <c r="G193" s="52"/>
      <c r="H193" s="52"/>
      <c r="I193" s="52"/>
      <c r="J193" s="52"/>
      <c r="K193" s="52"/>
      <c r="L193" s="227"/>
      <c r="M193" s="52"/>
      <c r="N193" s="52"/>
      <c r="O193" s="52"/>
      <c r="P193" s="52"/>
      <c r="Q193" s="52"/>
      <c r="R193" s="52"/>
      <c r="S193" s="52"/>
    </row>
    <row r="194" spans="3:19" ht="15.5">
      <c r="C194" s="52"/>
      <c r="D194" s="52"/>
      <c r="E194" s="52"/>
      <c r="F194" s="52"/>
      <c r="G194" s="52"/>
      <c r="H194" s="52"/>
      <c r="I194" s="52"/>
      <c r="J194" s="52"/>
      <c r="K194" s="52"/>
      <c r="L194" s="227"/>
      <c r="M194" s="52"/>
      <c r="N194" s="52"/>
      <c r="O194" s="52"/>
      <c r="P194" s="52"/>
      <c r="Q194" s="52"/>
      <c r="R194" s="52"/>
      <c r="S194" s="52"/>
    </row>
    <row r="195" spans="3:19" ht="15.5">
      <c r="C195" s="52"/>
      <c r="D195" s="52"/>
      <c r="E195" s="52"/>
      <c r="F195" s="52"/>
      <c r="G195" s="52"/>
      <c r="H195" s="52"/>
      <c r="I195" s="52"/>
      <c r="J195" s="52"/>
      <c r="K195" s="52"/>
      <c r="L195" s="227"/>
      <c r="M195" s="52"/>
      <c r="N195" s="52"/>
      <c r="O195" s="52"/>
      <c r="P195" s="52"/>
      <c r="Q195" s="52"/>
      <c r="R195" s="52"/>
      <c r="S195" s="52"/>
    </row>
    <row r="196" spans="3:19" ht="15.5">
      <c r="C196" s="52"/>
      <c r="D196" s="52"/>
      <c r="E196" s="52"/>
      <c r="F196" s="52"/>
      <c r="G196" s="52"/>
      <c r="H196" s="52"/>
      <c r="I196" s="52"/>
      <c r="J196" s="52"/>
      <c r="K196" s="52"/>
      <c r="L196" s="227"/>
      <c r="M196" s="52"/>
      <c r="N196" s="52"/>
      <c r="O196" s="52"/>
      <c r="P196" s="52"/>
      <c r="Q196" s="52"/>
      <c r="R196" s="52"/>
      <c r="S196" s="52"/>
    </row>
    <row r="197" spans="3:19" ht="15.5">
      <c r="C197" s="52"/>
      <c r="D197" s="52"/>
      <c r="E197" s="52"/>
      <c r="F197" s="52"/>
      <c r="G197" s="52"/>
      <c r="H197" s="52"/>
      <c r="I197" s="52"/>
      <c r="J197" s="52"/>
      <c r="K197" s="52"/>
      <c r="L197" s="227"/>
      <c r="M197" s="52"/>
      <c r="N197" s="52"/>
      <c r="O197" s="52"/>
      <c r="P197" s="52"/>
      <c r="Q197" s="52"/>
      <c r="R197" s="52"/>
      <c r="S197" s="52"/>
    </row>
    <row r="198" spans="3:19" ht="15.5">
      <c r="C198" s="52"/>
      <c r="D198" s="52"/>
      <c r="E198" s="52"/>
      <c r="F198" s="52"/>
      <c r="G198" s="52"/>
      <c r="H198" s="52"/>
      <c r="I198" s="52"/>
      <c r="J198" s="52"/>
      <c r="K198" s="52"/>
      <c r="L198" s="227"/>
      <c r="M198" s="52"/>
      <c r="N198" s="52"/>
      <c r="O198" s="52"/>
      <c r="P198" s="52"/>
      <c r="Q198" s="52"/>
      <c r="R198" s="52"/>
      <c r="S198" s="52"/>
    </row>
    <row r="199" spans="3:19" ht="15.5">
      <c r="C199" s="52"/>
      <c r="D199" s="52"/>
      <c r="E199" s="52"/>
      <c r="F199" s="52"/>
      <c r="G199" s="52"/>
      <c r="H199" s="52"/>
      <c r="I199" s="52"/>
      <c r="J199" s="52"/>
      <c r="K199" s="52"/>
      <c r="L199" s="227"/>
      <c r="M199" s="52"/>
      <c r="N199" s="52"/>
      <c r="O199" s="52"/>
      <c r="P199" s="52"/>
      <c r="Q199" s="52"/>
      <c r="R199" s="52"/>
      <c r="S199" s="52"/>
    </row>
    <row r="200" spans="3:19" ht="15.5">
      <c r="C200" s="52"/>
      <c r="D200" s="52"/>
      <c r="E200" s="52"/>
      <c r="F200" s="52"/>
      <c r="G200" s="52"/>
      <c r="H200" s="52"/>
      <c r="I200" s="52"/>
      <c r="J200" s="52"/>
      <c r="K200" s="52"/>
      <c r="L200" s="227"/>
      <c r="M200" s="52"/>
      <c r="N200" s="52"/>
      <c r="O200" s="52"/>
      <c r="P200" s="52"/>
      <c r="Q200" s="52"/>
      <c r="R200" s="52"/>
      <c r="S200" s="52"/>
    </row>
    <row r="201" spans="3:19" ht="15.5">
      <c r="C201" s="52"/>
      <c r="D201" s="52"/>
      <c r="E201" s="52"/>
      <c r="F201" s="52"/>
      <c r="G201" s="52"/>
      <c r="H201" s="52"/>
      <c r="I201" s="52"/>
      <c r="J201" s="52"/>
      <c r="K201" s="52"/>
      <c r="L201" s="227"/>
      <c r="M201" s="52"/>
      <c r="N201" s="52"/>
      <c r="O201" s="52"/>
      <c r="P201" s="52"/>
      <c r="Q201" s="52"/>
      <c r="R201" s="52"/>
      <c r="S201" s="52"/>
    </row>
    <row r="202" spans="3:19" ht="15.5">
      <c r="C202" s="52"/>
      <c r="D202" s="52"/>
      <c r="E202" s="52"/>
      <c r="F202" s="52"/>
      <c r="G202" s="52"/>
      <c r="H202" s="52"/>
      <c r="I202" s="52"/>
      <c r="J202" s="52"/>
      <c r="K202" s="52"/>
      <c r="L202" s="227"/>
      <c r="M202" s="52"/>
      <c r="N202" s="52"/>
      <c r="O202" s="52"/>
      <c r="P202" s="52"/>
      <c r="Q202" s="52"/>
      <c r="R202" s="52"/>
      <c r="S202" s="52"/>
    </row>
    <row r="203" spans="3:19" ht="15.5">
      <c r="C203" s="52"/>
      <c r="D203" s="52"/>
      <c r="E203" s="52"/>
      <c r="F203" s="52"/>
      <c r="G203" s="52"/>
      <c r="H203" s="52"/>
      <c r="I203" s="52"/>
      <c r="J203" s="52"/>
      <c r="K203" s="52"/>
      <c r="L203" s="227"/>
      <c r="M203" s="52"/>
      <c r="N203" s="52"/>
      <c r="O203" s="52"/>
      <c r="P203" s="52"/>
      <c r="Q203" s="52"/>
      <c r="R203" s="52"/>
      <c r="S203" s="52"/>
    </row>
    <row r="204" spans="3:19" ht="15.5">
      <c r="C204" s="52"/>
      <c r="D204" s="52"/>
      <c r="E204" s="52"/>
      <c r="F204" s="52"/>
      <c r="G204" s="52"/>
      <c r="H204" s="52"/>
      <c r="I204" s="52"/>
      <c r="J204" s="52"/>
      <c r="K204" s="52"/>
      <c r="L204" s="227"/>
      <c r="M204" s="52"/>
      <c r="N204" s="52"/>
      <c r="O204" s="52"/>
      <c r="P204" s="52"/>
      <c r="Q204" s="52"/>
      <c r="R204" s="52"/>
      <c r="S204" s="52"/>
    </row>
    <row r="205" spans="3:19" ht="15.5">
      <c r="C205" s="52"/>
      <c r="D205" s="52"/>
      <c r="E205" s="52"/>
      <c r="F205" s="52"/>
      <c r="G205" s="52"/>
      <c r="H205" s="52"/>
      <c r="I205" s="52"/>
      <c r="J205" s="52"/>
      <c r="K205" s="52"/>
      <c r="L205" s="227"/>
      <c r="M205" s="52"/>
      <c r="N205" s="52"/>
      <c r="O205" s="52"/>
      <c r="P205" s="52"/>
      <c r="Q205" s="52"/>
      <c r="R205" s="52"/>
      <c r="S205" s="52"/>
    </row>
    <row r="206" spans="3:19" ht="15.5">
      <c r="C206" s="52"/>
      <c r="D206" s="52"/>
      <c r="E206" s="52"/>
      <c r="F206" s="52"/>
      <c r="G206" s="52"/>
      <c r="H206" s="52"/>
      <c r="I206" s="52"/>
      <c r="J206" s="52"/>
      <c r="K206" s="52"/>
      <c r="L206" s="227"/>
      <c r="M206" s="52"/>
      <c r="N206" s="52"/>
      <c r="O206" s="52"/>
      <c r="P206" s="52"/>
      <c r="Q206" s="52"/>
      <c r="R206" s="52"/>
      <c r="S206" s="52"/>
    </row>
    <row r="207" spans="3:19" ht="15.5">
      <c r="C207" s="52"/>
      <c r="D207" s="52"/>
      <c r="E207" s="52"/>
      <c r="F207" s="52"/>
      <c r="G207" s="52"/>
      <c r="H207" s="52"/>
      <c r="I207" s="52"/>
      <c r="J207" s="52"/>
      <c r="K207" s="52"/>
      <c r="L207" s="227"/>
      <c r="M207" s="52"/>
      <c r="N207" s="52"/>
      <c r="O207" s="52"/>
      <c r="P207" s="52"/>
      <c r="Q207" s="52"/>
      <c r="R207" s="52"/>
      <c r="S207" s="52"/>
    </row>
    <row r="208" spans="3:19" ht="15.5">
      <c r="C208" s="52"/>
      <c r="D208" s="52"/>
      <c r="E208" s="52"/>
      <c r="F208" s="52"/>
      <c r="G208" s="52"/>
      <c r="H208" s="52"/>
      <c r="I208" s="52"/>
      <c r="J208" s="52"/>
      <c r="K208" s="52"/>
      <c r="L208" s="227"/>
      <c r="M208" s="52"/>
      <c r="N208" s="52"/>
      <c r="O208" s="52"/>
      <c r="P208" s="52"/>
      <c r="Q208" s="52"/>
      <c r="R208" s="52"/>
      <c r="S208" s="52"/>
    </row>
    <row r="209" spans="3:19" ht="15.5">
      <c r="C209" s="52"/>
      <c r="D209" s="52"/>
      <c r="E209" s="52"/>
      <c r="F209" s="52"/>
      <c r="G209" s="52"/>
      <c r="H209" s="52"/>
      <c r="I209" s="52"/>
      <c r="J209" s="52"/>
      <c r="K209" s="52"/>
      <c r="L209" s="227"/>
      <c r="M209" s="52"/>
      <c r="N209" s="52"/>
      <c r="O209" s="52"/>
      <c r="P209" s="52"/>
      <c r="Q209" s="52"/>
      <c r="R209" s="52"/>
      <c r="S209" s="52"/>
    </row>
    <row r="210" spans="3:19" ht="15.5">
      <c r="C210" s="52"/>
      <c r="D210" s="52"/>
      <c r="E210" s="52"/>
      <c r="F210" s="52"/>
      <c r="G210" s="52"/>
      <c r="H210" s="52"/>
      <c r="I210" s="52"/>
      <c r="J210" s="52"/>
      <c r="K210" s="52"/>
      <c r="L210" s="227"/>
      <c r="M210" s="52"/>
      <c r="N210" s="52"/>
      <c r="O210" s="52"/>
      <c r="P210" s="52"/>
      <c r="Q210" s="52"/>
      <c r="R210" s="52"/>
      <c r="S210" s="52"/>
    </row>
    <row r="211" spans="3:19" ht="15.5">
      <c r="C211" s="52"/>
      <c r="D211" s="52"/>
      <c r="E211" s="52"/>
      <c r="F211" s="52"/>
      <c r="G211" s="52"/>
      <c r="H211" s="52"/>
      <c r="I211" s="52"/>
      <c r="J211" s="52"/>
      <c r="K211" s="52"/>
      <c r="L211" s="227"/>
      <c r="M211" s="52"/>
      <c r="N211" s="52"/>
      <c r="O211" s="52"/>
      <c r="P211" s="52"/>
      <c r="Q211" s="52"/>
      <c r="R211" s="52"/>
      <c r="S211" s="52"/>
    </row>
    <row r="212" spans="3:19" ht="15.5">
      <c r="C212" s="52"/>
      <c r="D212" s="52"/>
      <c r="E212" s="52"/>
      <c r="F212" s="52"/>
      <c r="G212" s="52"/>
      <c r="H212" s="52"/>
      <c r="I212" s="52"/>
      <c r="J212" s="52"/>
      <c r="K212" s="52"/>
      <c r="L212" s="227"/>
      <c r="M212" s="52"/>
      <c r="N212" s="52"/>
      <c r="O212" s="52"/>
      <c r="P212" s="52"/>
      <c r="Q212" s="52"/>
      <c r="R212" s="52"/>
      <c r="S212" s="52"/>
    </row>
    <row r="213" spans="3:19" ht="15.5">
      <c r="C213" s="52"/>
      <c r="D213" s="52"/>
      <c r="E213" s="52"/>
      <c r="F213" s="52"/>
      <c r="G213" s="52"/>
      <c r="H213" s="52"/>
      <c r="I213" s="52"/>
      <c r="J213" s="52"/>
      <c r="K213" s="52"/>
      <c r="L213" s="227"/>
      <c r="M213" s="52"/>
      <c r="N213" s="52"/>
      <c r="O213" s="52"/>
      <c r="P213" s="52"/>
      <c r="Q213" s="52"/>
      <c r="R213" s="52"/>
      <c r="S213" s="52"/>
    </row>
    <row r="214" spans="3:19" ht="15.5">
      <c r="C214" s="52"/>
      <c r="D214" s="52"/>
      <c r="E214" s="52"/>
      <c r="F214" s="52"/>
      <c r="G214" s="52"/>
      <c r="H214" s="52"/>
      <c r="I214" s="52"/>
      <c r="J214" s="52"/>
      <c r="K214" s="52"/>
      <c r="L214" s="227"/>
      <c r="M214" s="52"/>
      <c r="N214" s="52"/>
      <c r="O214" s="52"/>
      <c r="P214" s="52"/>
      <c r="Q214" s="52"/>
      <c r="R214" s="52"/>
      <c r="S214" s="52"/>
    </row>
    <row r="215" spans="3:19" ht="15.5">
      <c r="C215" s="52"/>
      <c r="D215" s="52"/>
      <c r="E215" s="52"/>
      <c r="F215" s="52"/>
      <c r="G215" s="52"/>
      <c r="H215" s="52"/>
      <c r="I215" s="52"/>
      <c r="J215" s="52"/>
      <c r="K215" s="52"/>
      <c r="L215" s="227"/>
      <c r="M215" s="52"/>
      <c r="N215" s="52"/>
      <c r="O215" s="52"/>
      <c r="P215" s="52"/>
      <c r="Q215" s="52"/>
      <c r="R215" s="52"/>
      <c r="S215" s="52"/>
    </row>
    <row r="216" spans="3:19" ht="15.5">
      <c r="C216" s="52"/>
      <c r="D216" s="52"/>
      <c r="E216" s="52"/>
      <c r="F216" s="52"/>
      <c r="G216" s="52"/>
      <c r="H216" s="52"/>
      <c r="I216" s="52"/>
      <c r="J216" s="52"/>
      <c r="K216" s="52"/>
      <c r="L216" s="227"/>
      <c r="M216" s="52"/>
      <c r="N216" s="52"/>
      <c r="O216" s="52"/>
      <c r="P216" s="52"/>
      <c r="Q216" s="52"/>
      <c r="R216" s="52"/>
      <c r="S216" s="52"/>
    </row>
    <row r="217" spans="3:19" ht="15.5">
      <c r="C217" s="52"/>
      <c r="D217" s="52"/>
      <c r="E217" s="52"/>
      <c r="F217" s="52"/>
      <c r="G217" s="52"/>
      <c r="H217" s="52"/>
      <c r="I217" s="52"/>
      <c r="J217" s="52"/>
      <c r="K217" s="52"/>
      <c r="L217" s="227"/>
      <c r="M217" s="52"/>
      <c r="N217" s="52"/>
      <c r="O217" s="52"/>
      <c r="P217" s="52"/>
      <c r="Q217" s="52"/>
      <c r="R217" s="52"/>
      <c r="S217" s="52"/>
    </row>
    <row r="218" spans="3:19" ht="15.5">
      <c r="C218" s="52"/>
      <c r="D218" s="52"/>
      <c r="E218" s="52"/>
      <c r="F218" s="52"/>
      <c r="G218" s="52"/>
      <c r="H218" s="52"/>
      <c r="I218" s="52"/>
      <c r="J218" s="52"/>
      <c r="K218" s="52"/>
      <c r="L218" s="227"/>
      <c r="M218" s="52"/>
      <c r="N218" s="52"/>
      <c r="O218" s="52"/>
      <c r="P218" s="52"/>
      <c r="Q218" s="52"/>
      <c r="R218" s="52"/>
      <c r="S218" s="52"/>
    </row>
    <row r="219" spans="3:19" ht="15.5">
      <c r="C219" s="52"/>
      <c r="D219" s="52"/>
      <c r="E219" s="52"/>
      <c r="F219" s="52"/>
      <c r="G219" s="52"/>
      <c r="H219" s="52"/>
      <c r="I219" s="52"/>
      <c r="J219" s="52"/>
      <c r="K219" s="52"/>
      <c r="L219" s="227"/>
      <c r="M219" s="52"/>
      <c r="N219" s="52"/>
      <c r="O219" s="52"/>
      <c r="P219" s="52"/>
      <c r="Q219" s="52"/>
      <c r="R219" s="52"/>
      <c r="S219" s="52"/>
    </row>
    <row r="220" spans="3:19" ht="15.5">
      <c r="C220" s="52"/>
      <c r="D220" s="52"/>
      <c r="E220" s="52"/>
      <c r="F220" s="52"/>
      <c r="G220" s="52"/>
      <c r="H220" s="52"/>
      <c r="I220" s="52"/>
      <c r="J220" s="52"/>
      <c r="K220" s="52"/>
      <c r="L220" s="227"/>
      <c r="M220" s="52"/>
      <c r="N220" s="52"/>
      <c r="O220" s="52"/>
      <c r="P220" s="52"/>
      <c r="Q220" s="52"/>
      <c r="R220" s="52"/>
      <c r="S220" s="52"/>
    </row>
    <row r="221" spans="3:19" ht="15.5">
      <c r="C221" s="52"/>
      <c r="D221" s="52"/>
      <c r="E221" s="52"/>
      <c r="F221" s="52"/>
      <c r="G221" s="52"/>
      <c r="H221" s="52"/>
      <c r="I221" s="52"/>
      <c r="J221" s="52"/>
      <c r="K221" s="52"/>
      <c r="L221" s="227"/>
      <c r="M221" s="52"/>
      <c r="N221" s="52"/>
      <c r="O221" s="52"/>
      <c r="P221" s="52"/>
      <c r="Q221" s="52"/>
      <c r="R221" s="52"/>
      <c r="S221" s="52"/>
    </row>
    <row r="222" spans="3:19" ht="15.5">
      <c r="C222" s="52"/>
      <c r="D222" s="52"/>
      <c r="E222" s="52"/>
      <c r="F222" s="52"/>
      <c r="G222" s="52"/>
      <c r="H222" s="52"/>
      <c r="I222" s="52"/>
      <c r="J222" s="52"/>
      <c r="K222" s="52"/>
      <c r="L222" s="227"/>
      <c r="M222" s="52"/>
      <c r="N222" s="52"/>
      <c r="O222" s="52"/>
      <c r="P222" s="52"/>
      <c r="Q222" s="52"/>
      <c r="R222" s="52"/>
      <c r="S222" s="52"/>
    </row>
    <row r="223" spans="3:19" ht="15.5">
      <c r="C223" s="52"/>
      <c r="D223" s="52"/>
      <c r="E223" s="52"/>
      <c r="F223" s="52"/>
      <c r="G223" s="52"/>
      <c r="H223" s="52"/>
      <c r="I223" s="52"/>
      <c r="J223" s="52"/>
      <c r="K223" s="52"/>
      <c r="L223" s="227"/>
      <c r="M223" s="52"/>
      <c r="N223" s="52"/>
      <c r="O223" s="52"/>
      <c r="P223" s="52"/>
      <c r="Q223" s="52"/>
      <c r="R223" s="52"/>
      <c r="S223" s="52"/>
    </row>
    <row r="224" spans="3:19" ht="15.5">
      <c r="C224" s="52"/>
      <c r="D224" s="52"/>
      <c r="E224" s="52"/>
      <c r="F224" s="52"/>
      <c r="G224" s="52"/>
      <c r="H224" s="52"/>
      <c r="I224" s="52"/>
      <c r="J224" s="52"/>
      <c r="K224" s="52"/>
      <c r="L224" s="227"/>
      <c r="M224" s="52"/>
      <c r="N224" s="52"/>
      <c r="O224" s="52"/>
      <c r="P224" s="52"/>
      <c r="Q224" s="52"/>
      <c r="R224" s="52"/>
      <c r="S224" s="52"/>
    </row>
    <row r="225" spans="3:19" ht="15.5">
      <c r="C225" s="52"/>
      <c r="D225" s="52"/>
      <c r="E225" s="52"/>
      <c r="F225" s="52"/>
      <c r="G225" s="52"/>
      <c r="H225" s="52"/>
      <c r="I225" s="52"/>
      <c r="J225" s="52"/>
      <c r="K225" s="52"/>
      <c r="L225" s="227"/>
      <c r="M225" s="52"/>
      <c r="N225" s="52"/>
      <c r="O225" s="52"/>
      <c r="P225" s="52"/>
      <c r="Q225" s="52"/>
      <c r="R225" s="52"/>
      <c r="S225" s="52"/>
    </row>
    <row r="226" spans="3:19" ht="15.5">
      <c r="C226" s="52"/>
      <c r="D226" s="52"/>
      <c r="E226" s="52"/>
      <c r="F226" s="52"/>
      <c r="G226" s="52"/>
      <c r="H226" s="52"/>
      <c r="I226" s="52"/>
      <c r="J226" s="52"/>
      <c r="K226" s="52"/>
      <c r="L226" s="227"/>
      <c r="M226" s="52"/>
      <c r="N226" s="52"/>
      <c r="O226" s="52"/>
      <c r="P226" s="52"/>
      <c r="Q226" s="52"/>
      <c r="R226" s="52"/>
      <c r="S226" s="52"/>
    </row>
    <row r="227" spans="3:19" ht="15.5">
      <c r="C227" s="52"/>
      <c r="D227" s="52"/>
      <c r="E227" s="52"/>
      <c r="F227" s="52"/>
      <c r="G227" s="52"/>
      <c r="H227" s="52"/>
      <c r="I227" s="52"/>
      <c r="J227" s="52"/>
      <c r="K227" s="52"/>
      <c r="L227" s="227"/>
      <c r="M227" s="52"/>
      <c r="N227" s="52"/>
      <c r="O227" s="52"/>
      <c r="P227" s="52"/>
      <c r="Q227" s="52"/>
      <c r="R227" s="52"/>
      <c r="S227" s="52"/>
    </row>
    <row r="228" spans="3:19" ht="15.5">
      <c r="C228" s="52"/>
      <c r="D228" s="52"/>
      <c r="E228" s="52"/>
      <c r="F228" s="52"/>
      <c r="G228" s="52"/>
      <c r="H228" s="52"/>
      <c r="I228" s="52"/>
      <c r="J228" s="52"/>
      <c r="K228" s="52"/>
      <c r="L228" s="227"/>
      <c r="M228" s="52"/>
      <c r="N228" s="52"/>
      <c r="O228" s="52"/>
      <c r="P228" s="52"/>
      <c r="Q228" s="52"/>
      <c r="R228" s="52"/>
      <c r="S228" s="52"/>
    </row>
    <row r="229" spans="3:19" ht="15.5">
      <c r="C229" s="52"/>
      <c r="D229" s="52"/>
      <c r="E229" s="52"/>
      <c r="F229" s="52"/>
      <c r="G229" s="52"/>
      <c r="H229" s="52"/>
      <c r="I229" s="52"/>
      <c r="J229" s="52"/>
      <c r="K229" s="52"/>
      <c r="L229" s="227"/>
      <c r="M229" s="52"/>
      <c r="N229" s="52"/>
      <c r="O229" s="52"/>
      <c r="P229" s="52"/>
      <c r="Q229" s="52"/>
      <c r="R229" s="52"/>
      <c r="S229" s="52"/>
    </row>
    <row r="230" spans="3:19" ht="15.5">
      <c r="C230" s="52"/>
      <c r="D230" s="52"/>
      <c r="E230" s="52"/>
      <c r="F230" s="52"/>
      <c r="G230" s="52"/>
      <c r="H230" s="52"/>
      <c r="I230" s="52"/>
      <c r="J230" s="52"/>
      <c r="K230" s="52"/>
      <c r="L230" s="227"/>
      <c r="M230" s="52"/>
      <c r="N230" s="52"/>
      <c r="O230" s="52"/>
      <c r="P230" s="52"/>
      <c r="Q230" s="52"/>
      <c r="R230" s="52"/>
      <c r="S230" s="52"/>
    </row>
    <row r="231" spans="3:19" ht="15.5">
      <c r="C231" s="52"/>
      <c r="D231" s="52"/>
      <c r="E231" s="52"/>
      <c r="F231" s="52"/>
      <c r="G231" s="52"/>
      <c r="H231" s="52"/>
      <c r="I231" s="52"/>
      <c r="J231" s="52"/>
      <c r="K231" s="52"/>
      <c r="L231" s="227"/>
      <c r="M231" s="52"/>
      <c r="N231" s="52"/>
      <c r="O231" s="52"/>
      <c r="P231" s="52"/>
      <c r="Q231" s="52"/>
      <c r="R231" s="52"/>
      <c r="S231" s="52"/>
    </row>
    <row r="232" spans="3:19" ht="15.5">
      <c r="C232" s="52"/>
      <c r="D232" s="52"/>
      <c r="E232" s="52"/>
      <c r="F232" s="52"/>
      <c r="G232" s="52"/>
      <c r="H232" s="52"/>
      <c r="I232" s="52"/>
      <c r="J232" s="52"/>
      <c r="K232" s="52"/>
      <c r="L232" s="227"/>
      <c r="M232" s="52"/>
      <c r="N232" s="52"/>
      <c r="O232" s="52"/>
      <c r="P232" s="52"/>
      <c r="Q232" s="52"/>
      <c r="R232" s="52"/>
      <c r="S232" s="52"/>
    </row>
    <row r="233" spans="3:19" ht="15.5">
      <c r="C233" s="52"/>
      <c r="D233" s="52"/>
      <c r="E233" s="52"/>
      <c r="F233" s="52"/>
      <c r="G233" s="52"/>
      <c r="H233" s="52"/>
      <c r="I233" s="52"/>
      <c r="J233" s="52"/>
      <c r="K233" s="52"/>
      <c r="L233" s="227"/>
      <c r="M233" s="52"/>
      <c r="N233" s="52"/>
      <c r="O233" s="52"/>
      <c r="P233" s="52"/>
      <c r="Q233" s="52"/>
      <c r="R233" s="52"/>
      <c r="S233" s="52"/>
    </row>
    <row r="234" spans="3:19" ht="15.5">
      <c r="C234" s="52"/>
      <c r="D234" s="52"/>
      <c r="E234" s="52"/>
      <c r="F234" s="52"/>
      <c r="G234" s="52"/>
      <c r="H234" s="52"/>
      <c r="I234" s="52"/>
      <c r="J234" s="52"/>
      <c r="K234" s="52"/>
      <c r="L234" s="227"/>
      <c r="M234" s="52"/>
      <c r="N234" s="52"/>
      <c r="O234" s="52"/>
      <c r="P234" s="52"/>
      <c r="Q234" s="52"/>
      <c r="R234" s="52"/>
      <c r="S234" s="52"/>
    </row>
    <row r="235" spans="3:19" ht="15.5">
      <c r="C235" s="52"/>
      <c r="D235" s="52"/>
      <c r="E235" s="52"/>
      <c r="F235" s="52"/>
      <c r="G235" s="52"/>
      <c r="H235" s="52"/>
      <c r="I235" s="52"/>
      <c r="J235" s="52"/>
      <c r="K235" s="52"/>
      <c r="L235" s="227"/>
      <c r="M235" s="52"/>
      <c r="N235" s="52"/>
      <c r="O235" s="52"/>
      <c r="P235" s="52"/>
      <c r="Q235" s="52"/>
      <c r="R235" s="52"/>
      <c r="S235" s="52"/>
    </row>
    <row r="236" spans="3:19" ht="15.5">
      <c r="C236" s="52"/>
      <c r="D236" s="52"/>
      <c r="E236" s="52"/>
      <c r="F236" s="52"/>
      <c r="G236" s="52"/>
      <c r="H236" s="52"/>
      <c r="I236" s="52"/>
      <c r="J236" s="52"/>
      <c r="K236" s="52"/>
      <c r="L236" s="227"/>
      <c r="M236" s="52"/>
      <c r="N236" s="52"/>
      <c r="O236" s="52"/>
      <c r="P236" s="52"/>
      <c r="Q236" s="52"/>
      <c r="R236" s="52"/>
      <c r="S236" s="52"/>
    </row>
    <row r="237" spans="3:19" ht="15.5">
      <c r="C237" s="52"/>
      <c r="D237" s="52"/>
      <c r="E237" s="52"/>
      <c r="F237" s="52"/>
      <c r="G237" s="52"/>
      <c r="H237" s="52"/>
      <c r="I237" s="52"/>
      <c r="J237" s="52"/>
      <c r="K237" s="52"/>
      <c r="L237" s="227"/>
      <c r="M237" s="52"/>
      <c r="N237" s="52"/>
      <c r="O237" s="52"/>
      <c r="P237" s="52"/>
      <c r="Q237" s="52"/>
      <c r="R237" s="52"/>
      <c r="S237" s="52"/>
    </row>
    <row r="238" spans="3:19" ht="15.5">
      <c r="C238" s="52"/>
      <c r="D238" s="52"/>
      <c r="E238" s="52"/>
      <c r="F238" s="52"/>
      <c r="G238" s="52"/>
      <c r="H238" s="52"/>
      <c r="I238" s="52"/>
      <c r="J238" s="52"/>
      <c r="K238" s="52"/>
      <c r="L238" s="227"/>
      <c r="M238" s="52"/>
      <c r="N238" s="52"/>
      <c r="O238" s="52"/>
      <c r="P238" s="52"/>
      <c r="Q238" s="52"/>
      <c r="R238" s="52"/>
      <c r="S238" s="52"/>
    </row>
    <row r="239" spans="3:19" ht="15.5">
      <c r="C239" s="52"/>
      <c r="D239" s="52"/>
      <c r="E239" s="52"/>
      <c r="F239" s="52"/>
      <c r="G239" s="52"/>
      <c r="H239" s="52"/>
      <c r="I239" s="52"/>
      <c r="J239" s="52"/>
      <c r="K239" s="52"/>
      <c r="L239" s="227"/>
      <c r="M239" s="52"/>
      <c r="N239" s="52"/>
      <c r="O239" s="52"/>
      <c r="P239" s="52"/>
      <c r="Q239" s="52"/>
      <c r="R239" s="52"/>
      <c r="S239" s="52"/>
    </row>
    <row r="240" spans="3:19" ht="15.5">
      <c r="C240" s="52"/>
      <c r="D240" s="52"/>
      <c r="E240" s="52"/>
      <c r="F240" s="52"/>
      <c r="G240" s="52"/>
      <c r="H240" s="52"/>
      <c r="I240" s="52"/>
      <c r="J240" s="52"/>
      <c r="K240" s="52"/>
      <c r="L240" s="227"/>
      <c r="M240" s="52"/>
      <c r="N240" s="52"/>
      <c r="O240" s="52"/>
      <c r="P240" s="52"/>
      <c r="Q240" s="52"/>
      <c r="R240" s="52"/>
      <c r="S240" s="52"/>
    </row>
    <row r="241" spans="3:19" ht="15.5">
      <c r="C241" s="52"/>
      <c r="D241" s="52"/>
      <c r="E241" s="52"/>
      <c r="F241" s="52"/>
      <c r="G241" s="52"/>
      <c r="H241" s="52"/>
      <c r="I241" s="52"/>
      <c r="J241" s="52"/>
      <c r="K241" s="52"/>
      <c r="L241" s="227"/>
      <c r="M241" s="52"/>
      <c r="N241" s="52"/>
      <c r="O241" s="52"/>
      <c r="P241" s="52"/>
      <c r="Q241" s="52"/>
      <c r="R241" s="52"/>
      <c r="S241" s="52"/>
    </row>
    <row r="242" spans="3:19" ht="15.5">
      <c r="C242" s="52"/>
      <c r="D242" s="52"/>
      <c r="E242" s="52"/>
      <c r="F242" s="52"/>
      <c r="G242" s="52"/>
      <c r="H242" s="52"/>
      <c r="I242" s="52"/>
      <c r="J242" s="52"/>
      <c r="K242" s="52"/>
      <c r="L242" s="227"/>
      <c r="M242" s="52"/>
      <c r="N242" s="52"/>
      <c r="O242" s="52"/>
      <c r="P242" s="52"/>
      <c r="Q242" s="52"/>
      <c r="R242" s="52"/>
      <c r="S242" s="52"/>
    </row>
    <row r="243" spans="3:19" ht="15.5">
      <c r="C243" s="52"/>
      <c r="D243" s="52"/>
      <c r="E243" s="52"/>
      <c r="F243" s="52"/>
      <c r="G243" s="52"/>
      <c r="H243" s="52"/>
      <c r="I243" s="52"/>
      <c r="J243" s="52"/>
      <c r="K243" s="52"/>
      <c r="L243" s="227"/>
      <c r="M243" s="52"/>
      <c r="N243" s="52"/>
      <c r="O243" s="52"/>
      <c r="P243" s="52"/>
      <c r="Q243" s="52"/>
      <c r="R243" s="52"/>
      <c r="S243" s="52"/>
    </row>
    <row r="244" spans="3:19" ht="15.5">
      <c r="C244" s="52"/>
      <c r="D244" s="52"/>
      <c r="E244" s="52"/>
      <c r="F244" s="52"/>
      <c r="G244" s="52"/>
      <c r="H244" s="52"/>
      <c r="I244" s="52"/>
      <c r="J244" s="52"/>
      <c r="K244" s="52"/>
      <c r="L244" s="227"/>
      <c r="M244" s="52"/>
      <c r="N244" s="52"/>
      <c r="O244" s="52"/>
      <c r="P244" s="52"/>
      <c r="Q244" s="52"/>
      <c r="R244" s="52"/>
      <c r="S244" s="52"/>
    </row>
    <row r="245" spans="3:19" ht="15.5">
      <c r="C245" s="52"/>
      <c r="D245" s="52"/>
      <c r="E245" s="52"/>
      <c r="F245" s="52"/>
      <c r="G245" s="52"/>
      <c r="H245" s="52"/>
      <c r="I245" s="52"/>
      <c r="J245" s="52"/>
      <c r="K245" s="52"/>
      <c r="L245" s="227"/>
      <c r="M245" s="52"/>
      <c r="N245" s="52"/>
      <c r="O245" s="52"/>
      <c r="P245" s="52"/>
      <c r="Q245" s="52"/>
      <c r="R245" s="52"/>
      <c r="S245" s="52"/>
    </row>
    <row r="246" spans="3:19" ht="15.5">
      <c r="C246" s="52"/>
      <c r="D246" s="52"/>
      <c r="E246" s="52"/>
      <c r="F246" s="52"/>
      <c r="G246" s="52"/>
      <c r="H246" s="52"/>
      <c r="I246" s="52"/>
      <c r="J246" s="52"/>
      <c r="K246" s="52"/>
      <c r="L246" s="227"/>
      <c r="M246" s="52"/>
      <c r="N246" s="52"/>
      <c r="O246" s="52"/>
      <c r="P246" s="52"/>
      <c r="Q246" s="52"/>
      <c r="R246" s="52"/>
      <c r="S246" s="52"/>
    </row>
    <row r="247" spans="3:19" ht="15.5">
      <c r="C247" s="52"/>
      <c r="D247" s="52"/>
      <c r="E247" s="52"/>
      <c r="F247" s="52"/>
      <c r="G247" s="52"/>
      <c r="H247" s="52"/>
      <c r="I247" s="52"/>
      <c r="J247" s="52"/>
      <c r="K247" s="52"/>
      <c r="L247" s="227"/>
      <c r="M247" s="52"/>
      <c r="N247" s="52"/>
      <c r="O247" s="52"/>
      <c r="P247" s="52"/>
      <c r="Q247" s="52"/>
      <c r="R247" s="52"/>
      <c r="S247" s="52"/>
    </row>
    <row r="248" spans="3:19" ht="15.5">
      <c r="C248" s="52"/>
      <c r="D248" s="52"/>
      <c r="E248" s="52"/>
      <c r="F248" s="52"/>
      <c r="G248" s="52"/>
      <c r="H248" s="52"/>
      <c r="I248" s="52"/>
      <c r="J248" s="52"/>
      <c r="K248" s="52"/>
      <c r="L248" s="227"/>
      <c r="M248" s="52"/>
      <c r="N248" s="52"/>
      <c r="O248" s="52"/>
      <c r="P248" s="52"/>
      <c r="Q248" s="52"/>
      <c r="R248" s="52"/>
      <c r="S248" s="52"/>
    </row>
    <row r="249" spans="3:19" ht="15.5">
      <c r="C249" s="52"/>
      <c r="D249" s="52"/>
      <c r="E249" s="52"/>
      <c r="F249" s="52"/>
      <c r="G249" s="52"/>
      <c r="H249" s="52"/>
      <c r="I249" s="52"/>
      <c r="J249" s="52"/>
      <c r="K249" s="52"/>
      <c r="L249" s="227"/>
      <c r="M249" s="52"/>
      <c r="N249" s="52"/>
      <c r="O249" s="52"/>
      <c r="P249" s="52"/>
      <c r="Q249" s="52"/>
      <c r="R249" s="52"/>
      <c r="S249" s="52"/>
    </row>
    <row r="250" spans="3:19" ht="15.5">
      <c r="C250" s="52"/>
      <c r="D250" s="52"/>
      <c r="E250" s="52"/>
      <c r="F250" s="52"/>
      <c r="G250" s="52"/>
      <c r="H250" s="52"/>
      <c r="I250" s="52"/>
      <c r="J250" s="52"/>
      <c r="K250" s="52"/>
      <c r="L250" s="227"/>
      <c r="M250" s="52"/>
      <c r="N250" s="52"/>
      <c r="O250" s="52"/>
      <c r="P250" s="52"/>
      <c r="Q250" s="52"/>
      <c r="R250" s="52"/>
      <c r="S250" s="52"/>
    </row>
    <row r="251" spans="3:19" ht="15.5">
      <c r="C251" s="52"/>
      <c r="D251" s="52"/>
      <c r="E251" s="52"/>
      <c r="F251" s="52"/>
      <c r="G251" s="52"/>
      <c r="H251" s="52"/>
      <c r="I251" s="52"/>
      <c r="J251" s="52"/>
      <c r="K251" s="52"/>
      <c r="L251" s="227"/>
      <c r="M251" s="52"/>
      <c r="N251" s="52"/>
      <c r="O251" s="52"/>
      <c r="P251" s="52"/>
      <c r="Q251" s="52"/>
      <c r="R251" s="52"/>
      <c r="S251" s="52"/>
    </row>
    <row r="252" spans="3:19" ht="15.5">
      <c r="C252" s="52"/>
      <c r="D252" s="52"/>
      <c r="E252" s="52"/>
      <c r="F252" s="52"/>
      <c r="G252" s="52"/>
      <c r="H252" s="52"/>
      <c r="I252" s="52"/>
      <c r="J252" s="52"/>
      <c r="K252" s="52"/>
      <c r="L252" s="227"/>
      <c r="M252" s="52"/>
      <c r="N252" s="52"/>
      <c r="O252" s="52"/>
      <c r="P252" s="52"/>
      <c r="Q252" s="52"/>
      <c r="R252" s="52"/>
      <c r="S252" s="52"/>
    </row>
    <row r="253" spans="3:19" ht="15.5">
      <c r="C253" s="52"/>
      <c r="D253" s="52"/>
      <c r="E253" s="52"/>
      <c r="F253" s="52"/>
      <c r="G253" s="52"/>
      <c r="H253" s="52"/>
      <c r="I253" s="52"/>
      <c r="J253" s="52"/>
      <c r="K253" s="52"/>
      <c r="L253" s="227"/>
      <c r="M253" s="52"/>
      <c r="N253" s="52"/>
      <c r="O253" s="52"/>
      <c r="P253" s="52"/>
      <c r="Q253" s="52"/>
      <c r="R253" s="52"/>
      <c r="S253" s="52"/>
    </row>
    <row r="254" spans="3:19" ht="15.5">
      <c r="C254" s="52"/>
      <c r="D254" s="52"/>
      <c r="E254" s="52"/>
      <c r="F254" s="52"/>
      <c r="G254" s="52"/>
      <c r="H254" s="52"/>
      <c r="I254" s="52"/>
      <c r="J254" s="52"/>
      <c r="K254" s="52"/>
      <c r="L254" s="227"/>
      <c r="M254" s="52"/>
      <c r="N254" s="52"/>
      <c r="O254" s="52"/>
      <c r="P254" s="52"/>
      <c r="Q254" s="52"/>
      <c r="R254" s="52"/>
      <c r="S254" s="52"/>
    </row>
    <row r="255" spans="3:19" ht="15.5">
      <c r="C255" s="52"/>
      <c r="D255" s="52"/>
      <c r="E255" s="52"/>
      <c r="F255" s="52"/>
      <c r="G255" s="52"/>
      <c r="H255" s="52"/>
      <c r="I255" s="52"/>
      <c r="J255" s="52"/>
      <c r="K255" s="52"/>
      <c r="L255" s="227"/>
      <c r="M255" s="52"/>
      <c r="N255" s="52"/>
      <c r="O255" s="52"/>
      <c r="P255" s="52"/>
      <c r="Q255" s="52"/>
      <c r="R255" s="52"/>
      <c r="S255" s="52"/>
    </row>
    <row r="256" spans="3:19" ht="15.5">
      <c r="C256" s="52"/>
      <c r="D256" s="52"/>
      <c r="E256" s="52"/>
      <c r="F256" s="52"/>
      <c r="G256" s="52"/>
      <c r="H256" s="52"/>
      <c r="I256" s="52"/>
      <c r="J256" s="52"/>
      <c r="K256" s="52"/>
      <c r="L256" s="227"/>
      <c r="M256" s="52"/>
      <c r="N256" s="52"/>
      <c r="O256" s="52"/>
      <c r="P256" s="52"/>
      <c r="Q256" s="52"/>
      <c r="R256" s="52"/>
      <c r="S256" s="52"/>
    </row>
    <row r="257" spans="3:19" ht="15.5">
      <c r="C257" s="52"/>
      <c r="D257" s="52"/>
      <c r="E257" s="52"/>
      <c r="F257" s="52"/>
      <c r="G257" s="52"/>
      <c r="H257" s="52"/>
      <c r="I257" s="52"/>
      <c r="J257" s="52"/>
      <c r="K257" s="52"/>
      <c r="L257" s="227"/>
      <c r="M257" s="52"/>
      <c r="N257" s="52"/>
      <c r="O257" s="52"/>
      <c r="P257" s="52"/>
      <c r="Q257" s="52"/>
      <c r="R257" s="52"/>
      <c r="S257" s="52"/>
    </row>
    <row r="258" spans="3:19" ht="15.5">
      <c r="C258" s="52"/>
      <c r="D258" s="52"/>
      <c r="E258" s="52"/>
      <c r="F258" s="52"/>
      <c r="G258" s="52"/>
      <c r="H258" s="52"/>
      <c r="I258" s="52"/>
      <c r="J258" s="52"/>
      <c r="K258" s="52"/>
      <c r="L258" s="227"/>
      <c r="M258" s="52"/>
      <c r="N258" s="52"/>
      <c r="O258" s="52"/>
      <c r="P258" s="52"/>
      <c r="Q258" s="52"/>
      <c r="R258" s="52"/>
      <c r="S258" s="52"/>
    </row>
    <row r="259" spans="3:19" ht="15.5">
      <c r="C259" s="52"/>
      <c r="D259" s="52"/>
      <c r="E259" s="52"/>
      <c r="F259" s="52"/>
      <c r="G259" s="52"/>
      <c r="H259" s="52"/>
      <c r="I259" s="52"/>
      <c r="J259" s="52"/>
      <c r="K259" s="52"/>
      <c r="L259" s="227"/>
      <c r="M259" s="52"/>
      <c r="N259" s="52"/>
      <c r="O259" s="52"/>
      <c r="P259" s="52"/>
      <c r="Q259" s="52"/>
      <c r="R259" s="52"/>
      <c r="S259" s="52"/>
    </row>
    <row r="260" spans="3:19" ht="15.5">
      <c r="C260" s="52"/>
      <c r="D260" s="52"/>
      <c r="E260" s="52"/>
      <c r="F260" s="52"/>
      <c r="G260" s="52"/>
      <c r="H260" s="52"/>
      <c r="I260" s="52"/>
      <c r="J260" s="52"/>
      <c r="K260" s="52"/>
      <c r="L260" s="227"/>
      <c r="M260" s="52"/>
      <c r="N260" s="52"/>
      <c r="O260" s="52"/>
      <c r="P260" s="52"/>
      <c r="Q260" s="52"/>
      <c r="R260" s="52"/>
      <c r="S260" s="52"/>
    </row>
    <row r="261" spans="3:19" ht="15.5">
      <c r="C261" s="52"/>
      <c r="D261" s="52"/>
      <c r="E261" s="52"/>
      <c r="F261" s="52"/>
      <c r="G261" s="52"/>
      <c r="H261" s="52"/>
      <c r="I261" s="52"/>
      <c r="J261" s="52"/>
      <c r="K261" s="52"/>
      <c r="L261" s="227"/>
      <c r="M261" s="52"/>
      <c r="N261" s="52"/>
      <c r="O261" s="52"/>
      <c r="P261" s="52"/>
      <c r="Q261" s="52"/>
      <c r="R261" s="52"/>
      <c r="S261" s="52"/>
    </row>
    <row r="262" spans="3:19" ht="15.5">
      <c r="C262" s="52"/>
      <c r="D262" s="52"/>
      <c r="E262" s="52"/>
      <c r="F262" s="52"/>
      <c r="G262" s="52"/>
      <c r="H262" s="52"/>
      <c r="I262" s="52"/>
      <c r="J262" s="52"/>
      <c r="K262" s="52"/>
      <c r="L262" s="227"/>
      <c r="M262" s="52"/>
      <c r="N262" s="52"/>
      <c r="O262" s="52"/>
      <c r="P262" s="52"/>
      <c r="Q262" s="52"/>
      <c r="R262" s="52"/>
      <c r="S262" s="52"/>
    </row>
    <row r="263" spans="3:19" ht="15.5">
      <c r="C263" s="52"/>
      <c r="D263" s="52"/>
      <c r="E263" s="52"/>
      <c r="F263" s="52"/>
      <c r="G263" s="52"/>
      <c r="H263" s="52"/>
      <c r="I263" s="52"/>
      <c r="J263" s="52"/>
      <c r="K263" s="52"/>
      <c r="L263" s="227"/>
      <c r="M263" s="52"/>
      <c r="N263" s="52"/>
      <c r="O263" s="52"/>
      <c r="P263" s="52"/>
      <c r="Q263" s="52"/>
      <c r="R263" s="52"/>
      <c r="S263" s="52"/>
    </row>
    <row r="264" spans="3:19" ht="15.5">
      <c r="C264" s="52"/>
      <c r="D264" s="52"/>
      <c r="E264" s="52"/>
      <c r="F264" s="52"/>
      <c r="G264" s="52"/>
      <c r="H264" s="52"/>
      <c r="I264" s="52"/>
      <c r="J264" s="52"/>
      <c r="K264" s="52"/>
      <c r="L264" s="227"/>
      <c r="M264" s="52"/>
      <c r="N264" s="52"/>
      <c r="O264" s="52"/>
      <c r="P264" s="52"/>
      <c r="Q264" s="52"/>
      <c r="R264" s="52"/>
      <c r="S264" s="52"/>
    </row>
    <row r="265" spans="3:19" ht="15.5">
      <c r="C265" s="52"/>
      <c r="D265" s="52"/>
      <c r="E265" s="52"/>
      <c r="F265" s="52"/>
      <c r="G265" s="52"/>
      <c r="H265" s="52"/>
      <c r="I265" s="52"/>
      <c r="J265" s="52"/>
      <c r="K265" s="52"/>
      <c r="L265" s="227"/>
      <c r="M265" s="52"/>
      <c r="N265" s="52"/>
      <c r="O265" s="52"/>
      <c r="P265" s="52"/>
      <c r="Q265" s="52"/>
      <c r="R265" s="52"/>
      <c r="S265" s="52"/>
    </row>
    <row r="266" spans="3:19" ht="15.5">
      <c r="C266" s="52"/>
      <c r="D266" s="52"/>
      <c r="E266" s="52"/>
      <c r="F266" s="52"/>
      <c r="G266" s="52"/>
      <c r="H266" s="52"/>
      <c r="I266" s="52"/>
      <c r="J266" s="52"/>
      <c r="K266" s="52"/>
      <c r="L266" s="227"/>
      <c r="M266" s="52"/>
      <c r="N266" s="52"/>
      <c r="O266" s="52"/>
      <c r="P266" s="52"/>
      <c r="Q266" s="52"/>
      <c r="R266" s="52"/>
      <c r="S266" s="52"/>
    </row>
    <row r="267" spans="3:19" ht="15.5">
      <c r="C267" s="52"/>
      <c r="D267" s="52"/>
      <c r="E267" s="52"/>
      <c r="F267" s="52"/>
      <c r="G267" s="52"/>
      <c r="H267" s="52"/>
      <c r="I267" s="52"/>
      <c r="J267" s="52"/>
      <c r="K267" s="52"/>
      <c r="L267" s="227"/>
      <c r="M267" s="52"/>
      <c r="N267" s="52"/>
      <c r="O267" s="52"/>
      <c r="P267" s="52"/>
      <c r="Q267" s="52"/>
      <c r="R267" s="52"/>
      <c r="S267" s="52"/>
    </row>
    <row r="268" spans="3:19" ht="15.5">
      <c r="C268" s="52"/>
      <c r="D268" s="52"/>
      <c r="E268" s="52"/>
      <c r="F268" s="52"/>
      <c r="G268" s="52"/>
      <c r="H268" s="52"/>
      <c r="I268" s="52"/>
      <c r="J268" s="52"/>
      <c r="K268" s="52"/>
      <c r="L268" s="227"/>
      <c r="M268" s="52"/>
      <c r="N268" s="52"/>
      <c r="O268" s="52"/>
      <c r="P268" s="52"/>
      <c r="Q268" s="52"/>
      <c r="R268" s="52"/>
      <c r="S268" s="52"/>
    </row>
    <row r="269" spans="3:19" ht="15.5">
      <c r="C269" s="52"/>
      <c r="D269" s="52"/>
      <c r="E269" s="52"/>
      <c r="F269" s="52"/>
      <c r="G269" s="52"/>
      <c r="H269" s="52"/>
      <c r="I269" s="52"/>
      <c r="J269" s="52"/>
      <c r="K269" s="52"/>
      <c r="L269" s="227"/>
      <c r="M269" s="52"/>
      <c r="N269" s="52"/>
      <c r="O269" s="52"/>
      <c r="P269" s="52"/>
      <c r="Q269" s="52"/>
      <c r="R269" s="52"/>
      <c r="S269" s="52"/>
    </row>
    <row r="270" spans="3:19" ht="15.5">
      <c r="C270" s="52"/>
      <c r="D270" s="52"/>
      <c r="E270" s="52"/>
      <c r="F270" s="52"/>
      <c r="G270" s="52"/>
      <c r="H270" s="52"/>
      <c r="I270" s="52"/>
      <c r="J270" s="52"/>
      <c r="K270" s="52"/>
      <c r="L270" s="227"/>
      <c r="M270" s="52"/>
      <c r="N270" s="52"/>
      <c r="O270" s="52"/>
      <c r="P270" s="52"/>
      <c r="Q270" s="52"/>
      <c r="R270" s="52"/>
      <c r="S270" s="52"/>
    </row>
    <row r="271" spans="3:19" ht="15.5">
      <c r="C271" s="52"/>
      <c r="D271" s="52"/>
      <c r="E271" s="52"/>
      <c r="F271" s="52"/>
      <c r="G271" s="52"/>
      <c r="H271" s="52"/>
      <c r="I271" s="52"/>
      <c r="J271" s="52"/>
      <c r="K271" s="52"/>
      <c r="L271" s="227"/>
      <c r="M271" s="52"/>
      <c r="N271" s="52"/>
      <c r="O271" s="52"/>
      <c r="P271" s="52"/>
      <c r="Q271" s="52"/>
      <c r="R271" s="52"/>
      <c r="S271" s="52"/>
    </row>
    <row r="272" spans="3:19" ht="15.5">
      <c r="C272" s="52"/>
      <c r="D272" s="52"/>
      <c r="E272" s="52"/>
      <c r="F272" s="52"/>
      <c r="G272" s="52"/>
      <c r="H272" s="52"/>
      <c r="I272" s="52"/>
      <c r="J272" s="52"/>
      <c r="K272" s="52"/>
      <c r="L272" s="227"/>
      <c r="M272" s="52"/>
      <c r="N272" s="52"/>
      <c r="O272" s="52"/>
      <c r="P272" s="52"/>
      <c r="Q272" s="52"/>
      <c r="R272" s="52"/>
      <c r="S272" s="52"/>
    </row>
    <row r="273" spans="3:19" ht="15.5">
      <c r="C273" s="52"/>
      <c r="D273" s="52"/>
      <c r="E273" s="52"/>
      <c r="F273" s="52"/>
      <c r="G273" s="52"/>
      <c r="H273" s="52"/>
      <c r="I273" s="52"/>
      <c r="J273" s="52"/>
      <c r="K273" s="52"/>
      <c r="L273" s="227"/>
      <c r="M273" s="52"/>
      <c r="N273" s="52"/>
      <c r="O273" s="52"/>
      <c r="P273" s="52"/>
      <c r="Q273" s="52"/>
      <c r="R273" s="52"/>
      <c r="S273" s="52"/>
    </row>
    <row r="274" spans="3:19" ht="15.5">
      <c r="C274" s="52"/>
      <c r="D274" s="52"/>
      <c r="E274" s="52"/>
      <c r="F274" s="52"/>
      <c r="G274" s="52"/>
      <c r="H274" s="52"/>
      <c r="I274" s="52"/>
      <c r="J274" s="52"/>
      <c r="K274" s="52"/>
      <c r="L274" s="227"/>
      <c r="M274" s="52"/>
      <c r="N274" s="52"/>
      <c r="O274" s="52"/>
      <c r="P274" s="52"/>
      <c r="Q274" s="52"/>
      <c r="R274" s="52"/>
      <c r="S274" s="52"/>
    </row>
    <row r="275" spans="3:19" ht="15.5">
      <c r="C275" s="52"/>
      <c r="D275" s="52"/>
      <c r="E275" s="52"/>
      <c r="F275" s="52"/>
      <c r="G275" s="52"/>
      <c r="H275" s="52"/>
      <c r="I275" s="52"/>
      <c r="J275" s="52"/>
      <c r="K275" s="52"/>
      <c r="L275" s="227"/>
      <c r="M275" s="52"/>
      <c r="N275" s="52"/>
      <c r="O275" s="52"/>
      <c r="P275" s="52"/>
      <c r="Q275" s="52"/>
      <c r="R275" s="52"/>
      <c r="S275" s="52"/>
    </row>
    <row r="276" spans="3:19" ht="15.5">
      <c r="C276" s="52"/>
      <c r="D276" s="52"/>
      <c r="E276" s="52"/>
      <c r="F276" s="52"/>
      <c r="G276" s="52"/>
      <c r="H276" s="52"/>
      <c r="I276" s="52"/>
      <c r="J276" s="52"/>
      <c r="K276" s="52"/>
      <c r="L276" s="227"/>
      <c r="M276" s="52"/>
      <c r="N276" s="52"/>
      <c r="O276" s="52"/>
      <c r="P276" s="52"/>
      <c r="Q276" s="52"/>
      <c r="R276" s="52"/>
      <c r="S276" s="52"/>
    </row>
    <row r="277" spans="3:19" ht="15.5">
      <c r="C277" s="52"/>
      <c r="D277" s="52"/>
      <c r="E277" s="52"/>
      <c r="F277" s="52"/>
      <c r="G277" s="52"/>
      <c r="H277" s="52"/>
      <c r="I277" s="52"/>
      <c r="J277" s="52"/>
      <c r="K277" s="52"/>
      <c r="L277" s="227"/>
      <c r="M277" s="52"/>
      <c r="N277" s="52"/>
      <c r="O277" s="52"/>
      <c r="P277" s="52"/>
      <c r="Q277" s="52"/>
      <c r="R277" s="52"/>
      <c r="S277" s="52"/>
    </row>
    <row r="278" spans="3:19" ht="15.5">
      <c r="C278" s="52"/>
      <c r="D278" s="52"/>
      <c r="E278" s="52"/>
      <c r="F278" s="52"/>
      <c r="G278" s="52"/>
      <c r="H278" s="52"/>
      <c r="I278" s="52"/>
      <c r="J278" s="52"/>
      <c r="K278" s="52"/>
      <c r="L278" s="227"/>
      <c r="M278" s="52"/>
      <c r="N278" s="52"/>
      <c r="O278" s="52"/>
      <c r="P278" s="52"/>
      <c r="Q278" s="52"/>
      <c r="R278" s="52"/>
      <c r="S278" s="52"/>
    </row>
    <row r="279" spans="3:19" ht="15.5">
      <c r="C279" s="52"/>
      <c r="D279" s="52"/>
      <c r="E279" s="52"/>
      <c r="F279" s="52"/>
      <c r="G279" s="52"/>
      <c r="H279" s="52"/>
      <c r="I279" s="52"/>
      <c r="J279" s="52"/>
      <c r="K279" s="52"/>
      <c r="L279" s="227"/>
      <c r="M279" s="52"/>
      <c r="N279" s="52"/>
      <c r="O279" s="52"/>
      <c r="P279" s="52"/>
      <c r="Q279" s="52"/>
      <c r="R279" s="52"/>
      <c r="S279" s="52"/>
    </row>
    <row r="280" spans="3:19" ht="15.5">
      <c r="C280" s="52"/>
      <c r="D280" s="52"/>
      <c r="E280" s="52"/>
      <c r="F280" s="52"/>
      <c r="G280" s="52"/>
      <c r="H280" s="52"/>
      <c r="I280" s="52"/>
      <c r="J280" s="52"/>
      <c r="K280" s="52"/>
      <c r="L280" s="227"/>
      <c r="M280" s="52"/>
      <c r="N280" s="52"/>
      <c r="O280" s="52"/>
      <c r="P280" s="52"/>
      <c r="Q280" s="52"/>
      <c r="R280" s="52"/>
      <c r="S280" s="52"/>
    </row>
    <row r="281" spans="3:19" ht="15.5">
      <c r="C281" s="52"/>
      <c r="D281" s="52"/>
      <c r="E281" s="52"/>
      <c r="F281" s="52"/>
      <c r="G281" s="52"/>
      <c r="H281" s="52"/>
      <c r="I281" s="52"/>
      <c r="J281" s="52"/>
      <c r="K281" s="52"/>
      <c r="L281" s="227"/>
      <c r="M281" s="52"/>
      <c r="N281" s="52"/>
      <c r="O281" s="52"/>
      <c r="P281" s="52"/>
      <c r="Q281" s="52"/>
      <c r="R281" s="52"/>
      <c r="S281" s="52"/>
    </row>
    <row r="282" spans="3:19" ht="15.5">
      <c r="C282" s="52"/>
      <c r="D282" s="52"/>
      <c r="E282" s="52"/>
      <c r="F282" s="52"/>
      <c r="G282" s="52"/>
      <c r="H282" s="52"/>
      <c r="I282" s="52"/>
      <c r="J282" s="52"/>
      <c r="K282" s="52"/>
      <c r="L282" s="227"/>
      <c r="M282" s="52"/>
      <c r="N282" s="52"/>
      <c r="O282" s="52"/>
      <c r="P282" s="52"/>
      <c r="Q282" s="52"/>
      <c r="R282" s="52"/>
      <c r="S282" s="52"/>
    </row>
    <row r="283" spans="3:19" ht="15.5">
      <c r="C283" s="52"/>
      <c r="D283" s="52"/>
      <c r="E283" s="52"/>
      <c r="F283" s="52"/>
      <c r="G283" s="52"/>
      <c r="H283" s="52"/>
      <c r="I283" s="52"/>
      <c r="J283" s="52"/>
      <c r="K283" s="52"/>
      <c r="L283" s="227"/>
      <c r="M283" s="52"/>
      <c r="N283" s="52"/>
      <c r="O283" s="52"/>
      <c r="P283" s="52"/>
      <c r="Q283" s="52"/>
      <c r="R283" s="52"/>
      <c r="S283" s="52"/>
    </row>
    <row r="284" spans="3:19" ht="15.5">
      <c r="C284" s="52"/>
      <c r="D284" s="52"/>
      <c r="E284" s="52"/>
      <c r="F284" s="52"/>
      <c r="G284" s="52"/>
      <c r="H284" s="52"/>
      <c r="I284" s="52"/>
      <c r="J284" s="52"/>
      <c r="K284" s="52"/>
      <c r="L284" s="227"/>
      <c r="M284" s="52"/>
      <c r="N284" s="52"/>
      <c r="O284" s="52"/>
      <c r="P284" s="52"/>
      <c r="Q284" s="52"/>
      <c r="R284" s="52"/>
      <c r="S284" s="52"/>
    </row>
    <row r="285" spans="3:19" ht="15.5">
      <c r="C285" s="52"/>
      <c r="D285" s="52"/>
      <c r="E285" s="52"/>
      <c r="F285" s="52"/>
      <c r="G285" s="52"/>
      <c r="H285" s="52"/>
      <c r="I285" s="52"/>
      <c r="J285" s="52"/>
      <c r="K285" s="52"/>
      <c r="L285" s="227"/>
      <c r="M285" s="52"/>
      <c r="N285" s="52"/>
      <c r="O285" s="52"/>
      <c r="P285" s="52"/>
      <c r="Q285" s="52"/>
      <c r="R285" s="52"/>
      <c r="S285" s="52"/>
    </row>
    <row r="286" spans="3:19" ht="15.5">
      <c r="C286" s="52"/>
      <c r="D286" s="52"/>
      <c r="E286" s="52"/>
      <c r="F286" s="52"/>
      <c r="G286" s="52"/>
      <c r="H286" s="52"/>
      <c r="I286" s="52"/>
      <c r="J286" s="52"/>
      <c r="K286" s="52"/>
      <c r="L286" s="227"/>
      <c r="M286" s="52"/>
      <c r="N286" s="52"/>
      <c r="O286" s="52"/>
      <c r="P286" s="52"/>
      <c r="Q286" s="52"/>
      <c r="R286" s="52"/>
      <c r="S286" s="52"/>
    </row>
    <row r="287" spans="3:19" ht="15.5">
      <c r="C287" s="52"/>
      <c r="D287" s="52"/>
      <c r="E287" s="52"/>
      <c r="F287" s="52"/>
      <c r="G287" s="52"/>
      <c r="H287" s="52"/>
      <c r="I287" s="52"/>
      <c r="J287" s="52"/>
      <c r="K287" s="52"/>
      <c r="L287" s="227"/>
      <c r="M287" s="52"/>
      <c r="N287" s="52"/>
      <c r="O287" s="52"/>
      <c r="P287" s="52"/>
      <c r="Q287" s="52"/>
      <c r="R287" s="52"/>
      <c r="S287" s="52"/>
    </row>
    <row r="288" spans="3:15" ht="15.5">
      <c r="C288" s="52"/>
      <c r="D288" s="52"/>
      <c r="E288" s="52"/>
      <c r="F288" s="52"/>
      <c r="G288" s="52"/>
      <c r="H288" s="52"/>
      <c r="I288" s="52"/>
      <c r="J288" s="52"/>
      <c r="K288" s="52"/>
      <c r="L288" s="227"/>
      <c r="M288" s="52"/>
      <c r="N288" s="52"/>
      <c r="O288" s="52"/>
    </row>
    <row r="289" spans="3:15" ht="15.5">
      <c r="C289" s="52"/>
      <c r="D289" s="52"/>
      <c r="E289" s="52"/>
      <c r="F289" s="52"/>
      <c r="G289" s="52"/>
      <c r="H289" s="52"/>
      <c r="I289" s="52"/>
      <c r="J289" s="52"/>
      <c r="K289" s="52"/>
      <c r="L289" s="227"/>
      <c r="M289" s="52"/>
      <c r="N289" s="52"/>
      <c r="O289" s="52"/>
    </row>
    <row r="290" spans="3:15" ht="15.5">
      <c r="C290" s="52"/>
      <c r="D290" s="52"/>
      <c r="E290" s="52"/>
      <c r="F290" s="52"/>
      <c r="G290" s="52"/>
      <c r="H290" s="52"/>
      <c r="I290" s="52"/>
      <c r="J290" s="52"/>
      <c r="K290" s="52"/>
      <c r="L290" s="227"/>
      <c r="M290" s="52"/>
      <c r="N290" s="52"/>
      <c r="O290" s="52"/>
    </row>
    <row r="291" spans="3:15" ht="15.5">
      <c r="C291" s="52"/>
      <c r="D291" s="52"/>
      <c r="E291" s="52"/>
      <c r="F291" s="52"/>
      <c r="G291" s="52"/>
      <c r="H291" s="52"/>
      <c r="I291" s="52"/>
      <c r="J291" s="52"/>
      <c r="K291" s="52"/>
      <c r="L291" s="227"/>
      <c r="M291" s="52"/>
      <c r="N291" s="52"/>
      <c r="O291" s="52"/>
    </row>
    <row r="292" spans="3:15" ht="15.5">
      <c r="C292" s="52"/>
      <c r="D292" s="52"/>
      <c r="E292" s="52"/>
      <c r="F292" s="52"/>
      <c r="G292" s="52"/>
      <c r="H292" s="52"/>
      <c r="I292" s="52"/>
      <c r="J292" s="52"/>
      <c r="K292" s="52"/>
      <c r="L292" s="227"/>
      <c r="M292" s="52"/>
      <c r="N292" s="52"/>
      <c r="O292" s="52"/>
    </row>
    <row r="293" spans="3:15" ht="15.5">
      <c r="C293" s="52"/>
      <c r="D293" s="52"/>
      <c r="E293" s="52"/>
      <c r="F293" s="52"/>
      <c r="G293" s="52"/>
      <c r="H293" s="52"/>
      <c r="I293" s="52"/>
      <c r="J293" s="52"/>
      <c r="K293" s="52"/>
      <c r="L293" s="227"/>
      <c r="M293" s="52"/>
      <c r="N293" s="52"/>
      <c r="O293" s="52"/>
    </row>
    <row r="294" spans="3:15" ht="15.5">
      <c r="C294" s="52"/>
      <c r="D294" s="52"/>
      <c r="E294" s="52"/>
      <c r="F294" s="52"/>
      <c r="G294" s="52"/>
      <c r="H294" s="52"/>
      <c r="I294" s="52"/>
      <c r="J294" s="52"/>
      <c r="K294" s="52"/>
      <c r="L294" s="227"/>
      <c r="M294" s="52"/>
      <c r="N294" s="52"/>
      <c r="O294" s="52"/>
    </row>
    <row r="295" spans="3:15" ht="15.5">
      <c r="C295" s="52"/>
      <c r="D295" s="52"/>
      <c r="E295" s="52"/>
      <c r="F295" s="52"/>
      <c r="G295" s="52"/>
      <c r="H295" s="52"/>
      <c r="I295" s="52"/>
      <c r="J295" s="52"/>
      <c r="K295" s="52"/>
      <c r="L295" s="227"/>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scale="43" r:id="rId2"/>
      <headerFooter alignWithMargins="0"/>
    </customSheetView>
  </customSheetViews>
  <mergeCells count="12">
    <mergeCell ref="A5:P5"/>
    <mergeCell ref="A6:P6"/>
    <mergeCell ref="A61:P61"/>
    <mergeCell ref="A62:P62"/>
    <mergeCell ref="A7:N7"/>
    <mergeCell ref="C97:O97"/>
    <mergeCell ref="C93:O93"/>
    <mergeCell ref="C94:O94"/>
    <mergeCell ref="C91:O91"/>
    <mergeCell ref="C92:O92"/>
    <mergeCell ref="C95:O95"/>
    <mergeCell ref="C96:O96"/>
  </mergeCells>
  <printOptions horizontalCentered="1"/>
  <pageMargins left="0.7" right="0.7" top="0.75" bottom="0.75" header="0.3" footer="0.3"/>
  <pageSetup fitToHeight="0" fitToWidth="0" orientation="landscape"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K2" sqref="K2"/>
    </sheetView>
  </sheetViews>
  <sheetFormatPr defaultColWidth="8.91714285714286" defaultRowHeight="15.5"/>
  <cols>
    <col min="1" max="1" width="6" style="1" customWidth="1"/>
    <col min="2" max="2" width="3.35714285714286" style="1" customWidth="1"/>
    <col min="3" max="3" width="40.7142857142857" style="1" customWidth="1"/>
    <col min="4" max="4" width="12" style="1" customWidth="1"/>
    <col min="5" max="5" width="14.4285714285714" style="1" customWidth="1"/>
    <col min="6" max="6" width="13.8571428571429" style="1" customWidth="1"/>
    <col min="7" max="7" width="14.0714285714286" style="1" customWidth="1"/>
    <col min="8" max="8" width="13.9285714285714" style="1" customWidth="1"/>
    <col min="9" max="10" width="13.0714285714286" style="1" customWidth="1"/>
    <col min="11" max="11" width="13.5" style="1" customWidth="1"/>
    <col min="12" max="12" width="15.3571428571429" style="1" customWidth="1"/>
    <col min="13" max="13" width="38.8571428571429" style="1" customWidth="1"/>
    <col min="14" max="16384" width="8.92857142857143" style="1"/>
  </cols>
  <sheetData>
    <row r="1" spans="13:13" ht="15.5">
      <c r="M1" s="26" t="s">
        <v>464</v>
      </c>
    </row>
    <row r="2" spans="13:13" ht="15.5">
      <c r="M2" s="26" t="s">
        <v>275</v>
      </c>
    </row>
    <row r="3" spans="13:13" ht="15.5">
      <c r="M3" s="112" t="s">
        <v>434</v>
      </c>
    </row>
    <row r="4" spans="1:7" ht="15.5">
      <c r="A4" s="27"/>
      <c r="G4" s="4"/>
    </row>
    <row r="5" spans="1:4" ht="15.5">
      <c r="A5" s="27"/>
      <c r="C5" s="2"/>
      <c r="D5" s="2"/>
    </row>
    <row r="6" spans="1:12" ht="15.5">
      <c r="A6" s="27"/>
      <c r="C6" s="2"/>
      <c r="D6" s="2"/>
      <c r="L6" s="4"/>
    </row>
    <row r="7" spans="1:1" ht="14.25" customHeight="1">
      <c r="A7" s="27"/>
    </row>
    <row r="8" spans="1:12" ht="15.5">
      <c r="A8" s="673" t="s">
        <v>440</v>
      </c>
      <c r="B8" s="673"/>
      <c r="C8" s="673"/>
      <c r="D8" s="673"/>
      <c r="E8" s="673"/>
      <c r="F8" s="673"/>
      <c r="G8" s="673"/>
      <c r="H8" s="673"/>
      <c r="I8" s="673"/>
      <c r="J8" s="673"/>
      <c r="K8" s="673"/>
      <c r="L8" s="673"/>
    </row>
    <row r="9" spans="1:12" ht="15.5">
      <c r="A9" s="674" t="s">
        <v>436</v>
      </c>
      <c r="B9" s="677"/>
      <c r="C9" s="677"/>
      <c r="D9" s="677"/>
      <c r="E9" s="677"/>
      <c r="F9" s="677"/>
      <c r="G9" s="677"/>
      <c r="H9" s="677"/>
      <c r="I9" s="677"/>
      <c r="J9" s="677"/>
      <c r="K9" s="677"/>
      <c r="L9" s="677"/>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257</v>
      </c>
      <c r="E13" s="39" t="s">
        <v>437</v>
      </c>
      <c r="F13" s="39" t="s">
        <v>411</v>
      </c>
      <c r="G13" s="38" t="s">
        <v>438</v>
      </c>
      <c r="H13" s="39" t="s">
        <v>413</v>
      </c>
      <c r="I13" s="39" t="s">
        <v>414</v>
      </c>
      <c r="J13" s="38" t="s">
        <v>415</v>
      </c>
      <c r="K13" s="188" t="s">
        <v>416</v>
      </c>
    </row>
    <row r="14" spans="1:11" ht="46.5" customHeight="1">
      <c r="A14" s="42"/>
      <c r="B14" s="43"/>
      <c r="C14" s="43"/>
      <c r="D14" s="43"/>
      <c r="E14" s="44"/>
      <c r="F14" s="105" t="s">
        <v>727</v>
      </c>
      <c r="G14" s="105" t="s">
        <v>432</v>
      </c>
      <c r="H14" s="105" t="s">
        <v>728</v>
      </c>
      <c r="I14" s="44" t="s">
        <v>433</v>
      </c>
      <c r="J14" s="105" t="s">
        <v>574</v>
      </c>
      <c r="K14" s="189" t="s">
        <v>734</v>
      </c>
    </row>
    <row r="15" spans="1:11" ht="15.5">
      <c r="A15" s="47"/>
      <c r="B15" s="2"/>
      <c r="C15" s="2"/>
      <c r="D15" s="2"/>
      <c r="E15" s="102"/>
      <c r="F15" s="102"/>
      <c r="G15" s="102"/>
      <c r="H15" s="102"/>
      <c r="I15" s="102"/>
      <c r="J15" s="102"/>
      <c r="K15" s="103"/>
    </row>
    <row r="16" spans="1:11" ht="15.5">
      <c r="A16" s="104">
        <v>1</v>
      </c>
      <c r="B16" s="2" t="s">
        <v>363</v>
      </c>
      <c r="C16" s="2" t="s">
        <v>439</v>
      </c>
      <c r="D16" s="2"/>
      <c r="E16" s="294">
        <v>263514.87456768763</v>
      </c>
      <c r="F16" s="72"/>
      <c r="G16" s="72"/>
      <c r="H16" s="72"/>
      <c r="I16" s="72"/>
      <c r="J16" s="72"/>
      <c r="K16" s="106"/>
    </row>
    <row r="17" spans="1:11" ht="15.5">
      <c r="A17" s="47"/>
      <c r="B17" s="2"/>
      <c r="C17" s="2"/>
      <c r="D17" s="2"/>
      <c r="E17" s="72"/>
      <c r="F17" s="72"/>
      <c r="G17" s="72"/>
      <c r="H17" s="72"/>
      <c r="I17" s="72"/>
      <c r="J17" s="72"/>
      <c r="K17" s="106"/>
    </row>
    <row r="18" spans="1:11" ht="15.5">
      <c r="A18" s="65" t="s">
        <v>328</v>
      </c>
      <c r="B18" s="32"/>
      <c r="C18" s="319" t="s">
        <v>931</v>
      </c>
      <c r="D18" s="214">
        <v>890</v>
      </c>
      <c r="E18" s="107"/>
      <c r="F18" s="163">
        <v>26305.105979474203</v>
      </c>
      <c r="G18" s="149">
        <f>IF(F$33&gt;0,(E$16*(F18/F$33)),0)</f>
        <v>110199.29389923355</v>
      </c>
      <c r="H18" s="163">
        <v>120302.40096273154</v>
      </c>
      <c r="I18" s="149">
        <f>H18-G18</f>
        <v>10103.107063497984</v>
      </c>
      <c r="J18" s="150">
        <f>I18*((I$35/I$36)-1)</f>
        <v>1108.3052155763098</v>
      </c>
      <c r="K18" s="295">
        <f>I18+J18</f>
        <v>11211.412279074295</v>
      </c>
    </row>
    <row r="19" spans="1:11" ht="15.5">
      <c r="A19" s="65" t="s">
        <v>351</v>
      </c>
      <c r="B19" s="32"/>
      <c r="C19" s="319" t="s">
        <v>932</v>
      </c>
      <c r="D19" s="214">
        <v>1326</v>
      </c>
      <c r="E19" s="107"/>
      <c r="F19" s="163">
        <v>36597.172768421529</v>
      </c>
      <c r="G19" s="149">
        <f t="shared" si="0" ref="G19">IF(F$33&gt;0,(E$16*(F19/F$33)),0)</f>
        <v>153315.58066845409</v>
      </c>
      <c r="H19" s="163">
        <v>162329.65924824183</v>
      </c>
      <c r="I19" s="149">
        <f>H19-G19</f>
        <v>9014.078579787747</v>
      </c>
      <c r="J19" s="150">
        <f t="shared" si="1" ref="J19">I19*((I$35/I$36)-1)</f>
        <v>988.83939770252334</v>
      </c>
      <c r="K19" s="295">
        <f t="shared" si="2" ref="K19">I19+J19</f>
        <v>10002.91797749027</v>
      </c>
    </row>
    <row r="20" spans="1:11" ht="15.5">
      <c r="A20" s="50"/>
      <c r="C20" s="52"/>
      <c r="D20" s="52"/>
      <c r="E20" s="108"/>
      <c r="F20" s="108"/>
      <c r="G20" s="108"/>
      <c r="H20" s="108"/>
      <c r="I20" s="108"/>
      <c r="J20" s="108"/>
      <c r="K20" s="109"/>
    </row>
    <row r="21" spans="1:11" ht="15.5">
      <c r="A21" s="50"/>
      <c r="C21" s="52"/>
      <c r="D21" s="52"/>
      <c r="E21" s="108"/>
      <c r="F21" s="108"/>
      <c r="G21" s="108"/>
      <c r="H21" s="108"/>
      <c r="I21" s="108"/>
      <c r="J21" s="108"/>
      <c r="K21" s="109"/>
    </row>
    <row r="22" spans="1:11" ht="15.5">
      <c r="A22" s="50"/>
      <c r="C22" s="52"/>
      <c r="D22" s="52"/>
      <c r="E22" s="108"/>
      <c r="F22" s="108"/>
      <c r="G22" s="108"/>
      <c r="H22" s="108"/>
      <c r="I22" s="108"/>
      <c r="J22" s="108"/>
      <c r="K22" s="109"/>
    </row>
    <row r="23" spans="1:11" ht="15.5">
      <c r="A23" s="50"/>
      <c r="C23" s="52"/>
      <c r="D23" s="52"/>
      <c r="E23" s="108"/>
      <c r="F23" s="108"/>
      <c r="G23" s="108"/>
      <c r="H23" s="108"/>
      <c r="I23" s="108"/>
      <c r="J23" s="108"/>
      <c r="K23" s="109"/>
    </row>
    <row r="24" spans="1:11" ht="15.5">
      <c r="A24" s="50"/>
      <c r="C24" s="52"/>
      <c r="D24" s="52"/>
      <c r="E24" s="108"/>
      <c r="F24" s="108"/>
      <c r="G24" s="108"/>
      <c r="H24" s="613"/>
      <c r="I24" s="108"/>
      <c r="J24" s="108"/>
      <c r="K24" s="109"/>
    </row>
    <row r="25" spans="1:11" ht="15.5">
      <c r="A25" s="50"/>
      <c r="C25" s="52"/>
      <c r="D25" s="52"/>
      <c r="E25" s="108"/>
      <c r="F25" s="108"/>
      <c r="G25" s="108"/>
      <c r="H25" s="613"/>
      <c r="I25" s="108"/>
      <c r="J25" s="108"/>
      <c r="K25" s="109"/>
    </row>
    <row r="26" spans="1:11" ht="15.5">
      <c r="A26" s="50"/>
      <c r="C26" s="52"/>
      <c r="D26" s="52"/>
      <c r="E26" s="108"/>
      <c r="F26" s="108"/>
      <c r="G26" s="108"/>
      <c r="H26" s="108"/>
      <c r="I26" s="108"/>
      <c r="J26" s="108"/>
      <c r="K26" s="109"/>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4"/>
      <c r="B32" s="55"/>
      <c r="C32" s="56"/>
      <c r="D32" s="56"/>
      <c r="E32" s="110"/>
      <c r="F32" s="110"/>
      <c r="G32" s="110"/>
      <c r="H32" s="110"/>
      <c r="I32" s="110"/>
      <c r="J32" s="110"/>
      <c r="K32" s="111"/>
    </row>
    <row r="33" spans="1:12" ht="15.5">
      <c r="A33" s="7" t="s">
        <v>344</v>
      </c>
      <c r="B33" s="34"/>
      <c r="C33" s="1" t="s">
        <v>422</v>
      </c>
      <c r="D33" s="2"/>
      <c r="E33" s="32"/>
      <c r="F33" s="296">
        <f>SUM(F18:F32)</f>
        <v>62902.278747895733</v>
      </c>
      <c r="G33" s="296">
        <f>SUM(G18:G32)</f>
        <v>263514.87456768763</v>
      </c>
      <c r="H33" s="296">
        <f>SUM(H18:H32)</f>
        <v>282632.06021097337</v>
      </c>
      <c r="I33" s="107"/>
      <c r="J33" s="107"/>
      <c r="K33" s="107"/>
      <c r="L33" s="107"/>
    </row>
    <row r="34" spans="1:5" ht="15.5">
      <c r="A34" s="52"/>
      <c r="B34" s="52"/>
      <c r="E34" s="52"/>
    </row>
    <row r="35" spans="1:9" ht="15.5">
      <c r="A35" s="32" t="s">
        <v>222</v>
      </c>
      <c r="C35" s="1" t="s">
        <v>478</v>
      </c>
      <c r="D35" s="119"/>
      <c r="I35" s="149">
        <f>-'Appendix H-Rev Req True-up Adj'!H51</f>
        <v>-43595281.378164954</v>
      </c>
    </row>
    <row r="36" spans="1:9" ht="15.5">
      <c r="A36" s="32" t="s">
        <v>223</v>
      </c>
      <c r="C36" s="1" t="s">
        <v>479</v>
      </c>
      <c r="I36" s="149">
        <f>'Appendix H-Rev Req True-up Adj'!H52</f>
        <v>-39285665.736242771</v>
      </c>
    </row>
    <row r="37" spans="1:1" ht="15.5">
      <c r="A37" s="32"/>
    </row>
    <row r="38" spans="1:9" ht="15.5">
      <c r="A38" s="7"/>
      <c r="I38" s="149"/>
    </row>
    <row r="39" spans="3:3" ht="15.5">
      <c r="C39" s="148"/>
    </row>
    <row r="40" spans="1:12" ht="15.5">
      <c r="A40" s="52"/>
      <c r="B40" s="52"/>
      <c r="C40" s="52"/>
      <c r="D40" s="52"/>
      <c r="E40" s="52"/>
      <c r="F40" s="52"/>
      <c r="G40" s="52"/>
      <c r="H40" s="52"/>
      <c r="I40" s="52"/>
      <c r="J40" s="52"/>
      <c r="K40" s="52"/>
      <c r="L40" s="52"/>
    </row>
    <row r="41" spans="1:12" ht="15.5">
      <c r="A41" s="52" t="s">
        <v>435</v>
      </c>
      <c r="B41" s="52"/>
      <c r="C41" s="52"/>
      <c r="D41" s="52"/>
      <c r="E41" s="52"/>
      <c r="F41" s="52"/>
      <c r="G41" s="52"/>
      <c r="H41" s="52"/>
      <c r="I41" s="52"/>
      <c r="J41" s="52"/>
      <c r="K41" s="52"/>
      <c r="L41" s="52"/>
    </row>
    <row r="42" spans="1:12" ht="15.5">
      <c r="A42" s="62"/>
      <c r="B42" s="52" t="s">
        <v>363</v>
      </c>
      <c r="C42" s="52" t="s">
        <v>420</v>
      </c>
      <c r="D42" s="52"/>
      <c r="E42" s="52"/>
      <c r="F42" s="52"/>
      <c r="G42" s="52"/>
      <c r="H42" s="52"/>
      <c r="I42" s="52"/>
      <c r="J42" s="52"/>
      <c r="K42" s="52"/>
      <c r="L42" s="52"/>
    </row>
    <row r="43" spans="1:10" ht="15.5">
      <c r="A43" s="6"/>
      <c r="C43" s="7"/>
      <c r="D43" s="7"/>
      <c r="E43" s="32"/>
      <c r="F43" s="32"/>
      <c r="G43" s="4"/>
      <c r="J43" s="30"/>
    </row>
    <row r="44" spans="1:10" ht="15.5">
      <c r="A44" s="6"/>
      <c r="C44" s="7"/>
      <c r="D44" s="7"/>
      <c r="E44" s="32"/>
      <c r="F44" s="32"/>
      <c r="G44" s="4"/>
      <c r="J44" s="30"/>
    </row>
    <row r="45" spans="3:12" ht="15.5">
      <c r="C45" s="52"/>
      <c r="D45" s="52"/>
      <c r="E45" s="52"/>
      <c r="F45" s="52"/>
      <c r="G45" s="52"/>
      <c r="H45" s="52"/>
      <c r="I45" s="52"/>
      <c r="J45" s="52"/>
      <c r="K45" s="52"/>
      <c r="L45" s="52"/>
    </row>
    <row r="46" spans="3:12" ht="15.5">
      <c r="C46" s="52"/>
      <c r="D46" s="52"/>
      <c r="E46" s="52"/>
      <c r="F46" s="52"/>
      <c r="G46" s="52"/>
      <c r="H46" s="52"/>
      <c r="I46" s="52"/>
      <c r="J46" s="52"/>
      <c r="K46" s="52"/>
      <c r="L46" s="52"/>
    </row>
    <row r="47" spans="3:12" ht="15.5">
      <c r="C47" s="52"/>
      <c r="D47" s="52"/>
      <c r="E47" s="52"/>
      <c r="F47" s="52"/>
      <c r="G47" s="52"/>
      <c r="H47" s="52"/>
      <c r="I47" s="52"/>
      <c r="J47" s="52"/>
      <c r="K47" s="52"/>
      <c r="L47" s="52"/>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8"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K29"/>
  <sheetViews>
    <sheetView view="pageBreakPreview" zoomScale="70" zoomScaleNormal="65" zoomScaleSheetLayoutView="70" workbookViewId="0" topLeftCell="A1">
      <selection pane="topLeft" activeCell="J11" sqref="J11"/>
    </sheetView>
  </sheetViews>
  <sheetFormatPr defaultColWidth="8.91714285714286" defaultRowHeight="15.5"/>
  <cols>
    <col min="1" max="1" width="5.35714285714286" style="51" bestFit="1" customWidth="1"/>
    <col min="2" max="2" width="15.8571428571429" style="11" customWidth="1"/>
    <col min="3" max="3" width="5.85714285714286" style="209" customWidth="1"/>
    <col min="4" max="4" width="31.9285714285714" style="1" bestFit="1" customWidth="1"/>
    <col min="5" max="5" width="4.85714285714286" style="26" customWidth="1"/>
    <col min="6" max="6" width="18.8571428571429" style="209" customWidth="1"/>
    <col min="7" max="10" width="18.8571428571429" style="1" customWidth="1"/>
    <col min="11" max="11" width="4.85714285714286" style="1" customWidth="1"/>
    <col min="12" max="16384" width="8.92857142857143" style="1"/>
  </cols>
  <sheetData>
    <row r="1" spans="1:11" ht="15.5">
      <c r="A1" s="313"/>
      <c r="B1" s="313"/>
      <c r="C1" s="313"/>
      <c r="D1" s="313"/>
      <c r="K1" s="3" t="s">
        <v>310</v>
      </c>
    </row>
    <row r="2" spans="1:11" ht="15.5">
      <c r="A2" s="313"/>
      <c r="B2" s="313"/>
      <c r="C2" s="313"/>
      <c r="D2" s="313"/>
      <c r="K2" s="3" t="s">
        <v>275</v>
      </c>
    </row>
    <row r="3" spans="1:11" ht="15.5">
      <c r="A3" s="313"/>
      <c r="B3" s="313"/>
      <c r="C3" s="313"/>
      <c r="D3" s="313"/>
      <c r="K3" s="3" t="str">
        <f>'Attachment H-21-A ATSI '!K4</f>
        <v>For the 12 months ended 12/31/2022</v>
      </c>
    </row>
    <row r="5" spans="2:10" ht="15.5">
      <c r="B5" s="669" t="s">
        <v>614</v>
      </c>
      <c r="C5" s="669"/>
      <c r="D5" s="669"/>
      <c r="E5" s="669"/>
      <c r="F5" s="669"/>
      <c r="G5" s="669"/>
      <c r="H5" s="669"/>
      <c r="I5" s="669"/>
      <c r="J5" s="669"/>
    </row>
    <row r="6" spans="2:10" ht="15.5">
      <c r="B6" s="670" t="s">
        <v>312</v>
      </c>
      <c r="C6" s="670"/>
      <c r="D6" s="670"/>
      <c r="E6" s="670"/>
      <c r="F6" s="670"/>
      <c r="G6" s="670"/>
      <c r="H6" s="670"/>
      <c r="I6" s="670"/>
      <c r="J6" s="670"/>
    </row>
    <row r="8" spans="1:10" s="32" customFormat="1" ht="15.5">
      <c r="A8" s="51"/>
      <c r="B8" s="7" t="s">
        <v>363</v>
      </c>
      <c r="C8" s="51" t="s">
        <v>377</v>
      </c>
      <c r="D8" s="32" t="s">
        <v>506</v>
      </c>
      <c r="E8" s="26"/>
      <c r="F8" s="32" t="s">
        <v>547</v>
      </c>
      <c r="G8" s="51" t="s">
        <v>550</v>
      </c>
      <c r="H8" s="32" t="s">
        <v>611</v>
      </c>
      <c r="I8" s="32" t="s">
        <v>612</v>
      </c>
      <c r="J8" s="32" t="s">
        <v>613</v>
      </c>
    </row>
    <row r="9" spans="2:10" s="211" customFormat="1" ht="65.15" customHeight="1">
      <c r="B9" s="211" t="s">
        <v>601</v>
      </c>
      <c r="D9" s="211" t="s">
        <v>602</v>
      </c>
      <c r="E9" s="213"/>
      <c r="F9" s="212" t="s">
        <v>605</v>
      </c>
      <c r="G9" s="211" t="s">
        <v>606</v>
      </c>
      <c r="H9" s="211" t="s">
        <v>607</v>
      </c>
      <c r="I9" s="211" t="s">
        <v>608</v>
      </c>
      <c r="J9" s="211" t="s">
        <v>609</v>
      </c>
    </row>
    <row r="10" spans="5:10" s="211" customFormat="1" ht="15.5">
      <c r="E10" s="213"/>
      <c r="F10" s="212"/>
      <c r="G10" s="254" t="s">
        <v>646</v>
      </c>
      <c r="H10" s="254" t="s">
        <v>647</v>
      </c>
      <c r="I10" s="254"/>
      <c r="J10" s="254" t="s">
        <v>651</v>
      </c>
    </row>
    <row r="11" spans="1:11" ht="15.5">
      <c r="A11" s="51">
        <v>1</v>
      </c>
      <c r="B11" s="11" t="s">
        <v>332</v>
      </c>
      <c r="C11" s="210">
        <f>'Appendix B-Veg'!C11</f>
        <v>2021</v>
      </c>
      <c r="D11" s="1" t="s">
        <v>603</v>
      </c>
      <c r="F11" s="214">
        <v>109</v>
      </c>
      <c r="G11" s="149"/>
      <c r="H11" s="149"/>
      <c r="I11" s="149"/>
      <c r="J11" s="163">
        <v>28310692.499999985</v>
      </c>
      <c r="K11" s="152"/>
    </row>
    <row r="12" spans="1:10" ht="15.5">
      <c r="A12" s="51">
        <v>2</v>
      </c>
      <c r="B12" s="11" t="s">
        <v>333</v>
      </c>
      <c r="C12" s="210">
        <f>C11+1</f>
        <v>2022</v>
      </c>
      <c r="D12" s="1" t="s">
        <v>635</v>
      </c>
      <c r="F12" s="214">
        <f>F11-1</f>
        <v>108</v>
      </c>
      <c r="G12" s="149">
        <f>J11</f>
        <v>28310692.499999985</v>
      </c>
      <c r="H12" s="149">
        <f>G12/F12</f>
        <v>262136.04166666654</v>
      </c>
      <c r="I12" s="163">
        <v>0</v>
      </c>
      <c r="J12" s="149">
        <f>G12-H12+I12</f>
        <v>28048556.458333317</v>
      </c>
    </row>
    <row r="13" spans="1:10" ht="15.5">
      <c r="A13" s="51">
        <v>3</v>
      </c>
      <c r="B13" s="11" t="s">
        <v>334</v>
      </c>
      <c r="C13" s="210">
        <f>C12</f>
        <v>2022</v>
      </c>
      <c r="D13" s="1" t="s">
        <v>635</v>
      </c>
      <c r="F13" s="214">
        <f t="shared" si="0" ref="F13:F23">F12-1</f>
        <v>107</v>
      </c>
      <c r="G13" s="149">
        <f t="shared" si="1" ref="G13:G22">J12</f>
        <v>28048556.458333317</v>
      </c>
      <c r="H13" s="149">
        <f t="shared" si="2" ref="H13:H23">G13/F13</f>
        <v>262136.04166666651</v>
      </c>
      <c r="I13" s="163">
        <v>0</v>
      </c>
      <c r="J13" s="149">
        <f t="shared" si="3" ref="J13:J23">G13-H13+I13</f>
        <v>27786420.416666649</v>
      </c>
    </row>
    <row r="14" spans="1:10" ht="15.5">
      <c r="A14" s="51">
        <v>4</v>
      </c>
      <c r="B14" s="11" t="s">
        <v>335</v>
      </c>
      <c r="C14" s="210">
        <f t="shared" si="4" ref="C14:C23">C13</f>
        <v>2022</v>
      </c>
      <c r="D14" s="1" t="s">
        <v>635</v>
      </c>
      <c r="F14" s="214">
        <f t="shared" si="0"/>
        <v>106</v>
      </c>
      <c r="G14" s="149">
        <f t="shared" si="1"/>
        <v>27786420.416666649</v>
      </c>
      <c r="H14" s="149">
        <f t="shared" si="2"/>
        <v>262136.04166666651</v>
      </c>
      <c r="I14" s="163">
        <v>0</v>
      </c>
      <c r="J14" s="149">
        <f t="shared" si="3"/>
        <v>27524284.374999981</v>
      </c>
    </row>
    <row r="15" spans="1:10" ht="15.5">
      <c r="A15" s="51">
        <v>5</v>
      </c>
      <c r="B15" s="11" t="s">
        <v>336</v>
      </c>
      <c r="C15" s="210">
        <f t="shared" si="4"/>
        <v>2022</v>
      </c>
      <c r="D15" s="1" t="s">
        <v>635</v>
      </c>
      <c r="F15" s="214">
        <f t="shared" si="0"/>
        <v>105</v>
      </c>
      <c r="G15" s="149">
        <f t="shared" si="1"/>
        <v>27524284.374999981</v>
      </c>
      <c r="H15" s="149">
        <f t="shared" si="2"/>
        <v>262136.04166666648</v>
      </c>
      <c r="I15" s="163">
        <v>0</v>
      </c>
      <c r="J15" s="149">
        <f t="shared" si="3"/>
        <v>27262148.333333313</v>
      </c>
    </row>
    <row r="16" spans="1:10" ht="15.5">
      <c r="A16" s="51">
        <v>6</v>
      </c>
      <c r="B16" s="11" t="s">
        <v>337</v>
      </c>
      <c r="C16" s="210">
        <f t="shared" si="4"/>
        <v>2022</v>
      </c>
      <c r="D16" s="1" t="s">
        <v>635</v>
      </c>
      <c r="F16" s="214">
        <f t="shared" si="0"/>
        <v>104</v>
      </c>
      <c r="G16" s="149">
        <f t="shared" si="1"/>
        <v>27262148.333333313</v>
      </c>
      <c r="H16" s="149">
        <f t="shared" si="2"/>
        <v>262136.04166666648</v>
      </c>
      <c r="I16" s="163">
        <v>0</v>
      </c>
      <c r="J16" s="149">
        <f t="shared" si="3"/>
        <v>27000012.291666646</v>
      </c>
    </row>
    <row r="17" spans="1:10" ht="15.5">
      <c r="A17" s="51">
        <v>7</v>
      </c>
      <c r="B17" s="11" t="s">
        <v>353</v>
      </c>
      <c r="C17" s="210">
        <f t="shared" si="4"/>
        <v>2022</v>
      </c>
      <c r="D17" s="1" t="s">
        <v>635</v>
      </c>
      <c r="F17" s="214">
        <f t="shared" si="0"/>
        <v>103</v>
      </c>
      <c r="G17" s="149">
        <f t="shared" si="1"/>
        <v>27000012.291666646</v>
      </c>
      <c r="H17" s="149">
        <f t="shared" si="2"/>
        <v>262136.04166666645</v>
      </c>
      <c r="I17" s="163">
        <v>0</v>
      </c>
      <c r="J17" s="149">
        <f t="shared" si="3"/>
        <v>26737876.249999978</v>
      </c>
    </row>
    <row r="18" spans="1:10" ht="15.5">
      <c r="A18" s="51">
        <v>8</v>
      </c>
      <c r="B18" s="11" t="s">
        <v>338</v>
      </c>
      <c r="C18" s="210">
        <f t="shared" si="4"/>
        <v>2022</v>
      </c>
      <c r="D18" s="1" t="s">
        <v>635</v>
      </c>
      <c r="F18" s="214">
        <f t="shared" si="0"/>
        <v>102</v>
      </c>
      <c r="G18" s="149">
        <f t="shared" si="1"/>
        <v>26737876.249999978</v>
      </c>
      <c r="H18" s="149">
        <f t="shared" si="2"/>
        <v>262136.04166666645</v>
      </c>
      <c r="I18" s="163">
        <v>0</v>
      </c>
      <c r="J18" s="149">
        <f t="shared" si="3"/>
        <v>26475740.20833331</v>
      </c>
    </row>
    <row r="19" spans="1:10" ht="15.5">
      <c r="A19" s="51">
        <v>9</v>
      </c>
      <c r="B19" s="11" t="s">
        <v>339</v>
      </c>
      <c r="C19" s="210">
        <f t="shared" si="4"/>
        <v>2022</v>
      </c>
      <c r="D19" s="1" t="s">
        <v>635</v>
      </c>
      <c r="F19" s="214">
        <f t="shared" si="0"/>
        <v>101</v>
      </c>
      <c r="G19" s="149">
        <f t="shared" si="1"/>
        <v>26475740.20833331</v>
      </c>
      <c r="H19" s="149">
        <f t="shared" si="2"/>
        <v>262136.04166666642</v>
      </c>
      <c r="I19" s="163">
        <v>0</v>
      </c>
      <c r="J19" s="149">
        <f t="shared" si="3"/>
        <v>26213604.166666642</v>
      </c>
    </row>
    <row r="20" spans="1:10" ht="15.5">
      <c r="A20" s="51">
        <v>10</v>
      </c>
      <c r="B20" s="11" t="s">
        <v>340</v>
      </c>
      <c r="C20" s="210">
        <f t="shared" si="4"/>
        <v>2022</v>
      </c>
      <c r="D20" s="1" t="s">
        <v>635</v>
      </c>
      <c r="F20" s="214">
        <f t="shared" si="0"/>
        <v>100</v>
      </c>
      <c r="G20" s="149">
        <f t="shared" si="1"/>
        <v>26213604.166666642</v>
      </c>
      <c r="H20" s="149">
        <f t="shared" si="2"/>
        <v>262136.04166666642</v>
      </c>
      <c r="I20" s="163">
        <v>0</v>
      </c>
      <c r="J20" s="149">
        <f t="shared" si="3"/>
        <v>25951468.124999974</v>
      </c>
    </row>
    <row r="21" spans="1:10" ht="15.5">
      <c r="A21" s="51">
        <v>11</v>
      </c>
      <c r="B21" s="11" t="s">
        <v>342</v>
      </c>
      <c r="C21" s="210">
        <f t="shared" si="4"/>
        <v>2022</v>
      </c>
      <c r="D21" s="1" t="s">
        <v>635</v>
      </c>
      <c r="F21" s="214">
        <f t="shared" si="0"/>
        <v>99</v>
      </c>
      <c r="G21" s="149">
        <f t="shared" si="1"/>
        <v>25951468.124999974</v>
      </c>
      <c r="H21" s="149">
        <f t="shared" si="2"/>
        <v>262136.0416666664</v>
      </c>
      <c r="I21" s="163">
        <v>0</v>
      </c>
      <c r="J21" s="149">
        <f t="shared" si="3"/>
        <v>25689332.083333306</v>
      </c>
    </row>
    <row r="22" spans="1:10" ht="15.5">
      <c r="A22" s="51">
        <v>12</v>
      </c>
      <c r="B22" s="11" t="s">
        <v>341</v>
      </c>
      <c r="C22" s="210">
        <f t="shared" si="4"/>
        <v>2022</v>
      </c>
      <c r="D22" s="1" t="s">
        <v>635</v>
      </c>
      <c r="F22" s="214">
        <f t="shared" si="0"/>
        <v>98</v>
      </c>
      <c r="G22" s="149">
        <f t="shared" si="1"/>
        <v>25689332.083333306</v>
      </c>
      <c r="H22" s="149">
        <f t="shared" si="2"/>
        <v>262136.0416666664</v>
      </c>
      <c r="I22" s="163">
        <v>0</v>
      </c>
      <c r="J22" s="149">
        <f t="shared" si="3"/>
        <v>25427196.041666638</v>
      </c>
    </row>
    <row r="23" spans="1:10" s="221" customFormat="1" ht="16" thickBot="1">
      <c r="A23" s="215">
        <v>13</v>
      </c>
      <c r="B23" s="216" t="s">
        <v>332</v>
      </c>
      <c r="C23" s="217">
        <f t="shared" si="4"/>
        <v>2022</v>
      </c>
      <c r="D23" s="221" t="s">
        <v>617</v>
      </c>
      <c r="E23" s="190"/>
      <c r="F23" s="218">
        <f t="shared" si="0"/>
        <v>97</v>
      </c>
      <c r="G23" s="219">
        <f>J22</f>
        <v>25427196.041666638</v>
      </c>
      <c r="H23" s="223">
        <f t="shared" si="2"/>
        <v>262136.04166666637</v>
      </c>
      <c r="I23" s="220">
        <v>0</v>
      </c>
      <c r="J23" s="219">
        <f t="shared" si="3"/>
        <v>25165059.99999997</v>
      </c>
    </row>
    <row r="24" spans="1:10" s="221" customFormat="1" ht="15.5">
      <c r="A24" s="215">
        <v>14</v>
      </c>
      <c r="B24" s="216"/>
      <c r="C24" s="222"/>
      <c r="E24" s="190"/>
      <c r="F24" s="215"/>
      <c r="G24" s="224" t="s">
        <v>615</v>
      </c>
      <c r="H24" s="219">
        <f>SUM(H12:H23)</f>
        <v>3145632.4999999981</v>
      </c>
      <c r="I24" s="427"/>
      <c r="J24" s="428"/>
    </row>
    <row r="25" spans="1:10" ht="15.5">
      <c r="A25" s="51">
        <v>15</v>
      </c>
      <c r="G25" s="26" t="s">
        <v>616</v>
      </c>
      <c r="I25" s="429"/>
      <c r="J25" s="430"/>
    </row>
    <row r="26" spans="1:9" ht="15.5">
      <c r="A26" s="51">
        <v>16</v>
      </c>
      <c r="F26" s="26" t="s">
        <v>619</v>
      </c>
      <c r="G26" s="26" t="s">
        <v>729</v>
      </c>
      <c r="I26" s="429"/>
    </row>
    <row r="28" spans="1:1" ht="15.5">
      <c r="A28" s="62" t="s">
        <v>297</v>
      </c>
    </row>
    <row r="29" spans="1:11" ht="35.4" customHeight="1">
      <c r="A29" s="60" t="s">
        <v>141</v>
      </c>
      <c r="B29" s="671" t="s">
        <v>820</v>
      </c>
      <c r="C29" s="671"/>
      <c r="D29" s="671"/>
      <c r="E29" s="671"/>
      <c r="F29" s="671"/>
      <c r="G29" s="671"/>
      <c r="H29" s="671"/>
      <c r="I29" s="671"/>
      <c r="J29" s="671"/>
      <c r="K29" s="671"/>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0BC97A-8A7E-4777-BD4D-D35879A5886B}">
  <ds:schemaRefs>
    <ds:schemaRef ds:uri="http://schemas.microsoft.com/sharepoint/v3/contenttype/forms"/>
  </ds:schemaRefs>
</ds:datastoreItem>
</file>

<file path=customXml/itemProps3.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2023-05-01T19:23:08Z</cp:lastPrinted>
  <dcterms:created xsi:type="dcterms:W3CDTF">2023-05-01T20:47:57Z</dcterms:created>
  <dcterms:modified xsi:type="dcterms:W3CDTF">2023-05-01T20:47:57Z</dcterms:modified>
  <cp:category/>
</cp:coreProperties>
</file>